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Edubef\DDIP\Nathalie Houle\Modules d'appui Math au quot 12e Maison-Vehicule\finances immobilières\Pour site web\"/>
    </mc:Choice>
  </mc:AlternateContent>
  <bookViews>
    <workbookView xWindow="0" yWindow="0" windowWidth="15345" windowHeight="4560" tabRatio="669" firstSheet="6" activeTab="10"/>
  </bookViews>
  <sheets>
    <sheet name="Section 1" sheetId="14" r:id="rId1"/>
    <sheet name="Section 3" sheetId="4" r:id="rId2"/>
    <sheet name="Section 4" sheetId="3" r:id="rId3"/>
    <sheet name="Section 5 (Tâche A)" sheetId="1" r:id="rId4"/>
    <sheet name="Section 5 (Tâche A-partenaire)" sheetId="12" r:id="rId5"/>
    <sheet name="Section 5 (Tâche B)" sheetId="10" r:id="rId6"/>
    <sheet name="Section 5 (Tâche C)" sheetId="11" r:id="rId7"/>
    <sheet name="Section 6 (Tâche B)" sheetId="5" r:id="rId8"/>
    <sheet name="Section 7.2" sheetId="2" r:id="rId9"/>
    <sheet name="Section 7.3" sheetId="15" r:id="rId10"/>
    <sheet name="Section 8" sheetId="13" r:id="rId11"/>
  </sheets>
  <calcPr calcId="162913"/>
</workbook>
</file>

<file path=xl/calcChain.xml><?xml version="1.0" encoding="utf-8"?>
<calcChain xmlns="http://schemas.openxmlformats.org/spreadsheetml/2006/main">
  <c r="B57" i="3" l="1"/>
  <c r="G4" i="14"/>
  <c r="A18" i="12" l="1"/>
  <c r="F19" i="1"/>
  <c r="A19" i="13" l="1"/>
  <c r="A17" i="13"/>
  <c r="A15" i="13"/>
  <c r="A13" i="13"/>
  <c r="B15" i="15" l="1"/>
  <c r="D15" i="15"/>
  <c r="D14" i="15"/>
  <c r="D17" i="15" s="1"/>
  <c r="C15" i="15"/>
  <c r="C14" i="15"/>
  <c r="C19" i="15" s="1"/>
  <c r="B14" i="15"/>
  <c r="B19" i="15" s="1"/>
  <c r="L57" i="11"/>
  <c r="D57" i="11"/>
  <c r="D36" i="11"/>
  <c r="L36" i="11"/>
  <c r="L15" i="11"/>
  <c r="L57" i="10"/>
  <c r="D57" i="10"/>
  <c r="L36" i="10"/>
  <c r="D36" i="10"/>
  <c r="L19" i="10"/>
  <c r="L15" i="10"/>
  <c r="L10" i="10"/>
  <c r="A29" i="3"/>
  <c r="B18" i="15" l="1"/>
  <c r="D20" i="15"/>
  <c r="D19" i="15"/>
  <c r="C17" i="15"/>
  <c r="D18" i="15"/>
  <c r="B20" i="15"/>
  <c r="B16" i="15"/>
  <c r="C18" i="15"/>
  <c r="C20" i="15"/>
  <c r="D16" i="15"/>
  <c r="D10" i="2"/>
  <c r="D11" i="2"/>
  <c r="B17" i="15"/>
  <c r="C16" i="15"/>
  <c r="A20" i="3" l="1"/>
  <c r="I5" i="4"/>
  <c r="I9" i="4"/>
  <c r="J9" i="4" s="1"/>
  <c r="I14" i="4"/>
  <c r="J14" i="4" s="1"/>
  <c r="D20" i="4"/>
  <c r="D19" i="4"/>
  <c r="E13" i="13" l="1"/>
  <c r="D9" i="15"/>
  <c r="C9" i="15"/>
  <c r="B9" i="15"/>
  <c r="D8" i="15"/>
  <c r="C8" i="15"/>
  <c r="B8" i="15"/>
  <c r="D7" i="15"/>
  <c r="C7" i="15"/>
  <c r="B7" i="15"/>
  <c r="B6" i="15"/>
  <c r="D6" i="15"/>
  <c r="C6" i="15"/>
  <c r="F9" i="14"/>
  <c r="G9" i="14" s="1"/>
  <c r="F7" i="14"/>
  <c r="G7" i="14" s="1"/>
  <c r="F5" i="14"/>
  <c r="G5" i="14" s="1"/>
  <c r="F4" i="14"/>
  <c r="E4" i="13" l="1"/>
  <c r="D4" i="13"/>
  <c r="F8" i="14"/>
  <c r="G8" i="14" s="1"/>
  <c r="F6" i="14"/>
  <c r="G6" i="14" s="1"/>
  <c r="G3" i="13" l="1"/>
  <c r="F3" i="13"/>
  <c r="E3" i="13"/>
  <c r="D3" i="13"/>
  <c r="E15" i="13"/>
  <c r="G11" i="5"/>
  <c r="E11" i="5"/>
  <c r="D9" i="11"/>
  <c r="F7" i="13" l="1"/>
  <c r="H19" i="13"/>
  <c r="G7" i="13" s="1"/>
  <c r="F4" i="13"/>
  <c r="H13" i="13"/>
  <c r="G4" i="13" s="1"/>
  <c r="F6" i="13"/>
  <c r="H17" i="13"/>
  <c r="G6" i="13" s="1"/>
  <c r="F5" i="13"/>
  <c r="H15" i="13"/>
  <c r="G5" i="13" s="1"/>
  <c r="D6" i="13"/>
  <c r="E17" i="13"/>
  <c r="E6" i="13" s="1"/>
  <c r="D5" i="13"/>
  <c r="E5" i="13"/>
  <c r="D7" i="13"/>
  <c r="E19" i="13"/>
  <c r="E7" i="13" s="1"/>
  <c r="A20" i="12"/>
  <c r="A19" i="12"/>
  <c r="A17" i="12"/>
  <c r="C11" i="12"/>
  <c r="C10" i="12"/>
  <c r="L52" i="11"/>
  <c r="L51" i="11"/>
  <c r="D52" i="11"/>
  <c r="D51" i="11"/>
  <c r="L31" i="11"/>
  <c r="L30" i="11"/>
  <c r="L10" i="11"/>
  <c r="L9" i="11"/>
  <c r="D31" i="11"/>
  <c r="D30" i="11"/>
  <c r="L61" i="11"/>
  <c r="D61" i="11"/>
  <c r="L40" i="11"/>
  <c r="L19" i="11"/>
  <c r="D40" i="11"/>
  <c r="L61" i="10"/>
  <c r="D61" i="10"/>
  <c r="L40" i="10"/>
  <c r="D40" i="10"/>
  <c r="L52" i="10"/>
  <c r="D52" i="10"/>
  <c r="L31" i="10"/>
  <c r="D31" i="10"/>
  <c r="D11" i="11"/>
  <c r="L32" i="11" s="1"/>
  <c r="D9" i="10"/>
  <c r="L51" i="10" l="1"/>
  <c r="L9" i="10"/>
  <c r="C12" i="12"/>
  <c r="L11" i="11"/>
  <c r="D32" i="11"/>
  <c r="L53" i="11"/>
  <c r="L30" i="10"/>
  <c r="D51" i="10"/>
  <c r="D53" i="11"/>
  <c r="D30" i="10"/>
  <c r="D6" i="10" l="1"/>
  <c r="D12" i="10" s="1"/>
  <c r="D6" i="11"/>
  <c r="D12" i="11" s="1"/>
  <c r="D16" i="11" s="1"/>
  <c r="D20" i="11" s="1"/>
  <c r="D16" i="10" l="1"/>
  <c r="D20" i="10" s="1"/>
  <c r="C57" i="3"/>
  <c r="G57" i="3" s="1"/>
  <c r="F57" i="3"/>
  <c r="A47" i="3"/>
  <c r="B47" i="3"/>
  <c r="A48" i="3"/>
  <c r="B48" i="3"/>
  <c r="A49" i="3"/>
  <c r="B49" i="3"/>
  <c r="A50" i="3"/>
  <c r="B50" i="3"/>
  <c r="B46" i="3"/>
  <c r="A46" i="3"/>
  <c r="G38" i="3"/>
  <c r="F38" i="3"/>
  <c r="E38" i="3"/>
  <c r="D38" i="3"/>
  <c r="A40" i="3"/>
  <c r="A59" i="3" s="1"/>
  <c r="A41" i="3"/>
  <c r="A60" i="3" s="1"/>
  <c r="A42" i="3"/>
  <c r="A61" i="3" s="1"/>
  <c r="A39" i="3"/>
  <c r="A58" i="3" s="1"/>
  <c r="B35" i="3"/>
  <c r="B54" i="3" s="1"/>
  <c r="E9" i="3"/>
  <c r="C20" i="3" s="1"/>
  <c r="E10" i="3"/>
  <c r="E11" i="3"/>
  <c r="C46" i="3"/>
  <c r="K18" i="3"/>
  <c r="L18" i="3"/>
  <c r="J18" i="3"/>
  <c r="G18" i="3"/>
  <c r="H18" i="3"/>
  <c r="F18" i="3"/>
  <c r="D18" i="3"/>
  <c r="C18" i="3"/>
  <c r="B18" i="3"/>
  <c r="A21" i="3"/>
  <c r="A22" i="3"/>
  <c r="A19" i="3"/>
  <c r="F11" i="3"/>
  <c r="F10" i="3"/>
  <c r="F9" i="3"/>
  <c r="F8" i="3"/>
  <c r="E8" i="3"/>
  <c r="D11" i="3"/>
  <c r="D10" i="3"/>
  <c r="D9" i="3"/>
  <c r="D8" i="3"/>
  <c r="H21" i="4"/>
  <c r="H16" i="4"/>
  <c r="H11" i="4"/>
  <c r="H6" i="4"/>
  <c r="D21" i="4"/>
  <c r="D16" i="4"/>
  <c r="D11" i="4"/>
  <c r="I19" i="4"/>
  <c r="J19" i="4" s="1"/>
  <c r="E19" i="4"/>
  <c r="F19" i="4" s="1"/>
  <c r="E9" i="4"/>
  <c r="F9" i="4" s="1"/>
  <c r="E14" i="4"/>
  <c r="F14" i="4" s="1"/>
  <c r="B20" i="4"/>
  <c r="B15" i="4"/>
  <c r="B10" i="4"/>
  <c r="E5" i="4"/>
  <c r="F5" i="4" s="1"/>
  <c r="F6" i="4" s="1"/>
  <c r="F2" i="13"/>
  <c r="D2" i="13"/>
  <c r="I11" i="5"/>
  <c r="E13" i="5"/>
  <c r="I9" i="5"/>
  <c r="G9" i="5"/>
  <c r="E9" i="5"/>
  <c r="I7" i="5"/>
  <c r="G7" i="5"/>
  <c r="E7" i="5"/>
  <c r="C7" i="5"/>
  <c r="J10" i="2"/>
  <c r="H10" i="2"/>
  <c r="F10" i="2"/>
  <c r="J15" i="2"/>
  <c r="H15" i="2"/>
  <c r="F15" i="2"/>
  <c r="D15" i="2"/>
  <c r="J6" i="2"/>
  <c r="H6" i="2"/>
  <c r="F6" i="2"/>
  <c r="D6" i="2"/>
  <c r="D57" i="3" l="1"/>
  <c r="I10" i="4"/>
  <c r="J10" i="4" s="1"/>
  <c r="E10" i="4"/>
  <c r="F10" i="4" s="1"/>
  <c r="E15" i="4"/>
  <c r="F15" i="4" s="1"/>
  <c r="I15" i="4"/>
  <c r="J15" i="4" s="1"/>
  <c r="I20" i="4"/>
  <c r="J20" i="4" s="1"/>
  <c r="E20" i="4"/>
  <c r="F20" i="4" s="1"/>
  <c r="I6" i="4"/>
  <c r="J5" i="4"/>
  <c r="J6" i="4" s="1"/>
  <c r="E15" i="5"/>
  <c r="E6" i="4"/>
  <c r="E57" i="3"/>
  <c r="B21" i="3"/>
  <c r="F21" i="3" s="1"/>
  <c r="J21" i="3" s="1"/>
  <c r="D19" i="3"/>
  <c r="C30" i="3"/>
  <c r="C49" i="3" s="1"/>
  <c r="C60" i="3" s="1"/>
  <c r="B22" i="3"/>
  <c r="F22" i="3" s="1"/>
  <c r="J22" i="3" s="1"/>
  <c r="D20" i="3"/>
  <c r="C29" i="3"/>
  <c r="C48" i="3" s="1"/>
  <c r="C59" i="3" s="1"/>
  <c r="I15" i="5"/>
  <c r="B19" i="3"/>
  <c r="F19" i="3" s="1"/>
  <c r="J19" i="3" s="1"/>
  <c r="C19" i="3"/>
  <c r="D21" i="3"/>
  <c r="B20" i="3"/>
  <c r="F20" i="3" s="1"/>
  <c r="J20" i="3" s="1"/>
  <c r="G20" i="3"/>
  <c r="K20" i="3" s="1"/>
  <c r="D22" i="3"/>
  <c r="C31" i="3"/>
  <c r="C50" i="3" s="1"/>
  <c r="B61" i="3" s="1"/>
  <c r="D61" i="3" s="1"/>
  <c r="B41" i="3"/>
  <c r="C22" i="3"/>
  <c r="C28" i="3"/>
  <c r="C21" i="3"/>
  <c r="C9" i="5"/>
  <c r="C15" i="5" s="1"/>
  <c r="G13" i="5"/>
  <c r="G15" i="5" s="1"/>
  <c r="H13" i="2"/>
  <c r="H8" i="2"/>
  <c r="D13" i="2"/>
  <c r="D8" i="2"/>
  <c r="F8" i="2"/>
  <c r="F13" i="2"/>
  <c r="J8" i="2"/>
  <c r="J13" i="2"/>
  <c r="E11" i="4" l="1"/>
  <c r="F11" i="4" s="1"/>
  <c r="I21" i="4"/>
  <c r="J21" i="4" s="1"/>
  <c r="B60" i="3"/>
  <c r="D60" i="3" s="1"/>
  <c r="I16" i="4"/>
  <c r="J16" i="4" s="1"/>
  <c r="E21" i="4"/>
  <c r="F21" i="4" s="1"/>
  <c r="E16" i="4"/>
  <c r="F16" i="4" s="1"/>
  <c r="I11" i="4"/>
  <c r="J11" i="4" s="1"/>
  <c r="C42" i="3"/>
  <c r="H19" i="3"/>
  <c r="L19" i="3" s="1"/>
  <c r="C40" i="3"/>
  <c r="H20" i="3"/>
  <c r="L20" i="3" s="1"/>
  <c r="B59" i="3"/>
  <c r="D59" i="3" s="1"/>
  <c r="B40" i="3"/>
  <c r="D40" i="3" s="1"/>
  <c r="F40" i="3" s="1"/>
  <c r="C41" i="3"/>
  <c r="C61" i="3"/>
  <c r="H21" i="3"/>
  <c r="L21" i="3" s="1"/>
  <c r="H22" i="3"/>
  <c r="L22" i="3" s="1"/>
  <c r="B42" i="3"/>
  <c r="E60" i="3"/>
  <c r="G60" i="3" s="1"/>
  <c r="D41" i="3"/>
  <c r="F41" i="3" s="1"/>
  <c r="G19" i="3"/>
  <c r="K19" i="3" s="1"/>
  <c r="E59" i="3"/>
  <c r="G59" i="3" s="1"/>
  <c r="J17" i="2"/>
  <c r="G21" i="3"/>
  <c r="K21" i="3" s="1"/>
  <c r="G22" i="3"/>
  <c r="K22" i="3" s="1"/>
  <c r="C47" i="3"/>
  <c r="C39" i="3"/>
  <c r="B39" i="3"/>
  <c r="D17" i="2"/>
  <c r="F17" i="2"/>
  <c r="H17" i="2"/>
  <c r="F59" i="3" l="1"/>
  <c r="E42" i="3"/>
  <c r="G42" i="3" s="1"/>
  <c r="E40" i="3"/>
  <c r="G40" i="3" s="1"/>
  <c r="F60" i="3"/>
  <c r="E61" i="3"/>
  <c r="G61" i="3" s="1"/>
  <c r="E41" i="3"/>
  <c r="G41" i="3" s="1"/>
  <c r="D39" i="3"/>
  <c r="F39" i="3" s="1"/>
  <c r="F61" i="3"/>
  <c r="D42" i="3"/>
  <c r="F42" i="3" s="1"/>
  <c r="B22" i="1"/>
  <c r="E39" i="3"/>
  <c r="G39" i="3" s="1"/>
  <c r="C58" i="3"/>
  <c r="B58" i="3"/>
  <c r="D58" i="3" s="1"/>
  <c r="F58" i="3" s="1"/>
  <c r="A29" i="1"/>
  <c r="A30" i="1"/>
  <c r="A31" i="1"/>
  <c r="A28" i="1"/>
  <c r="A22" i="1"/>
  <c r="A23" i="1"/>
  <c r="A24" i="1"/>
  <c r="A21" i="1"/>
  <c r="K27" i="1"/>
  <c r="L27" i="1"/>
  <c r="G27" i="1"/>
  <c r="H27" i="1"/>
  <c r="C27" i="1"/>
  <c r="D27" i="1"/>
  <c r="J27" i="1"/>
  <c r="F27" i="1"/>
  <c r="B27" i="1"/>
  <c r="J26" i="1"/>
  <c r="F26" i="1"/>
  <c r="B26" i="1"/>
  <c r="K20" i="1"/>
  <c r="L20" i="1"/>
  <c r="J20" i="1"/>
  <c r="J19" i="1"/>
  <c r="G20" i="1"/>
  <c r="H20" i="1"/>
  <c r="F20" i="1"/>
  <c r="B19" i="1"/>
  <c r="B23" i="1" l="1"/>
  <c r="G22" i="1"/>
  <c r="C24" i="1"/>
  <c r="C23" i="1"/>
  <c r="D28" i="1"/>
  <c r="D29" i="1"/>
  <c r="D30" i="1"/>
  <c r="D31" i="1"/>
  <c r="B30" i="1"/>
  <c r="B28" i="1"/>
  <c r="H28" i="1"/>
  <c r="H29" i="1"/>
  <c r="H30" i="1"/>
  <c r="H31" i="1"/>
  <c r="F30" i="1"/>
  <c r="F28" i="1"/>
  <c r="L28" i="1"/>
  <c r="L29" i="1"/>
  <c r="L30" i="1"/>
  <c r="L31" i="1"/>
  <c r="J30" i="1"/>
  <c r="J28" i="1"/>
  <c r="C29" i="1"/>
  <c r="C30" i="1"/>
  <c r="C31" i="1"/>
  <c r="B31" i="1"/>
  <c r="B29" i="1"/>
  <c r="G29" i="1"/>
  <c r="G30" i="1"/>
  <c r="G31" i="1"/>
  <c r="F31" i="1"/>
  <c r="F29" i="1"/>
  <c r="K29" i="1"/>
  <c r="K30" i="1"/>
  <c r="K31" i="1"/>
  <c r="J31" i="1"/>
  <c r="J29" i="1"/>
  <c r="D22" i="1"/>
  <c r="B21" i="1"/>
  <c r="B24" i="1"/>
  <c r="D24" i="1"/>
  <c r="C22" i="1"/>
  <c r="D23" i="1"/>
  <c r="D27" i="11"/>
  <c r="D33" i="11" s="1"/>
  <c r="D37" i="11" s="1"/>
  <c r="D41" i="11" s="1"/>
  <c r="D27" i="10"/>
  <c r="D33" i="10" s="1"/>
  <c r="D37" i="10" s="1"/>
  <c r="D41" i="10" s="1"/>
  <c r="L27" i="10"/>
  <c r="L33" i="10" s="1"/>
  <c r="L37" i="10" s="1"/>
  <c r="L41" i="10" s="1"/>
  <c r="L27" i="11"/>
  <c r="L33" i="11" s="1"/>
  <c r="L37" i="11" s="1"/>
  <c r="L41" i="11" s="1"/>
  <c r="E58" i="3"/>
  <c r="G58" i="3" s="1"/>
  <c r="C17" i="12"/>
  <c r="C28" i="1"/>
  <c r="H23" i="1"/>
  <c r="K22" i="1"/>
  <c r="K24" i="1"/>
  <c r="J23" i="1"/>
  <c r="L23" i="1"/>
  <c r="H22" i="1"/>
  <c r="J24" i="1"/>
  <c r="F21" i="1"/>
  <c r="J21" i="1"/>
  <c r="D48" i="10"/>
  <c r="D54" i="10" s="1"/>
  <c r="D58" i="10" s="1"/>
  <c r="D62" i="10" s="1"/>
  <c r="D48" i="11"/>
  <c r="D54" i="11" s="1"/>
  <c r="D58" i="11" s="1"/>
  <c r="D62" i="11" s="1"/>
  <c r="L6" i="10"/>
  <c r="L12" i="10" s="1"/>
  <c r="L16" i="10" s="1"/>
  <c r="L20" i="10" s="1"/>
  <c r="L6" i="11"/>
  <c r="L12" i="11" s="1"/>
  <c r="L16" i="11" s="1"/>
  <c r="L20" i="11" s="1"/>
  <c r="L48" i="11"/>
  <c r="L54" i="11" s="1"/>
  <c r="L58" i="11" s="1"/>
  <c r="L62" i="11" s="1"/>
  <c r="L48" i="10"/>
  <c r="L54" i="10" s="1"/>
  <c r="H24" i="1"/>
  <c r="L22" i="1"/>
  <c r="G24" i="1"/>
  <c r="K23" i="1"/>
  <c r="G23" i="1"/>
  <c r="L24" i="1"/>
  <c r="J22" i="1"/>
  <c r="F23" i="1"/>
  <c r="F24" i="1"/>
  <c r="F22" i="1"/>
  <c r="B19" i="12"/>
  <c r="C19" i="12"/>
  <c r="D19" i="12"/>
  <c r="B20" i="12"/>
  <c r="C20" i="12"/>
  <c r="D20" i="12"/>
  <c r="B17" i="12"/>
  <c r="D17" i="12"/>
  <c r="B18" i="12"/>
  <c r="C18" i="12"/>
  <c r="D18" i="12"/>
  <c r="L21" i="1"/>
  <c r="H21" i="1"/>
  <c r="D21" i="1"/>
  <c r="L58" i="10" l="1"/>
  <c r="L62" i="10" s="1"/>
  <c r="K28" i="1"/>
  <c r="G28" i="1"/>
  <c r="G21" i="1"/>
  <c r="K21" i="1"/>
  <c r="C21" i="1"/>
</calcChain>
</file>

<file path=xl/sharedStrings.xml><?xml version="1.0" encoding="utf-8"?>
<sst xmlns="http://schemas.openxmlformats.org/spreadsheetml/2006/main" count="482" uniqueCount="125">
  <si>
    <t>25 ans</t>
  </si>
  <si>
    <t>20 ans</t>
  </si>
  <si>
    <t>chauffage</t>
  </si>
  <si>
    <t>impots</t>
  </si>
  <si>
    <t>Aide en soins de santé</t>
  </si>
  <si>
    <t>Graphiste</t>
  </si>
  <si>
    <t>CSDB</t>
  </si>
  <si>
    <t>Salaires</t>
  </si>
  <si>
    <t>Coût</t>
  </si>
  <si>
    <t>Total</t>
  </si>
  <si>
    <t>donc 11 %</t>
  </si>
  <si>
    <t>Les 50 000 $ suivants</t>
  </si>
  <si>
    <t>Les montants supérieurs</t>
  </si>
  <si>
    <t>Les premiers 30 000 $</t>
  </si>
  <si>
    <t>Les 60 000 $ suivants</t>
  </si>
  <si>
    <t>Valeur à neuf</t>
  </si>
  <si>
    <t>Franchise</t>
  </si>
  <si>
    <t>Paiment mensuel</t>
  </si>
  <si>
    <t>Taux</t>
  </si>
  <si>
    <t>Paiement mensuel</t>
  </si>
  <si>
    <t>La formule</t>
  </si>
  <si>
    <t>Facteur</t>
  </si>
  <si>
    <t>Revenu familial mensuel brut</t>
  </si>
  <si>
    <t>x</t>
  </si>
  <si>
    <t>Total des dépenses abordables pour le ménage</t>
  </si>
  <si>
    <t>Soustrais</t>
  </si>
  <si>
    <t>Impôt foncier mensuel</t>
  </si>
  <si>
    <t>-</t>
  </si>
  <si>
    <t>Paiement hypothécaire mensuel que ton</t>
  </si>
  <si>
    <t>ménage peut se permettre</t>
  </si>
  <si>
    <t>÷</t>
  </si>
  <si>
    <t>que tu peux te permettre</t>
  </si>
  <si>
    <t>Paiement initial</t>
  </si>
  <si>
    <t>+</t>
  </si>
  <si>
    <t>Personne no 2</t>
  </si>
  <si>
    <t>Personne no 1</t>
  </si>
  <si>
    <t>Loyer</t>
  </si>
  <si>
    <t>Chauffage</t>
  </si>
  <si>
    <t>Assurance</t>
  </si>
  <si>
    <r>
      <t xml:space="preserve">Total </t>
    </r>
    <r>
      <rPr>
        <sz val="11"/>
        <color theme="1"/>
        <rFont val="Calibri"/>
        <family val="2"/>
        <scheme val="minor"/>
      </rPr>
      <t>(avec l'assurance)</t>
    </r>
  </si>
  <si>
    <t>Salaire mensuel</t>
  </si>
  <si>
    <t>Système</t>
  </si>
  <si>
    <t>Électrique</t>
  </si>
  <si>
    <t>Géothermique</t>
  </si>
  <si>
    <t>page 1</t>
  </si>
  <si>
    <t>page 2</t>
  </si>
  <si>
    <t>page 3</t>
  </si>
  <si>
    <t>page 4</t>
  </si>
  <si>
    <t>Winnipeg</t>
  </si>
  <si>
    <t>Thompson</t>
  </si>
  <si>
    <t>impôts</t>
  </si>
  <si>
    <t>1/2 des frais de copropriété                                   (le cas échéant)</t>
  </si>
  <si>
    <t>1/2 des frais de copropriété                                 (le cas échéant)</t>
  </si>
  <si>
    <t>1/2 des frais de condo                                                          (le cas échéant)</t>
  </si>
  <si>
    <t>1/2 des frais de condo                                                            (le cas échéant)</t>
  </si>
  <si>
    <t>1/2 des frais de copropriété                             (le cas échéant)</t>
  </si>
  <si>
    <t>1/2 des frais de copropriété</t>
  </si>
  <si>
    <t>Emploi</t>
  </si>
  <si>
    <t>Montant maximal mensuel (un tier)</t>
  </si>
  <si>
    <t>Condominium</t>
  </si>
  <si>
    <t>Habitation</t>
  </si>
  <si>
    <t>Assurance de base</t>
  </si>
  <si>
    <t>Assurance multirisque</t>
  </si>
  <si>
    <t>Winnipeg (région 1)</t>
  </si>
  <si>
    <t>Thompson (région 2)</t>
  </si>
  <si>
    <t>Montant du prêt</t>
  </si>
  <si>
    <t xml:space="preserve">Montant du prêt avec un paiement initial de </t>
  </si>
  <si>
    <t>Montant total payé</t>
  </si>
  <si>
    <t xml:space="preserve">Taux d'intérêt </t>
  </si>
  <si>
    <t>Montant payé par tranche de 1000 $</t>
  </si>
  <si>
    <t>Sainte-Agathe (région 2)</t>
  </si>
  <si>
    <t>Sainte-Agathe</t>
  </si>
  <si>
    <t>Salaires mensuels</t>
  </si>
  <si>
    <t>Prix + 1 an ($)</t>
  </si>
  <si>
    <t>Prix + 5 ans ($)</t>
  </si>
  <si>
    <t>Prix + 10 ans ($)</t>
  </si>
  <si>
    <t>Prix + 25 ans ($)</t>
  </si>
  <si>
    <t>Prix d'achat</t>
  </si>
  <si>
    <t>Mise en situation</t>
  </si>
  <si>
    <t>Question E</t>
  </si>
  <si>
    <t>Prix + 11 ans ($)</t>
  </si>
  <si>
    <t>Prix + 12 ans ($)</t>
  </si>
  <si>
    <t>Montant à assurer</t>
  </si>
  <si>
    <t>Maison à Winnipeg</t>
  </si>
  <si>
    <t>Maison à Thompson</t>
  </si>
  <si>
    <t>frais de 
condominium</t>
  </si>
  <si>
    <t>La valeur imposable</t>
  </si>
  <si>
    <t>La valeur fractionnée</t>
  </si>
  <si>
    <t>Les améliorations</t>
  </si>
  <si>
    <t>Le taux millième scolaire</t>
  </si>
  <si>
    <t>Un crédit</t>
  </si>
  <si>
    <t>Le total</t>
  </si>
  <si>
    <t>Temps (année) pour
épargner 20 000 $</t>
  </si>
  <si>
    <t>Gérant(e) de restaurant</t>
  </si>
  <si>
    <t>Pompier(ière)</t>
  </si>
  <si>
    <t>Durée de l'hypothèque (en année)</t>
  </si>
  <si>
    <t>Agent(e) immobilier(ière)</t>
  </si>
  <si>
    <t>25 ans (4%)</t>
  </si>
  <si>
    <t>25 ans (6%)</t>
  </si>
  <si>
    <t>20 ans (4%)</t>
  </si>
  <si>
    <t>25 ans(6%)</t>
  </si>
  <si>
    <t>Montant maximum de l'hypothèque</t>
  </si>
  <si>
    <t>Agent(e) immoblier(ière)</t>
  </si>
  <si>
    <t>Maison à Sainte-Agathe</t>
  </si>
  <si>
    <t>Gaz naturel</t>
  </si>
  <si>
    <t>Une hypothèque de 25 ans à un taux d'intérêt de 4 % : différents paiements initiaux</t>
  </si>
  <si>
    <t>Prix maximal abordable</t>
  </si>
  <si>
    <t>Question 1 a</t>
  </si>
  <si>
    <t>Épargne de 
10 % mensuel</t>
  </si>
  <si>
    <t>Question 2 a</t>
  </si>
  <si>
    <t>Mécanicien(cienne)</t>
  </si>
  <si>
    <r>
      <t>Annexe R, Le solutionnaire, Mathématiques au quotidien, 12</t>
    </r>
    <r>
      <rPr>
        <vertAlign val="superscript"/>
        <sz val="10"/>
        <color theme="1"/>
        <rFont val="Calibri"/>
        <family val="2"/>
        <scheme val="minor"/>
      </rPr>
      <t>e</t>
    </r>
    <r>
      <rPr>
        <sz val="10"/>
        <color theme="1"/>
        <rFont val="Calibri"/>
        <family val="2"/>
        <scheme val="minor"/>
      </rPr>
      <t xml:space="preserve"> année</t>
    </r>
  </si>
  <si>
    <t>Montant total payé en intérêt</t>
  </si>
  <si>
    <t>Une hypothèque à 4 % avec un paiement initial de 20 000 $ :  25 ans vs 20 ans</t>
  </si>
  <si>
    <t>Une hypothèque de 25 ans avec un paiement initial de 20 000 $ : taux d'intérêt de 4 % vs 6 %</t>
  </si>
  <si>
    <t>frais de
condominium</t>
  </si>
  <si>
    <t>Frais mensuel de chauffage</t>
  </si>
  <si>
    <t>Multiplie par 32 % (CSDB)</t>
  </si>
  <si>
    <t>Tableau des
facteurs d'intérêt</t>
  </si>
  <si>
    <t>Taux d'intérêt (voir le tableau des facteurs)</t>
  </si>
  <si>
    <t>Tableau des 
facteurs d'intérêt</t>
  </si>
  <si>
    <t>Multiplie par 32  % (CSDB)</t>
  </si>
  <si>
    <t>Le taux millième municipal</t>
  </si>
  <si>
    <t>La façade (en pied)</t>
  </si>
  <si>
    <t>Frais de fonctionnement
pendant 1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</si>
</sst>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#,##0\ &quot;$&quot;_);[Red]\(#,##0\ &quot;$&quot;\)"/>
    <numFmt numFmtId="165" formatCode="_ * #,##0.00_)\ &quot;$&quot;_ ;_ * \(#,##0.00\)\ &quot;$&quot;_ ;_ * &quot;-&quot;??_)\ &quot;$&quot;_ ;_ @_ "/>
    <numFmt numFmtId="166" formatCode="_ * #,##0.00_)\ [$$-C0C]_ ;_ * \(#,##0.00\)\ [$$-C0C]_ ;_ * &quot;-&quot;??_)\ [$$-C0C]_ ;_ @_ "/>
    <numFmt numFmtId="167" formatCode="0.000"/>
    <numFmt numFmtId="168" formatCode="_ * #,##0.00_ \ [$$-C0C]_ ;_ * \-#,##0.00\ \ [$$-C0C]_ ;_ * &quot;-&quot;??_ \ [$$-C0C]_ ;_ @_ "/>
    <numFmt numFmtId="169" formatCode="_ * #,##0_)\ [$$-C0C]_ ;_ * \(#,##0\)\ [$$-C0C]_ ;_ * &quot;-&quot;??_)\ [$$-C0C]_ ;_ @_ "/>
    <numFmt numFmtId="170" formatCode="_ * #,##0_)\ &quot;$&quot;_ ;_ * \(#,##0\)\ &quot;$&quot;_ ;_ * &quot;-&quot;??_)\ &quot;$&quot;_ ;_ @_ "/>
    <numFmt numFmtId="171" formatCode="#,##0.00\ [$$-C0C]_-"/>
    <numFmt numFmtId="172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58">
    <xf numFmtId="0" fontId="0" fillId="0" borderId="0" xfId="0"/>
    <xf numFmtId="165" fontId="0" fillId="0" borderId="0" xfId="1" applyFont="1"/>
    <xf numFmtId="165" fontId="0" fillId="0" borderId="0" xfId="0" applyNumberFormat="1"/>
    <xf numFmtId="0" fontId="2" fillId="0" borderId="0" xfId="0" applyFont="1"/>
    <xf numFmtId="10" fontId="0" fillId="0" borderId="0" xfId="2" applyNumberFormat="1" applyFont="1"/>
    <xf numFmtId="16" fontId="2" fillId="0" borderId="0" xfId="0" applyNumberFormat="1" applyFont="1"/>
    <xf numFmtId="165" fontId="2" fillId="0" borderId="0" xfId="1" applyFont="1"/>
    <xf numFmtId="9" fontId="0" fillId="0" borderId="0" xfId="0" applyNumberFormat="1" applyAlignment="1">
      <alignment horizontal="center"/>
    </xf>
    <xf numFmtId="165" fontId="0" fillId="0" borderId="0" xfId="1" applyFont="1" applyAlignment="1">
      <alignment horizontal="center"/>
    </xf>
    <xf numFmtId="165" fontId="2" fillId="0" borderId="0" xfId="1" applyFont="1" applyFill="1"/>
    <xf numFmtId="166" fontId="0" fillId="0" borderId="0" xfId="1" applyNumberFormat="1" applyFont="1"/>
    <xf numFmtId="166" fontId="0" fillId="0" borderId="0" xfId="1" applyNumberFormat="1" applyFont="1" applyFill="1"/>
    <xf numFmtId="9" fontId="0" fillId="0" borderId="0" xfId="0" applyNumberFormat="1"/>
    <xf numFmtId="166" fontId="0" fillId="0" borderId="0" xfId="0" applyNumberFormat="1"/>
    <xf numFmtId="165" fontId="2" fillId="0" borderId="0" xfId="0" applyNumberFormat="1" applyFont="1"/>
    <xf numFmtId="0" fontId="2" fillId="0" borderId="0" xfId="0" applyFont="1" applyAlignment="1">
      <alignment horizontal="center"/>
    </xf>
    <xf numFmtId="10" fontId="0" fillId="0" borderId="0" xfId="0" applyNumberFormat="1"/>
    <xf numFmtId="0" fontId="2" fillId="0" borderId="0" xfId="0" applyFont="1" applyAlignment="1">
      <alignment horizontal="right"/>
    </xf>
    <xf numFmtId="166" fontId="2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/>
    <xf numFmtId="166" fontId="0" fillId="0" borderId="0" xfId="0" applyNumberFormat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5" fontId="2" fillId="0" borderId="0" xfId="0" applyNumberFormat="1" applyFont="1" applyAlignment="1">
      <alignment horizontal="center"/>
    </xf>
    <xf numFmtId="165" fontId="2" fillId="0" borderId="0" xfId="1" applyFont="1" applyAlignment="1">
      <alignment horizontal="right"/>
    </xf>
    <xf numFmtId="170" fontId="0" fillId="0" borderId="0" xfId="1" applyNumberFormat="1" applyFont="1"/>
    <xf numFmtId="170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0" fontId="5" fillId="0" borderId="0" xfId="0" applyFont="1" applyFill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71" fontId="7" fillId="2" borderId="6" xfId="1" applyNumberFormat="1" applyFont="1" applyFill="1" applyBorder="1"/>
    <xf numFmtId="1" fontId="0" fillId="0" borderId="0" xfId="0" applyNumberFormat="1" applyAlignment="1">
      <alignment horizontal="center"/>
    </xf>
    <xf numFmtId="9" fontId="7" fillId="0" borderId="10" xfId="2" applyFont="1" applyBorder="1"/>
    <xf numFmtId="172" fontId="7" fillId="0" borderId="0" xfId="2" applyNumberFormat="1" applyFont="1" applyAlignment="1">
      <alignment horizontal="center"/>
    </xf>
    <xf numFmtId="171" fontId="7" fillId="3" borderId="8" xfId="1" applyNumberFormat="1" applyFont="1" applyFill="1" applyBorder="1"/>
    <xf numFmtId="0" fontId="0" fillId="0" borderId="0" xfId="0" applyFill="1" applyAlignment="1">
      <alignment horizontal="center"/>
    </xf>
    <xf numFmtId="172" fontId="0" fillId="0" borderId="0" xfId="0" applyNumberFormat="1" applyFill="1" applyAlignment="1">
      <alignment horizontal="center"/>
    </xf>
    <xf numFmtId="172" fontId="0" fillId="0" borderId="0" xfId="0" applyNumberFormat="1" applyAlignment="1">
      <alignment horizontal="center"/>
    </xf>
    <xf numFmtId="171" fontId="7" fillId="2" borderId="10" xfId="1" applyNumberFormat="1" applyFont="1" applyFill="1" applyBorder="1"/>
    <xf numFmtId="0" fontId="8" fillId="0" borderId="0" xfId="0" applyFont="1" applyAlignment="1">
      <alignment horizontal="center"/>
    </xf>
    <xf numFmtId="171" fontId="0" fillId="3" borderId="8" xfId="0" applyNumberFormat="1" applyFill="1" applyBorder="1"/>
    <xf numFmtId="0" fontId="0" fillId="0" borderId="0" xfId="0" applyNumberFormat="1"/>
    <xf numFmtId="171" fontId="0" fillId="2" borderId="10" xfId="0" applyNumberFormat="1" applyFill="1" applyBorder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72" fontId="0" fillId="2" borderId="10" xfId="0" applyNumberFormat="1" applyFill="1" applyBorder="1"/>
    <xf numFmtId="166" fontId="0" fillId="0" borderId="0" xfId="0" applyNumberFormat="1" applyBorder="1"/>
    <xf numFmtId="164" fontId="0" fillId="0" borderId="0" xfId="0" applyNumberFormat="1" applyBorder="1"/>
    <xf numFmtId="165" fontId="2" fillId="0" borderId="0" xfId="0" applyNumberFormat="1" applyFont="1" applyBorder="1"/>
    <xf numFmtId="9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wrapText="1"/>
    </xf>
    <xf numFmtId="0" fontId="9" fillId="0" borderId="0" xfId="0" applyFont="1"/>
    <xf numFmtId="0" fontId="4" fillId="0" borderId="0" xfId="0" applyFont="1"/>
    <xf numFmtId="169" fontId="9" fillId="0" borderId="6" xfId="0" applyNumberFormat="1" applyFont="1" applyBorder="1"/>
    <xf numFmtId="169" fontId="9" fillId="0" borderId="8" xfId="0" applyNumberFormat="1" applyFont="1" applyBorder="1"/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9" fontId="0" fillId="0" borderId="0" xfId="0" applyNumberFormat="1" applyAlignment="1">
      <alignment wrapText="1"/>
    </xf>
    <xf numFmtId="166" fontId="0" fillId="0" borderId="14" xfId="0" applyNumberFormat="1" applyBorder="1"/>
    <xf numFmtId="166" fontId="0" fillId="0" borderId="17" xfId="0" applyNumberFormat="1" applyBorder="1"/>
    <xf numFmtId="166" fontId="0" fillId="0" borderId="13" xfId="0" applyNumberFormat="1" applyBorder="1"/>
    <xf numFmtId="166" fontId="0" fillId="0" borderId="15" xfId="0" applyNumberFormat="1" applyBorder="1"/>
    <xf numFmtId="0" fontId="2" fillId="0" borderId="0" xfId="0" applyFont="1" applyAlignment="1">
      <alignment horizontal="center" wrapText="1"/>
    </xf>
    <xf numFmtId="166" fontId="0" fillId="0" borderId="13" xfId="0" applyNumberFormat="1" applyBorder="1" applyAlignment="1">
      <alignment wrapText="1"/>
    </xf>
    <xf numFmtId="166" fontId="0" fillId="0" borderId="14" xfId="0" applyNumberFormat="1" applyBorder="1" applyAlignment="1">
      <alignment wrapText="1"/>
    </xf>
    <xf numFmtId="166" fontId="0" fillId="0" borderId="0" xfId="0" applyNumberFormat="1" applyBorder="1" applyAlignment="1">
      <alignment wrapText="1"/>
    </xf>
    <xf numFmtId="166" fontId="0" fillId="0" borderId="15" xfId="0" applyNumberFormat="1" applyBorder="1" applyAlignment="1">
      <alignment wrapText="1"/>
    </xf>
    <xf numFmtId="166" fontId="0" fillId="0" borderId="17" xfId="0" applyNumberFormat="1" applyBorder="1" applyAlignment="1">
      <alignment wrapText="1"/>
    </xf>
    <xf numFmtId="166" fontId="0" fillId="0" borderId="16" xfId="0" applyNumberForma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9" fontId="2" fillId="0" borderId="14" xfId="0" applyNumberFormat="1" applyFont="1" applyBorder="1" applyAlignment="1">
      <alignment horizontal="center" wrapText="1"/>
    </xf>
    <xf numFmtId="0" fontId="2" fillId="0" borderId="13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0" xfId="0" applyBorder="1"/>
    <xf numFmtId="168" fontId="0" fillId="0" borderId="0" xfId="0" applyNumberFormat="1" applyAlignment="1">
      <alignment horizontal="center"/>
    </xf>
    <xf numFmtId="165" fontId="0" fillId="0" borderId="13" xfId="1" applyFont="1" applyBorder="1" applyAlignment="1">
      <alignment horizontal="center"/>
    </xf>
    <xf numFmtId="165" fontId="0" fillId="0" borderId="14" xfId="1" applyFont="1" applyBorder="1" applyAlignment="1">
      <alignment horizontal="left"/>
    </xf>
    <xf numFmtId="165" fontId="0" fillId="0" borderId="15" xfId="1" applyFont="1" applyBorder="1" applyAlignment="1">
      <alignment horizontal="center"/>
    </xf>
    <xf numFmtId="165" fontId="0" fillId="0" borderId="17" xfId="1" applyFont="1" applyBorder="1" applyAlignment="1">
      <alignment horizontal="left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11" xfId="0" applyBorder="1"/>
    <xf numFmtId="0" fontId="0" fillId="0" borderId="13" xfId="0" applyBorder="1"/>
    <xf numFmtId="165" fontId="2" fillId="0" borderId="13" xfId="0" applyNumberFormat="1" applyFont="1" applyBorder="1"/>
    <xf numFmtId="164" fontId="2" fillId="0" borderId="0" xfId="0" applyNumberFormat="1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6" fontId="0" fillId="0" borderId="13" xfId="0" applyNumberFormat="1" applyBorder="1" applyAlignment="1">
      <alignment horizontal="right"/>
    </xf>
    <xf numFmtId="165" fontId="0" fillId="0" borderId="0" xfId="1" applyFont="1" applyBorder="1" applyAlignment="1">
      <alignment horizontal="right"/>
    </xf>
    <xf numFmtId="165" fontId="0" fillId="0" borderId="14" xfId="1" applyFont="1" applyBorder="1" applyAlignment="1">
      <alignment horizontal="right"/>
    </xf>
    <xf numFmtId="166" fontId="2" fillId="0" borderId="13" xfId="0" applyNumberFormat="1" applyFont="1" applyBorder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8" fontId="2" fillId="0" borderId="14" xfId="0" applyNumberFormat="1" applyFon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166" fontId="0" fillId="0" borderId="14" xfId="0" applyNumberFormat="1" applyBorder="1" applyAlignment="1">
      <alignment horizontal="right"/>
    </xf>
    <xf numFmtId="166" fontId="2" fillId="0" borderId="14" xfId="0" applyNumberFormat="1" applyFont="1" applyBorder="1" applyAlignment="1">
      <alignment horizontal="right"/>
    </xf>
    <xf numFmtId="166" fontId="2" fillId="0" borderId="15" xfId="0" applyNumberFormat="1" applyFont="1" applyBorder="1" applyAlignment="1">
      <alignment horizontal="right"/>
    </xf>
    <xf numFmtId="166" fontId="2" fillId="0" borderId="16" xfId="0" applyNumberFormat="1" applyFont="1" applyBorder="1" applyAlignment="1">
      <alignment horizontal="right"/>
    </xf>
    <xf numFmtId="166" fontId="2" fillId="0" borderId="17" xfId="0" applyNumberFormat="1" applyFont="1" applyBorder="1" applyAlignment="1">
      <alignment horizontal="right"/>
    </xf>
    <xf numFmtId="0" fontId="0" fillId="0" borderId="11" xfId="0" applyBorder="1" applyAlignment="1">
      <alignment vertical="center"/>
    </xf>
    <xf numFmtId="0" fontId="0" fillId="0" borderId="13" xfId="0" applyBorder="1" applyAlignment="1">
      <alignment vertical="center"/>
    </xf>
    <xf numFmtId="164" fontId="2" fillId="0" borderId="4" xfId="0" applyNumberFormat="1" applyFont="1" applyBorder="1" applyAlignment="1">
      <alignment horizontal="center"/>
    </xf>
    <xf numFmtId="165" fontId="2" fillId="0" borderId="13" xfId="1" applyFont="1" applyBorder="1"/>
    <xf numFmtId="165" fontId="2" fillId="0" borderId="0" xfId="1" applyFont="1" applyBorder="1"/>
    <xf numFmtId="165" fontId="2" fillId="0" borderId="14" xfId="1" applyFont="1" applyBorder="1"/>
    <xf numFmtId="165" fontId="0" fillId="0" borderId="13" xfId="0" applyNumberFormat="1" applyBorder="1" applyAlignment="1">
      <alignment wrapText="1"/>
    </xf>
    <xf numFmtId="165" fontId="0" fillId="0" borderId="0" xfId="0" applyNumberFormat="1" applyBorder="1" applyAlignment="1">
      <alignment wrapText="1"/>
    </xf>
    <xf numFmtId="165" fontId="0" fillId="0" borderId="14" xfId="0" applyNumberFormat="1" applyBorder="1"/>
    <xf numFmtId="165" fontId="0" fillId="0" borderId="15" xfId="0" applyNumberFormat="1" applyBorder="1" applyAlignment="1">
      <alignment wrapText="1"/>
    </xf>
    <xf numFmtId="165" fontId="0" fillId="0" borderId="16" xfId="0" applyNumberFormat="1" applyBorder="1" applyAlignment="1">
      <alignment wrapText="1"/>
    </xf>
    <xf numFmtId="165" fontId="0" fillId="0" borderId="17" xfId="0" applyNumberFormat="1" applyBorder="1"/>
    <xf numFmtId="16" fontId="2" fillId="0" borderId="23" xfId="0" applyNumberFormat="1" applyFont="1" applyBorder="1"/>
    <xf numFmtId="165" fontId="1" fillId="0" borderId="9" xfId="1" applyFont="1" applyBorder="1" applyAlignment="1">
      <alignment wrapText="1"/>
    </xf>
    <xf numFmtId="165" fontId="1" fillId="0" borderId="7" xfId="1" applyFont="1" applyBorder="1" applyAlignment="1">
      <alignment wrapText="1"/>
    </xf>
    <xf numFmtId="165" fontId="1" fillId="0" borderId="7" xfId="1" applyFont="1" applyFill="1" applyBorder="1" applyAlignment="1">
      <alignment wrapText="1"/>
    </xf>
    <xf numFmtId="166" fontId="0" fillId="0" borderId="16" xfId="0" applyNumberFormat="1" applyBorder="1"/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6" fontId="0" fillId="0" borderId="27" xfId="0" applyNumberFormat="1" applyBorder="1" applyAlignment="1">
      <alignment wrapText="1"/>
    </xf>
    <xf numFmtId="166" fontId="0" fillId="0" borderId="27" xfId="0" applyNumberFormat="1" applyBorder="1"/>
    <xf numFmtId="166" fontId="0" fillId="0" borderId="28" xfId="0" applyNumberFormat="1" applyBorder="1" applyAlignment="1">
      <alignment wrapText="1"/>
    </xf>
    <xf numFmtId="166" fontId="0" fillId="0" borderId="28" xfId="0" applyNumberFormat="1" applyBorder="1"/>
    <xf numFmtId="166" fontId="0" fillId="0" borderId="29" xfId="0" applyNumberFormat="1" applyBorder="1" applyAlignment="1">
      <alignment wrapText="1"/>
    </xf>
    <xf numFmtId="166" fontId="0" fillId="0" borderId="29" xfId="0" applyNumberFormat="1" applyBorder="1"/>
    <xf numFmtId="0" fontId="2" fillId="0" borderId="24" xfId="0" applyFont="1" applyBorder="1" applyAlignment="1">
      <alignment horizontal="center" wrapText="1"/>
    </xf>
    <xf numFmtId="16" fontId="2" fillId="0" borderId="25" xfId="0" applyNumberFormat="1" applyFont="1" applyBorder="1" applyAlignment="1">
      <alignment wrapText="1"/>
    </xf>
    <xf numFmtId="0" fontId="2" fillId="0" borderId="26" xfId="0" applyFont="1" applyBorder="1" applyAlignment="1">
      <alignment horizontal="center" wrapText="1"/>
    </xf>
    <xf numFmtId="0" fontId="2" fillId="0" borderId="30" xfId="0" applyFont="1" applyBorder="1" applyAlignment="1">
      <alignment horizontal="center" wrapText="1"/>
    </xf>
    <xf numFmtId="165" fontId="2" fillId="0" borderId="31" xfId="0" applyNumberFormat="1" applyFont="1" applyBorder="1" applyAlignment="1">
      <alignment wrapText="1"/>
    </xf>
    <xf numFmtId="0" fontId="2" fillId="0" borderId="32" xfId="0" applyFont="1" applyBorder="1" applyAlignment="1">
      <alignment horizontal="center" wrapText="1"/>
    </xf>
    <xf numFmtId="165" fontId="2" fillId="0" borderId="33" xfId="0" applyNumberFormat="1" applyFont="1" applyBorder="1" applyAlignment="1">
      <alignment wrapText="1"/>
    </xf>
    <xf numFmtId="0" fontId="2" fillId="0" borderId="34" xfId="0" applyFont="1" applyBorder="1" applyAlignment="1">
      <alignment horizontal="center" wrapText="1"/>
    </xf>
    <xf numFmtId="165" fontId="1" fillId="0" borderId="35" xfId="1" applyFont="1" applyBorder="1" applyAlignment="1">
      <alignment wrapText="1"/>
    </xf>
    <xf numFmtId="165" fontId="2" fillId="0" borderId="36" xfId="0" applyNumberFormat="1" applyFont="1" applyBorder="1" applyAlignment="1">
      <alignment wrapText="1"/>
    </xf>
    <xf numFmtId="0" fontId="2" fillId="0" borderId="21" xfId="0" applyFont="1" applyBorder="1" applyAlignment="1">
      <alignment horizontal="center" wrapText="1"/>
    </xf>
    <xf numFmtId="170" fontId="0" fillId="0" borderId="7" xfId="1" applyNumberFormat="1" applyFont="1" applyBorder="1"/>
    <xf numFmtId="170" fontId="0" fillId="0" borderId="8" xfId="1" applyNumberFormat="1" applyFont="1" applyBorder="1"/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2" fillId="0" borderId="6" xfId="0" applyFont="1" applyFill="1" applyBorder="1" applyAlignment="1">
      <alignment horizontal="center" vertical="center" wrapText="1"/>
    </xf>
    <xf numFmtId="9" fontId="0" fillId="0" borderId="6" xfId="0" applyNumberFormat="1" applyBorder="1" applyAlignment="1">
      <alignment horizontal="center" vertical="center"/>
    </xf>
    <xf numFmtId="9" fontId="0" fillId="0" borderId="6" xfId="0" applyNumberFormat="1" applyBorder="1" applyAlignment="1">
      <alignment horizontal="center" vertical="center" wrapText="1"/>
    </xf>
    <xf numFmtId="165" fontId="0" fillId="0" borderId="6" xfId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6" xfId="1" applyFont="1" applyBorder="1" applyAlignment="1">
      <alignment horizontal="center" vertical="center"/>
    </xf>
    <xf numFmtId="165" fontId="2" fillId="4" borderId="4" xfId="1" applyFont="1" applyFill="1" applyBorder="1"/>
    <xf numFmtId="165" fontId="2" fillId="4" borderId="4" xfId="0" applyNumberFormat="1" applyFont="1" applyFill="1" applyBorder="1" applyAlignment="1">
      <alignment horizontal="center" wrapText="1"/>
    </xf>
    <xf numFmtId="165" fontId="2" fillId="4" borderId="4" xfId="0" applyNumberFormat="1" applyFont="1" applyFill="1" applyBorder="1" applyAlignment="1">
      <alignment horizontal="center"/>
    </xf>
    <xf numFmtId="165" fontId="2" fillId="4" borderId="18" xfId="0" applyNumberFormat="1" applyFont="1" applyFill="1" applyBorder="1" applyAlignment="1">
      <alignment horizontal="center"/>
    </xf>
    <xf numFmtId="165" fontId="2" fillId="5" borderId="4" xfId="0" applyNumberFormat="1" applyFont="1" applyFill="1" applyBorder="1" applyAlignment="1">
      <alignment horizontal="center" wrapText="1"/>
    </xf>
    <xf numFmtId="165" fontId="2" fillId="5" borderId="4" xfId="0" applyNumberFormat="1" applyFont="1" applyFill="1" applyBorder="1" applyAlignment="1">
      <alignment horizontal="center"/>
    </xf>
    <xf numFmtId="9" fontId="2" fillId="6" borderId="13" xfId="0" applyNumberFormat="1" applyFont="1" applyFill="1" applyBorder="1" applyAlignment="1">
      <alignment horizontal="center"/>
    </xf>
    <xf numFmtId="9" fontId="2" fillId="6" borderId="14" xfId="0" applyNumberFormat="1" applyFont="1" applyFill="1" applyBorder="1" applyAlignment="1">
      <alignment horizontal="center"/>
    </xf>
    <xf numFmtId="9" fontId="2" fillId="6" borderId="13" xfId="2" applyFont="1" applyFill="1" applyBorder="1" applyAlignment="1">
      <alignment horizontal="center"/>
    </xf>
    <xf numFmtId="9" fontId="2" fillId="6" borderId="14" xfId="2" applyFont="1" applyFill="1" applyBorder="1" applyAlignment="1">
      <alignment horizontal="center"/>
    </xf>
    <xf numFmtId="0" fontId="2" fillId="6" borderId="0" xfId="0" applyFont="1" applyFill="1" applyAlignment="1">
      <alignment horizontal="center"/>
    </xf>
    <xf numFmtId="0" fontId="2" fillId="5" borderId="0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165" fontId="1" fillId="0" borderId="6" xfId="1" applyFont="1" applyBorder="1" applyAlignment="1">
      <alignment wrapText="1"/>
    </xf>
    <xf numFmtId="165" fontId="0" fillId="5" borderId="0" xfId="1" applyFont="1" applyFill="1"/>
    <xf numFmtId="165" fontId="0" fillId="5" borderId="1" xfId="1" applyFont="1" applyFill="1" applyBorder="1"/>
    <xf numFmtId="169" fontId="9" fillId="0" borderId="39" xfId="0" applyNumberFormat="1" applyFont="1" applyBorder="1"/>
    <xf numFmtId="169" fontId="9" fillId="0" borderId="37" xfId="0" applyNumberFormat="1" applyFont="1" applyBorder="1"/>
    <xf numFmtId="169" fontId="9" fillId="0" borderId="23" xfId="0" applyNumberFormat="1" applyFont="1" applyBorder="1"/>
    <xf numFmtId="169" fontId="9" fillId="0" borderId="38" xfId="0" applyNumberFormat="1" applyFont="1" applyBorder="1"/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169" fontId="9" fillId="5" borderId="23" xfId="0" applyNumberFormat="1" applyFont="1" applyFill="1" applyBorder="1"/>
    <xf numFmtId="169" fontId="9" fillId="5" borderId="6" xfId="0" applyNumberFormat="1" applyFont="1" applyFill="1" applyBorder="1"/>
    <xf numFmtId="169" fontId="9" fillId="5" borderId="37" xfId="0" applyNumberFormat="1" applyFont="1" applyFill="1" applyBorder="1"/>
    <xf numFmtId="169" fontId="9" fillId="5" borderId="47" xfId="0" applyNumberFormat="1" applyFont="1" applyFill="1" applyBorder="1"/>
    <xf numFmtId="169" fontId="9" fillId="5" borderId="40" xfId="0" applyNumberFormat="1" applyFont="1" applyFill="1" applyBorder="1"/>
    <xf numFmtId="169" fontId="9" fillId="5" borderId="41" xfId="0" applyNumberFormat="1" applyFont="1" applyFill="1" applyBorder="1"/>
    <xf numFmtId="166" fontId="2" fillId="0" borderId="0" xfId="1" applyNumberFormat="1" applyFont="1" applyAlignment="1">
      <alignment horizontal="right"/>
    </xf>
    <xf numFmtId="0" fontId="0" fillId="0" borderId="0" xfId="0" applyAlignment="1">
      <alignment horizontal="center"/>
    </xf>
    <xf numFmtId="0" fontId="2" fillId="0" borderId="13" xfId="0" applyFont="1" applyBorder="1" applyAlignment="1">
      <alignment horizontal="center" vertical="center" wrapText="1"/>
    </xf>
    <xf numFmtId="9" fontId="2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6" fontId="2" fillId="0" borderId="0" xfId="0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5" fontId="2" fillId="0" borderId="0" xfId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68" fontId="0" fillId="0" borderId="13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168" fontId="0" fillId="0" borderId="15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165" fontId="0" fillId="0" borderId="14" xfId="1" applyFont="1" applyBorder="1" applyAlignment="1">
      <alignment horizontal="left" vertical="center"/>
    </xf>
    <xf numFmtId="16" fontId="2" fillId="0" borderId="6" xfId="0" applyNumberFormat="1" applyFont="1" applyBorder="1" applyAlignment="1">
      <alignment horizontal="center" vertical="center"/>
    </xf>
    <xf numFmtId="165" fontId="0" fillId="0" borderId="6" xfId="1" applyFont="1" applyBorder="1" applyAlignment="1">
      <alignment horizontal="left" vertical="center" wrapText="1"/>
    </xf>
    <xf numFmtId="165" fontId="0" fillId="0" borderId="0" xfId="1" applyFont="1" applyAlignment="1">
      <alignment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10" fillId="4" borderId="0" xfId="0" applyFont="1" applyFill="1" applyAlignment="1">
      <alignment horizontal="center"/>
    </xf>
    <xf numFmtId="0" fontId="0" fillId="4" borderId="0" xfId="0" applyFill="1" applyAlignment="1"/>
    <xf numFmtId="0" fontId="2" fillId="4" borderId="4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/>
    </xf>
    <xf numFmtId="0" fontId="2" fillId="6" borderId="12" xfId="0" applyFont="1" applyFill="1" applyBorder="1" applyAlignment="1">
      <alignment horizontal="center"/>
    </xf>
    <xf numFmtId="0" fontId="2" fillId="5" borderId="4" xfId="0" applyFont="1" applyFill="1" applyBorder="1" applyAlignment="1">
      <alignment horizontal="center" wrapText="1"/>
    </xf>
    <xf numFmtId="0" fontId="2" fillId="5" borderId="4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4" borderId="4" xfId="0" applyFont="1" applyFill="1" applyBorder="1" applyAlignment="1">
      <alignment horizontal="center" wrapText="1"/>
    </xf>
    <xf numFmtId="0" fontId="0" fillId="6" borderId="12" xfId="0" applyFill="1" applyBorder="1" applyAlignment="1">
      <alignment horizontal="center"/>
    </xf>
    <xf numFmtId="0" fontId="0" fillId="5" borderId="4" xfId="0" applyFill="1" applyBorder="1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0" fillId="5" borderId="0" xfId="0" applyFill="1" applyAlignment="1"/>
    <xf numFmtId="0" fontId="10" fillId="6" borderId="0" xfId="0" applyFont="1" applyFill="1" applyAlignment="1">
      <alignment horizontal="center"/>
    </xf>
    <xf numFmtId="0" fontId="0" fillId="6" borderId="0" xfId="0" applyFill="1" applyAlignment="1"/>
    <xf numFmtId="0" fontId="2" fillId="7" borderId="48" xfId="0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7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7" borderId="0" xfId="0" applyFill="1" applyAlignment="1">
      <alignment horizontal="center"/>
    </xf>
    <xf numFmtId="0" fontId="11" fillId="0" borderId="0" xfId="0" applyFont="1"/>
    <xf numFmtId="0" fontId="0" fillId="0" borderId="4" xfId="0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A18" sqref="A18"/>
    </sheetView>
  </sheetViews>
  <sheetFormatPr baseColWidth="10" defaultColWidth="9.140625" defaultRowHeight="15" x14ac:dyDescent="0.25"/>
  <cols>
    <col min="1" max="1" width="24.28515625" customWidth="1"/>
    <col min="2" max="2" width="3.140625" customWidth="1"/>
    <col min="3" max="3" width="16.5703125" customWidth="1"/>
    <col min="4" max="4" width="22.140625" customWidth="1"/>
    <col min="5" max="5" width="6.85546875" customWidth="1"/>
    <col min="6" max="6" width="18.140625" customWidth="1"/>
    <col min="7" max="7" width="21" customWidth="1"/>
  </cols>
  <sheetData>
    <row r="1" spans="1:7" ht="25.5" customHeight="1" thickBot="1" x14ac:dyDescent="0.3">
      <c r="C1" s="221" t="s">
        <v>107</v>
      </c>
      <c r="D1" s="223"/>
      <c r="E1" s="81"/>
      <c r="F1" s="221" t="s">
        <v>109</v>
      </c>
      <c r="G1" s="222"/>
    </row>
    <row r="2" spans="1:7" ht="30.75" thickBot="1" x14ac:dyDescent="0.3">
      <c r="A2" s="86" t="s">
        <v>57</v>
      </c>
      <c r="B2" s="77"/>
      <c r="C2" s="82" t="s">
        <v>40</v>
      </c>
      <c r="D2" s="199" t="s">
        <v>58</v>
      </c>
      <c r="E2" s="57"/>
      <c r="F2" s="198" t="s">
        <v>108</v>
      </c>
      <c r="G2" s="212" t="s">
        <v>92</v>
      </c>
    </row>
    <row r="3" spans="1:7" x14ac:dyDescent="0.25">
      <c r="A3" s="87"/>
      <c r="B3" s="77"/>
      <c r="C3" s="82"/>
      <c r="D3" s="83"/>
      <c r="E3" s="57"/>
      <c r="F3" s="84"/>
      <c r="G3" s="85"/>
    </row>
    <row r="4" spans="1:7" x14ac:dyDescent="0.25">
      <c r="A4" s="88" t="s">
        <v>4</v>
      </c>
      <c r="C4" s="90">
        <v>3401.67</v>
      </c>
      <c r="D4" s="217">
        <v>1133.8900000000001</v>
      </c>
      <c r="E4" s="89"/>
      <c r="F4" s="213">
        <f t="shared" ref="F4:F9" si="0">C4*10%</f>
        <v>340.16700000000003</v>
      </c>
      <c r="G4" s="214">
        <f>20000/F4/12</f>
        <v>4.8995542385553756</v>
      </c>
    </row>
    <row r="5" spans="1:7" x14ac:dyDescent="0.25">
      <c r="A5" s="88" t="s">
        <v>110</v>
      </c>
      <c r="C5" s="90">
        <v>3541.67</v>
      </c>
      <c r="D5" s="91">
        <v>1180.56</v>
      </c>
      <c r="E5" s="89"/>
      <c r="F5" s="213">
        <f t="shared" si="0"/>
        <v>354.16700000000003</v>
      </c>
      <c r="G5" s="214">
        <f t="shared" ref="G5:G9" si="1">20000/F5/12</f>
        <v>4.7058779238796005</v>
      </c>
    </row>
    <row r="6" spans="1:7" x14ac:dyDescent="0.25">
      <c r="A6" s="88" t="s">
        <v>96</v>
      </c>
      <c r="C6" s="90">
        <v>4623.42</v>
      </c>
      <c r="D6" s="91">
        <v>1541.14</v>
      </c>
      <c r="E6" s="89"/>
      <c r="F6" s="213">
        <f t="shared" si="0"/>
        <v>462.34200000000004</v>
      </c>
      <c r="G6" s="214">
        <f t="shared" si="1"/>
        <v>3.6048350932138256</v>
      </c>
    </row>
    <row r="7" spans="1:7" x14ac:dyDescent="0.25">
      <c r="A7" s="88" t="s">
        <v>5</v>
      </c>
      <c r="C7" s="90">
        <v>3473.83</v>
      </c>
      <c r="D7" s="91">
        <v>1157.94</v>
      </c>
      <c r="E7" s="89"/>
      <c r="F7" s="213">
        <f t="shared" si="0"/>
        <v>347.38300000000004</v>
      </c>
      <c r="G7" s="214">
        <f t="shared" si="1"/>
        <v>4.7977784366726821</v>
      </c>
    </row>
    <row r="8" spans="1:7" x14ac:dyDescent="0.25">
      <c r="A8" s="88" t="s">
        <v>93</v>
      </c>
      <c r="C8" s="90">
        <v>4458.08</v>
      </c>
      <c r="D8" s="91">
        <v>1486.03</v>
      </c>
      <c r="E8" s="89"/>
      <c r="F8" s="213">
        <f t="shared" si="0"/>
        <v>445.80799999999999</v>
      </c>
      <c r="G8" s="214">
        <f t="shared" si="1"/>
        <v>3.7385301893789857</v>
      </c>
    </row>
    <row r="9" spans="1:7" ht="15.75" thickBot="1" x14ac:dyDescent="0.3">
      <c r="A9" s="88" t="s">
        <v>94</v>
      </c>
      <c r="C9" s="92">
        <v>5128.83</v>
      </c>
      <c r="D9" s="93">
        <v>1709.61</v>
      </c>
      <c r="E9" s="89"/>
      <c r="F9" s="215">
        <f t="shared" si="0"/>
        <v>512.88300000000004</v>
      </c>
      <c r="G9" s="216">
        <f t="shared" si="1"/>
        <v>3.2496040357482436</v>
      </c>
    </row>
    <row r="10" spans="1:7" x14ac:dyDescent="0.25">
      <c r="C10" s="1"/>
      <c r="D10" s="1"/>
    </row>
    <row r="11" spans="1:7" ht="15.75" x14ac:dyDescent="0.25">
      <c r="A11" s="255" t="s">
        <v>111</v>
      </c>
    </row>
  </sheetData>
  <mergeCells count="2">
    <mergeCell ref="F1:G1"/>
    <mergeCell ref="C1:D1"/>
  </mergeCells>
  <pageMargins left="0.7" right="0.7" top="0.75" bottom="0.75" header="0.3" footer="0.3"/>
  <pageSetup orientation="landscape" horizontalDpi="300" verticalDpi="300" r:id="rId1"/>
  <headerFooter>
    <oddHeader>&amp;L&amp;A&amp;R01/27/2018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view="pageBreakPreview" zoomScale="60" zoomScaleNormal="100" workbookViewId="0">
      <selection sqref="A1:D20"/>
    </sheetView>
  </sheetViews>
  <sheetFormatPr baseColWidth="10" defaultRowHeight="15.75" x14ac:dyDescent="0.25"/>
  <cols>
    <col min="1" max="1" width="45.5703125" style="60" customWidth="1"/>
    <col min="2" max="2" width="16.85546875" style="59" bestFit="1" customWidth="1"/>
    <col min="3" max="4" width="16.85546875" style="59" customWidth="1"/>
    <col min="5" max="7" width="12" style="59" bestFit="1" customWidth="1"/>
    <col min="8" max="16384" width="11.42578125" style="59"/>
  </cols>
  <sheetData>
    <row r="1" spans="1:4" x14ac:dyDescent="0.25">
      <c r="A1" s="60" t="s">
        <v>78</v>
      </c>
    </row>
    <row r="2" spans="1:4" ht="16.5" thickBot="1" x14ac:dyDescent="0.3"/>
    <row r="3" spans="1:4" ht="16.5" thickBot="1" x14ac:dyDescent="0.3">
      <c r="A3" s="186" t="s">
        <v>41</v>
      </c>
      <c r="B3" s="187" t="s">
        <v>43</v>
      </c>
      <c r="C3" s="188" t="s">
        <v>104</v>
      </c>
      <c r="D3" s="189" t="s">
        <v>42</v>
      </c>
    </row>
    <row r="4" spans="1:4" ht="32.25" customHeight="1" thickTop="1" x14ac:dyDescent="0.2">
      <c r="A4" s="257" t="s">
        <v>77</v>
      </c>
      <c r="B4" s="185">
        <v>17500</v>
      </c>
      <c r="C4" s="62">
        <v>4500</v>
      </c>
      <c r="D4" s="182">
        <v>2500</v>
      </c>
    </row>
    <row r="5" spans="1:4" ht="32.25" customHeight="1" x14ac:dyDescent="0.2">
      <c r="A5" s="257" t="s">
        <v>124</v>
      </c>
      <c r="B5" s="184">
        <v>544</v>
      </c>
      <c r="C5" s="61">
        <v>634</v>
      </c>
      <c r="D5" s="183">
        <v>1361</v>
      </c>
    </row>
    <row r="6" spans="1:4" ht="32.25" customHeight="1" x14ac:dyDescent="0.2">
      <c r="A6" s="257" t="s">
        <v>73</v>
      </c>
      <c r="B6" s="190">
        <f>$B$4+$B$5</f>
        <v>18044</v>
      </c>
      <c r="C6" s="191">
        <f>$C$4+$C$5</f>
        <v>5134</v>
      </c>
      <c r="D6" s="192">
        <f>$D$4+$D$5</f>
        <v>3861</v>
      </c>
    </row>
    <row r="7" spans="1:4" ht="32.25" customHeight="1" x14ac:dyDescent="0.2">
      <c r="A7" s="257" t="s">
        <v>74</v>
      </c>
      <c r="B7" s="190">
        <f>$B$4+$B$5*5</f>
        <v>20220</v>
      </c>
      <c r="C7" s="191">
        <f>$C$4+$C$5*5</f>
        <v>7670</v>
      </c>
      <c r="D7" s="192">
        <f>$D$4+$D$5*5</f>
        <v>9305</v>
      </c>
    </row>
    <row r="8" spans="1:4" ht="32.25" customHeight="1" x14ac:dyDescent="0.2">
      <c r="A8" s="257" t="s">
        <v>75</v>
      </c>
      <c r="B8" s="190">
        <f>$B$4+$B$5*10</f>
        <v>22940</v>
      </c>
      <c r="C8" s="191">
        <f>$C$4+$C$5*10</f>
        <v>10840</v>
      </c>
      <c r="D8" s="192">
        <f>$D$4+$D$5*10</f>
        <v>16110</v>
      </c>
    </row>
    <row r="9" spans="1:4" ht="32.25" customHeight="1" thickBot="1" x14ac:dyDescent="0.25">
      <c r="A9" s="257" t="s">
        <v>76</v>
      </c>
      <c r="B9" s="193">
        <f>$B$4+$B$5*25</f>
        <v>31100</v>
      </c>
      <c r="C9" s="194">
        <f>$C$4+$C$5*25</f>
        <v>20350</v>
      </c>
      <c r="D9" s="195">
        <f>$D$4+$D$5*25</f>
        <v>36525</v>
      </c>
    </row>
    <row r="11" spans="1:4" x14ac:dyDescent="0.25">
      <c r="A11" s="60" t="s">
        <v>79</v>
      </c>
    </row>
    <row r="12" spans="1:4" ht="16.5" thickBot="1" x14ac:dyDescent="0.3"/>
    <row r="13" spans="1:4" ht="16.5" thickBot="1" x14ac:dyDescent="0.3">
      <c r="A13" s="186" t="s">
        <v>41</v>
      </c>
      <c r="B13" s="187" t="s">
        <v>43</v>
      </c>
      <c r="C13" s="188" t="s">
        <v>104</v>
      </c>
      <c r="D13" s="189" t="s">
        <v>42</v>
      </c>
    </row>
    <row r="14" spans="1:4" ht="32.25" customHeight="1" thickTop="1" x14ac:dyDescent="0.2">
      <c r="A14" s="257" t="s">
        <v>77</v>
      </c>
      <c r="B14" s="185">
        <f>B4-12000</f>
        <v>5500</v>
      </c>
      <c r="C14" s="62">
        <f>C4</f>
        <v>4500</v>
      </c>
      <c r="D14" s="182">
        <f>D4</f>
        <v>2500</v>
      </c>
    </row>
    <row r="15" spans="1:4" ht="32.25" customHeight="1" x14ac:dyDescent="0.2">
      <c r="A15" s="257" t="s">
        <v>124</v>
      </c>
      <c r="B15" s="184">
        <f>B5</f>
        <v>544</v>
      </c>
      <c r="C15" s="61">
        <f>C5</f>
        <v>634</v>
      </c>
      <c r="D15" s="183">
        <f>D5</f>
        <v>1361</v>
      </c>
    </row>
    <row r="16" spans="1:4" ht="32.25" customHeight="1" x14ac:dyDescent="0.2">
      <c r="A16" s="257" t="s">
        <v>73</v>
      </c>
      <c r="B16" s="190">
        <f>$B$14+$B$15</f>
        <v>6044</v>
      </c>
      <c r="C16" s="191">
        <f>$C$14+$C$15</f>
        <v>5134</v>
      </c>
      <c r="D16" s="192">
        <f>$D$14+$D$15</f>
        <v>3861</v>
      </c>
    </row>
    <row r="17" spans="1:4" ht="32.25" customHeight="1" x14ac:dyDescent="0.2">
      <c r="A17" s="257" t="s">
        <v>74</v>
      </c>
      <c r="B17" s="190">
        <f>$B$14+$B$15*5</f>
        <v>8220</v>
      </c>
      <c r="C17" s="191">
        <f>$C$14+$C$15*5</f>
        <v>7670</v>
      </c>
      <c r="D17" s="192">
        <f>$D$14+$D$15*5</f>
        <v>9305</v>
      </c>
    </row>
    <row r="18" spans="1:4" ht="32.25" customHeight="1" x14ac:dyDescent="0.2">
      <c r="A18" s="257" t="s">
        <v>75</v>
      </c>
      <c r="B18" s="190">
        <f>$B$14+$B$15*10</f>
        <v>10940</v>
      </c>
      <c r="C18" s="191">
        <f>$C$14+$C$15*10</f>
        <v>10840</v>
      </c>
      <c r="D18" s="192">
        <f>$D$14+$D$15*10</f>
        <v>16110</v>
      </c>
    </row>
    <row r="19" spans="1:4" ht="32.25" customHeight="1" x14ac:dyDescent="0.2">
      <c r="A19" s="257" t="s">
        <v>80</v>
      </c>
      <c r="B19" s="190">
        <f>$B$14+$B$15*11</f>
        <v>11484</v>
      </c>
      <c r="C19" s="191">
        <f>$C$14+$C$15*11</f>
        <v>11474</v>
      </c>
      <c r="D19" s="192">
        <f>$D$14+$D$15*11</f>
        <v>17471</v>
      </c>
    </row>
    <row r="20" spans="1:4" ht="32.25" customHeight="1" thickBot="1" x14ac:dyDescent="0.25">
      <c r="A20" s="257" t="s">
        <v>81</v>
      </c>
      <c r="B20" s="193">
        <f>$B$14+$B$15*12</f>
        <v>12028</v>
      </c>
      <c r="C20" s="194">
        <f>$C$14+$C$15*12</f>
        <v>12108</v>
      </c>
      <c r="D20" s="195">
        <f>$D$14+$D$15*12</f>
        <v>18832</v>
      </c>
    </row>
    <row r="22" spans="1:4" ht="15" x14ac:dyDescent="0.2">
      <c r="A22" s="255" t="s">
        <v>111</v>
      </c>
    </row>
  </sheetData>
  <pageMargins left="0.7" right="0.7" top="0.75" bottom="0.75" header="0.3" footer="0.3"/>
  <pageSetup orientation="landscape" horizontalDpi="300" verticalDpi="300" r:id="rId1"/>
  <headerFooter>
    <oddHeader>&amp;L&amp;A&amp;R01/27/2018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view="pageBreakPreview" zoomScale="60" zoomScaleNormal="100" workbookViewId="0">
      <selection activeCell="A21" sqref="A21"/>
    </sheetView>
  </sheetViews>
  <sheetFormatPr baseColWidth="10" defaultColWidth="11.42578125" defaultRowHeight="15" x14ac:dyDescent="0.25"/>
  <cols>
    <col min="1" max="1" width="23.42578125" customWidth="1"/>
    <col min="2" max="2" width="19.5703125" customWidth="1"/>
    <col min="3" max="3" width="21" customWidth="1"/>
    <col min="4" max="4" width="21.28515625" customWidth="1"/>
    <col min="5" max="5" width="26.7109375" customWidth="1"/>
    <col min="6" max="6" width="18.28515625" customWidth="1"/>
    <col min="7" max="7" width="18.42578125" customWidth="1"/>
    <col min="8" max="8" width="16.7109375" customWidth="1"/>
  </cols>
  <sheetData>
    <row r="1" spans="1:8" x14ac:dyDescent="0.25">
      <c r="B1" s="3" t="s">
        <v>36</v>
      </c>
      <c r="C1" s="3" t="s">
        <v>37</v>
      </c>
      <c r="D1" s="246" t="s">
        <v>39</v>
      </c>
      <c r="E1" s="246"/>
      <c r="F1" s="246"/>
      <c r="G1" s="246"/>
    </row>
    <row r="2" spans="1:8" x14ac:dyDescent="0.25">
      <c r="B2" s="3"/>
      <c r="C2" s="3"/>
      <c r="D2" s="254" t="str">
        <f>D10</f>
        <v>Assurance de base</v>
      </c>
      <c r="E2" s="254"/>
      <c r="F2" s="254" t="str">
        <f>G10</f>
        <v>Assurance multirisque</v>
      </c>
      <c r="G2" s="254"/>
    </row>
    <row r="3" spans="1:8" x14ac:dyDescent="0.25">
      <c r="A3" s="3" t="s">
        <v>60</v>
      </c>
      <c r="D3" s="55">
        <f>D12</f>
        <v>500</v>
      </c>
      <c r="E3" s="55">
        <f>E12</f>
        <v>200</v>
      </c>
      <c r="F3" s="55">
        <f>G12</f>
        <v>500</v>
      </c>
      <c r="G3" s="55">
        <f>H12</f>
        <v>200</v>
      </c>
    </row>
    <row r="4" spans="1:8" x14ac:dyDescent="0.25">
      <c r="A4" t="s">
        <v>59</v>
      </c>
      <c r="B4" s="13">
        <v>1500</v>
      </c>
      <c r="C4" s="54">
        <v>75</v>
      </c>
      <c r="D4" s="117">
        <f>$B$4+$C$4+D13</f>
        <v>1749</v>
      </c>
      <c r="E4" s="117">
        <f>$B$4+$C$4+E13</f>
        <v>1766.4</v>
      </c>
      <c r="F4" s="56">
        <f>$B$4+$C$4+G13</f>
        <v>1801</v>
      </c>
      <c r="G4" s="56">
        <f>$B$4+$C$4+H13</f>
        <v>1823.6</v>
      </c>
    </row>
    <row r="5" spans="1:8" x14ac:dyDescent="0.25">
      <c r="A5" t="s">
        <v>103</v>
      </c>
      <c r="B5" s="13">
        <v>1300</v>
      </c>
      <c r="C5" s="54">
        <v>146</v>
      </c>
      <c r="D5" s="56">
        <f>$B$5+$C$5+D15</f>
        <v>1718</v>
      </c>
      <c r="E5" s="56">
        <f>$B$5+$C$5+E15</f>
        <v>1745.2</v>
      </c>
      <c r="F5" s="56">
        <f>$B$5+$C$5+G15</f>
        <v>1792</v>
      </c>
      <c r="G5" s="56">
        <f>$B$5+$C$5+H15</f>
        <v>1826.6</v>
      </c>
    </row>
    <row r="6" spans="1:8" x14ac:dyDescent="0.25">
      <c r="A6" t="s">
        <v>83</v>
      </c>
      <c r="B6" s="13">
        <v>1700</v>
      </c>
      <c r="C6" s="54">
        <v>175</v>
      </c>
      <c r="D6" s="56">
        <f>$B$6+$C$6+D17</f>
        <v>2168</v>
      </c>
      <c r="E6" s="56">
        <f>$B$6+$C$6+E17</f>
        <v>2197.3000000000002</v>
      </c>
      <c r="F6" s="56">
        <f>$B$6+$C$6+G17</f>
        <v>2248</v>
      </c>
      <c r="G6" s="56">
        <f>$B$6+$C$6+H17</f>
        <v>2285.3000000000002</v>
      </c>
    </row>
    <row r="7" spans="1:8" x14ac:dyDescent="0.25">
      <c r="A7" t="s">
        <v>84</v>
      </c>
      <c r="B7" s="13">
        <v>1800</v>
      </c>
      <c r="C7" s="54">
        <v>275</v>
      </c>
      <c r="D7" s="56">
        <f>$B$7+$C$7+D19</f>
        <v>2274</v>
      </c>
      <c r="E7" s="56">
        <f>$B$7+$C$7+E19</f>
        <v>2293.9</v>
      </c>
      <c r="F7" s="56">
        <f>$B$7+$C$7+G19</f>
        <v>2327</v>
      </c>
      <c r="G7" s="56">
        <f>$B$7+$C$7+H19</f>
        <v>2352.1999999999998</v>
      </c>
    </row>
    <row r="9" spans="1:8" x14ac:dyDescent="0.25">
      <c r="A9" s="3" t="s">
        <v>38</v>
      </c>
    </row>
    <row r="10" spans="1:8" x14ac:dyDescent="0.25">
      <c r="B10" s="253" t="s">
        <v>82</v>
      </c>
      <c r="D10" s="254" t="s">
        <v>61</v>
      </c>
      <c r="E10" s="254"/>
      <c r="G10" s="254" t="s">
        <v>62</v>
      </c>
      <c r="H10" s="254"/>
    </row>
    <row r="11" spans="1:8" x14ac:dyDescent="0.25">
      <c r="B11" s="253"/>
      <c r="D11" s="250" t="s">
        <v>16</v>
      </c>
      <c r="E11" s="250"/>
      <c r="G11" s="250" t="s">
        <v>16</v>
      </c>
      <c r="H11" s="250"/>
    </row>
    <row r="12" spans="1:8" x14ac:dyDescent="0.25">
      <c r="D12" s="23">
        <v>500</v>
      </c>
      <c r="E12" s="23">
        <v>200</v>
      </c>
      <c r="G12" s="23">
        <v>500</v>
      </c>
      <c r="H12" s="23">
        <v>200</v>
      </c>
    </row>
    <row r="13" spans="1:8" x14ac:dyDescent="0.25">
      <c r="A13" t="str">
        <f>A4</f>
        <v>Condominium</v>
      </c>
      <c r="B13" s="27">
        <v>30000</v>
      </c>
      <c r="D13" s="26">
        <v>174</v>
      </c>
      <c r="E13" s="26">
        <f>1.1*D13</f>
        <v>191.4</v>
      </c>
      <c r="F13" s="26"/>
      <c r="G13" s="26">
        <v>226</v>
      </c>
      <c r="H13" s="26">
        <f>G13*1.1</f>
        <v>248.60000000000002</v>
      </c>
    </row>
    <row r="14" spans="1:8" x14ac:dyDescent="0.25">
      <c r="B14" s="28"/>
      <c r="D14" s="26"/>
      <c r="E14" s="26"/>
      <c r="F14" s="26"/>
      <c r="G14" s="26"/>
      <c r="H14" s="26"/>
    </row>
    <row r="15" spans="1:8" x14ac:dyDescent="0.25">
      <c r="A15" t="str">
        <f>A5</f>
        <v>Maison à Sainte-Agathe</v>
      </c>
      <c r="B15" s="27">
        <v>55000</v>
      </c>
      <c r="D15" s="26">
        <v>272</v>
      </c>
      <c r="E15" s="196">
        <f>D15*1.1</f>
        <v>299.20000000000005</v>
      </c>
      <c r="F15" s="26"/>
      <c r="G15" s="26">
        <v>346</v>
      </c>
      <c r="H15" s="26">
        <f>G15*1.1</f>
        <v>380.6</v>
      </c>
    </row>
    <row r="16" spans="1:8" x14ac:dyDescent="0.25">
      <c r="B16" s="28"/>
      <c r="D16" s="26"/>
      <c r="E16" s="26"/>
      <c r="F16" s="26"/>
      <c r="G16" s="26"/>
      <c r="H16" s="26"/>
    </row>
    <row r="17" spans="1:8" x14ac:dyDescent="0.25">
      <c r="A17" t="str">
        <f>A6</f>
        <v>Maison à Winnipeg</v>
      </c>
      <c r="B17" s="27">
        <v>60000</v>
      </c>
      <c r="D17" s="26">
        <v>293</v>
      </c>
      <c r="E17" s="26">
        <f>D17*1.1</f>
        <v>322.3</v>
      </c>
      <c r="F17" s="26"/>
      <c r="G17" s="26">
        <v>373</v>
      </c>
      <c r="H17" s="26">
        <f>G17*1.1</f>
        <v>410.3</v>
      </c>
    </row>
    <row r="18" spans="1:8" x14ac:dyDescent="0.25">
      <c r="B18" s="28"/>
      <c r="D18" s="26"/>
      <c r="E18" s="26"/>
      <c r="F18" s="26"/>
      <c r="G18" s="26"/>
      <c r="H18" s="26"/>
    </row>
    <row r="19" spans="1:8" x14ac:dyDescent="0.25">
      <c r="A19" t="str">
        <f>A7</f>
        <v>Maison à Thompson</v>
      </c>
      <c r="B19" s="27">
        <v>35000</v>
      </c>
      <c r="D19" s="26">
        <v>199</v>
      </c>
      <c r="E19" s="26">
        <f>D19*1.1</f>
        <v>218.9</v>
      </c>
      <c r="F19" s="26"/>
      <c r="G19" s="26">
        <v>252</v>
      </c>
      <c r="H19" s="26">
        <f>G19*1.1</f>
        <v>277.20000000000005</v>
      </c>
    </row>
    <row r="21" spans="1:8" ht="15.75" x14ac:dyDescent="0.25">
      <c r="A21" s="255" t="s">
        <v>111</v>
      </c>
    </row>
  </sheetData>
  <mergeCells count="8">
    <mergeCell ref="D1:G1"/>
    <mergeCell ref="B10:B11"/>
    <mergeCell ref="D11:E11"/>
    <mergeCell ref="G11:H11"/>
    <mergeCell ref="G10:H10"/>
    <mergeCell ref="D10:E10"/>
    <mergeCell ref="D2:E2"/>
    <mergeCell ref="F2:G2"/>
  </mergeCells>
  <pageMargins left="0.7" right="0.7" top="0.75" bottom="0.75" header="0.3" footer="0.3"/>
  <pageSetup orientation="landscape" r:id="rId1"/>
  <headerFooter>
    <oddHeader>&amp;L&amp;A&amp;R12/09/2017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activeCell="A23" sqref="A23"/>
    </sheetView>
  </sheetViews>
  <sheetFormatPr baseColWidth="10" defaultColWidth="11.42578125" defaultRowHeight="15" x14ac:dyDescent="0.25"/>
  <cols>
    <col min="1" max="1" width="15.140625" customWidth="1"/>
    <col min="2" max="2" width="12.85546875" customWidth="1"/>
    <col min="3" max="3" width="3" customWidth="1"/>
    <col min="4" max="4" width="12.28515625" customWidth="1"/>
    <col min="5" max="6" width="13" bestFit="1" customWidth="1"/>
    <col min="7" max="7" width="11.42578125" customWidth="1"/>
    <col min="8" max="8" width="12.5703125" customWidth="1"/>
    <col min="9" max="9" width="14.5703125" customWidth="1"/>
    <col min="10" max="10" width="12.85546875" customWidth="1"/>
  </cols>
  <sheetData>
    <row r="1" spans="1:10" ht="15.75" thickBot="1" x14ac:dyDescent="0.3">
      <c r="A1" s="77" t="s">
        <v>60</v>
      </c>
      <c r="D1" s="96"/>
      <c r="E1" s="225" t="s">
        <v>61</v>
      </c>
      <c r="F1" s="226"/>
      <c r="G1" s="94"/>
      <c r="H1" s="113"/>
      <c r="I1" s="225" t="s">
        <v>62</v>
      </c>
      <c r="J1" s="226"/>
    </row>
    <row r="2" spans="1:10" ht="15.75" thickBot="1" x14ac:dyDescent="0.3">
      <c r="B2" s="3" t="s">
        <v>15</v>
      </c>
      <c r="C2" s="3"/>
      <c r="D2" s="97"/>
      <c r="E2" s="224" t="s">
        <v>16</v>
      </c>
      <c r="F2" s="224"/>
      <c r="G2" s="95"/>
      <c r="H2" s="114"/>
      <c r="I2" s="224" t="s">
        <v>16</v>
      </c>
      <c r="J2" s="224"/>
    </row>
    <row r="3" spans="1:10" ht="15.75" thickBot="1" x14ac:dyDescent="0.3">
      <c r="B3" s="3"/>
      <c r="C3" s="3"/>
      <c r="D3" s="98"/>
      <c r="E3" s="115">
        <v>500</v>
      </c>
      <c r="F3" s="115">
        <v>200</v>
      </c>
      <c r="G3" s="14"/>
      <c r="H3" s="98"/>
      <c r="I3" s="115">
        <v>500</v>
      </c>
      <c r="J3" s="115">
        <v>200</v>
      </c>
    </row>
    <row r="4" spans="1:10" x14ac:dyDescent="0.25">
      <c r="B4" s="3"/>
      <c r="C4" s="3"/>
      <c r="D4" s="98"/>
      <c r="E4" s="99"/>
      <c r="F4" s="100"/>
      <c r="G4" s="14"/>
      <c r="H4" s="98"/>
      <c r="I4" s="99"/>
      <c r="J4" s="100"/>
    </row>
    <row r="5" spans="1:10" x14ac:dyDescent="0.25">
      <c r="A5" s="3" t="s">
        <v>59</v>
      </c>
      <c r="B5" s="13">
        <v>140000</v>
      </c>
      <c r="C5" s="13"/>
      <c r="D5" s="101">
        <v>314</v>
      </c>
      <c r="E5" s="102">
        <f>D5</f>
        <v>314</v>
      </c>
      <c r="F5" s="103">
        <f>E5*1.1</f>
        <v>345.40000000000003</v>
      </c>
      <c r="G5" s="22"/>
      <c r="H5" s="101">
        <v>348</v>
      </c>
      <c r="I5" s="107">
        <f>H5</f>
        <v>348</v>
      </c>
      <c r="J5" s="108">
        <f>I5*1.1</f>
        <v>382.8</v>
      </c>
    </row>
    <row r="6" spans="1:10" x14ac:dyDescent="0.25">
      <c r="A6" s="3"/>
      <c r="B6" s="13"/>
      <c r="C6" s="13"/>
      <c r="D6" s="104" t="s">
        <v>9</v>
      </c>
      <c r="E6" s="105">
        <f>E5</f>
        <v>314</v>
      </c>
      <c r="F6" s="106">
        <f>F5</f>
        <v>345.40000000000003</v>
      </c>
      <c r="G6" s="22"/>
      <c r="H6" s="104" t="str">
        <f>D6</f>
        <v>Total</v>
      </c>
      <c r="I6" s="105">
        <f>I5</f>
        <v>348</v>
      </c>
      <c r="J6" s="109">
        <f>J5</f>
        <v>382.8</v>
      </c>
    </row>
    <row r="7" spans="1:10" x14ac:dyDescent="0.25">
      <c r="A7" s="3"/>
      <c r="B7" s="13"/>
      <c r="C7" s="13"/>
      <c r="D7" s="104"/>
      <c r="E7" s="105"/>
      <c r="F7" s="106"/>
      <c r="G7" s="22"/>
      <c r="H7" s="104"/>
      <c r="I7" s="105"/>
      <c r="J7" s="109"/>
    </row>
    <row r="8" spans="1:10" ht="30" x14ac:dyDescent="0.25">
      <c r="A8" s="58" t="s">
        <v>70</v>
      </c>
      <c r="B8" s="13">
        <v>270000</v>
      </c>
      <c r="C8" s="13"/>
      <c r="D8" s="101"/>
      <c r="E8" s="107"/>
      <c r="F8" s="108"/>
      <c r="G8" s="22"/>
      <c r="H8" s="101"/>
      <c r="I8" s="107"/>
      <c r="J8" s="108"/>
    </row>
    <row r="9" spans="1:10" x14ac:dyDescent="0.25">
      <c r="A9" s="58"/>
      <c r="B9" s="13">
        <v>200000</v>
      </c>
      <c r="C9" s="13"/>
      <c r="D9" s="101">
        <v>519</v>
      </c>
      <c r="E9" s="107">
        <f>D9</f>
        <v>519</v>
      </c>
      <c r="F9" s="108">
        <f>E9*1.1</f>
        <v>570.90000000000009</v>
      </c>
      <c r="G9" s="22"/>
      <c r="H9" s="101">
        <v>571</v>
      </c>
      <c r="I9" s="107">
        <f>H9</f>
        <v>571</v>
      </c>
      <c r="J9" s="108">
        <f>I9*1.1</f>
        <v>628.1</v>
      </c>
    </row>
    <row r="10" spans="1:10" x14ac:dyDescent="0.25">
      <c r="A10" s="58"/>
      <c r="B10" s="13">
        <f>B8-B9</f>
        <v>70000</v>
      </c>
      <c r="C10" s="13"/>
      <c r="D10" s="101">
        <v>2.75</v>
      </c>
      <c r="E10" s="107">
        <f>B10/1000*D10</f>
        <v>192.5</v>
      </c>
      <c r="F10" s="108">
        <f>E10*1.1</f>
        <v>211.75000000000003</v>
      </c>
      <c r="G10" s="22"/>
      <c r="H10" s="101">
        <v>3.03</v>
      </c>
      <c r="I10" s="107">
        <f>B10*H10/1000</f>
        <v>212.1</v>
      </c>
      <c r="J10" s="108">
        <f>I10*1.1</f>
        <v>233.31</v>
      </c>
    </row>
    <row r="11" spans="1:10" x14ac:dyDescent="0.25">
      <c r="A11" s="58"/>
      <c r="B11" s="13"/>
      <c r="C11" s="13"/>
      <c r="D11" s="104" t="str">
        <f>D6</f>
        <v>Total</v>
      </c>
      <c r="E11" s="105">
        <f>SUM(E9:E10)</f>
        <v>711.5</v>
      </c>
      <c r="F11" s="109">
        <f>E11*1.1</f>
        <v>782.65000000000009</v>
      </c>
      <c r="G11" s="22"/>
      <c r="H11" s="104" t="str">
        <f>D6</f>
        <v>Total</v>
      </c>
      <c r="I11" s="105">
        <f>SUM(I9:I10)</f>
        <v>783.1</v>
      </c>
      <c r="J11" s="109">
        <f>I11*1.1</f>
        <v>861.41000000000008</v>
      </c>
    </row>
    <row r="12" spans="1:10" x14ac:dyDescent="0.25">
      <c r="A12" s="58"/>
      <c r="B12" s="13"/>
      <c r="C12" s="13"/>
      <c r="D12" s="104"/>
      <c r="E12" s="105"/>
      <c r="F12" s="109"/>
      <c r="G12" s="22"/>
      <c r="H12" s="104"/>
      <c r="I12" s="105"/>
      <c r="J12" s="109"/>
    </row>
    <row r="13" spans="1:10" ht="30" x14ac:dyDescent="0.25">
      <c r="A13" s="58" t="s">
        <v>63</v>
      </c>
      <c r="B13" s="13">
        <v>285000</v>
      </c>
      <c r="C13" s="13"/>
      <c r="D13" s="101"/>
      <c r="E13" s="107"/>
      <c r="F13" s="108"/>
      <c r="G13" s="22"/>
      <c r="H13" s="101"/>
      <c r="I13" s="107"/>
      <c r="J13" s="108"/>
    </row>
    <row r="14" spans="1:10" x14ac:dyDescent="0.25">
      <c r="A14" s="58"/>
      <c r="B14" s="13">
        <v>200000</v>
      </c>
      <c r="C14" s="13"/>
      <c r="D14" s="101">
        <v>692</v>
      </c>
      <c r="E14" s="107">
        <f>D14</f>
        <v>692</v>
      </c>
      <c r="F14" s="108">
        <f>E14*1.1</f>
        <v>761.2</v>
      </c>
      <c r="G14" s="22"/>
      <c r="H14" s="101">
        <v>771</v>
      </c>
      <c r="I14" s="107">
        <f>H14</f>
        <v>771</v>
      </c>
      <c r="J14" s="108">
        <f>I14*1.1</f>
        <v>848.1</v>
      </c>
    </row>
    <row r="15" spans="1:10" x14ac:dyDescent="0.25">
      <c r="A15" s="58"/>
      <c r="B15" s="13">
        <f>B13-B14</f>
        <v>85000</v>
      </c>
      <c r="C15" s="13"/>
      <c r="D15" s="101">
        <v>3.15</v>
      </c>
      <c r="E15" s="107">
        <f>B15*D15/1000</f>
        <v>267.75</v>
      </c>
      <c r="F15" s="108">
        <f>E15*1.1</f>
        <v>294.52500000000003</v>
      </c>
      <c r="G15" s="22"/>
      <c r="H15" s="101">
        <v>3.5</v>
      </c>
      <c r="I15" s="107">
        <f>B15*H15/1000</f>
        <v>297.5</v>
      </c>
      <c r="J15" s="108">
        <f>I15*1.1</f>
        <v>327.25</v>
      </c>
    </row>
    <row r="16" spans="1:10" x14ac:dyDescent="0.25">
      <c r="A16" s="58"/>
      <c r="B16" s="13"/>
      <c r="C16" s="13"/>
      <c r="D16" s="104" t="str">
        <f>D6</f>
        <v>Total</v>
      </c>
      <c r="E16" s="105">
        <f>SUM(E14:E15)</f>
        <v>959.75</v>
      </c>
      <c r="F16" s="109">
        <f>E16*1.1</f>
        <v>1055.7250000000001</v>
      </c>
      <c r="G16" s="22"/>
      <c r="H16" s="104" t="str">
        <f>D6</f>
        <v>Total</v>
      </c>
      <c r="I16" s="105">
        <f>SUM(I14:I15)</f>
        <v>1068.5</v>
      </c>
      <c r="J16" s="109">
        <f>I16*1.1</f>
        <v>1175.3500000000001</v>
      </c>
    </row>
    <row r="17" spans="1:10" x14ac:dyDescent="0.25">
      <c r="A17" s="58"/>
      <c r="B17" s="13"/>
      <c r="C17" s="13"/>
      <c r="D17" s="104"/>
      <c r="E17" s="105"/>
      <c r="F17" s="109"/>
      <c r="G17" s="22"/>
      <c r="H17" s="104"/>
      <c r="I17" s="105"/>
      <c r="J17" s="109"/>
    </row>
    <row r="18" spans="1:10" ht="30" x14ac:dyDescent="0.25">
      <c r="A18" s="58" t="s">
        <v>64</v>
      </c>
      <c r="B18" s="13">
        <v>229000</v>
      </c>
      <c r="C18" s="13"/>
      <c r="D18" s="101"/>
      <c r="E18" s="107"/>
      <c r="F18" s="108"/>
      <c r="G18" s="22"/>
      <c r="H18" s="101"/>
      <c r="I18" s="107"/>
      <c r="J18" s="108"/>
    </row>
    <row r="19" spans="1:10" x14ac:dyDescent="0.25">
      <c r="B19" s="13">
        <v>200000</v>
      </c>
      <c r="C19" s="13"/>
      <c r="D19" s="101">
        <f>519</f>
        <v>519</v>
      </c>
      <c r="E19" s="107">
        <f>D19</f>
        <v>519</v>
      </c>
      <c r="F19" s="108">
        <f>E19*1.1</f>
        <v>570.90000000000009</v>
      </c>
      <c r="G19" s="22"/>
      <c r="H19" s="101">
        <v>571</v>
      </c>
      <c r="I19" s="107">
        <f>H19</f>
        <v>571</v>
      </c>
      <c r="J19" s="108">
        <f>I19*1.1</f>
        <v>628.1</v>
      </c>
    </row>
    <row r="20" spans="1:10" x14ac:dyDescent="0.25">
      <c r="B20" s="13">
        <f>B18-B19</f>
        <v>29000</v>
      </c>
      <c r="C20" s="13"/>
      <c r="D20" s="101">
        <f>2.75</f>
        <v>2.75</v>
      </c>
      <c r="E20" s="107">
        <f>B20*D20/1000</f>
        <v>79.75</v>
      </c>
      <c r="F20" s="108">
        <f>E20*1.1</f>
        <v>87.725000000000009</v>
      </c>
      <c r="G20" s="22"/>
      <c r="H20" s="101">
        <v>3.03</v>
      </c>
      <c r="I20" s="107">
        <f>B20*H20/1000</f>
        <v>87.87</v>
      </c>
      <c r="J20" s="108">
        <f>I20*1.1</f>
        <v>96.657000000000011</v>
      </c>
    </row>
    <row r="21" spans="1:10" ht="15.75" thickBot="1" x14ac:dyDescent="0.3">
      <c r="D21" s="110" t="str">
        <f>D6</f>
        <v>Total</v>
      </c>
      <c r="E21" s="111">
        <f>SUM(E19:E20)</f>
        <v>598.75</v>
      </c>
      <c r="F21" s="112">
        <f>E21*1.1</f>
        <v>658.625</v>
      </c>
      <c r="G21" s="24"/>
      <c r="H21" s="110" t="str">
        <f>D6</f>
        <v>Total</v>
      </c>
      <c r="I21" s="111">
        <f>SUM(I19:I20)</f>
        <v>658.87</v>
      </c>
      <c r="J21" s="112">
        <f>I21*1.1</f>
        <v>724.75700000000006</v>
      </c>
    </row>
    <row r="23" spans="1:10" ht="15.75" x14ac:dyDescent="0.25">
      <c r="A23" s="255" t="s">
        <v>111</v>
      </c>
    </row>
    <row r="24" spans="1:10" ht="15.75" customHeight="1" x14ac:dyDescent="0.25"/>
    <row r="25" spans="1:10" ht="15" customHeight="1" x14ac:dyDescent="0.25"/>
  </sheetData>
  <mergeCells count="4">
    <mergeCell ref="E2:F2"/>
    <mergeCell ref="I2:J2"/>
    <mergeCell ref="I1:J1"/>
    <mergeCell ref="E1:F1"/>
  </mergeCells>
  <pageMargins left="0.7" right="0.7" top="0.75" bottom="0.75" header="0.3" footer="0.3"/>
  <pageSetup orientation="landscape" r:id="rId1"/>
  <headerFooter>
    <oddHeader>&amp;L&amp;A&amp;R12/09/2017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opLeftCell="A29" zoomScaleNormal="100" workbookViewId="0">
      <selection activeCell="F56" sqref="F56:G56"/>
    </sheetView>
  </sheetViews>
  <sheetFormatPr baseColWidth="10" defaultColWidth="11.42578125" defaultRowHeight="15" x14ac:dyDescent="0.25"/>
  <cols>
    <col min="1" max="1" width="22" customWidth="1"/>
    <col min="2" max="2" width="12.85546875" customWidth="1"/>
    <col min="3" max="3" width="15.7109375" customWidth="1"/>
    <col min="4" max="4" width="15.42578125" customWidth="1"/>
    <col min="5" max="5" width="14.7109375" customWidth="1"/>
    <col min="6" max="6" width="15" customWidth="1"/>
    <col min="7" max="8" width="13" bestFit="1" customWidth="1"/>
    <col min="9" max="9" width="13.7109375" customWidth="1"/>
    <col min="10" max="10" width="13" customWidth="1"/>
    <col min="11" max="12" width="13" bestFit="1" customWidth="1"/>
  </cols>
  <sheetData>
    <row r="1" spans="1:12" x14ac:dyDescent="0.25">
      <c r="I1" t="s">
        <v>44</v>
      </c>
      <c r="L1" t="s">
        <v>45</v>
      </c>
    </row>
    <row r="2" spans="1:12" ht="18.75" x14ac:dyDescent="0.3">
      <c r="A2" s="227" t="s">
        <v>105</v>
      </c>
      <c r="B2" s="227"/>
      <c r="C2" s="227"/>
      <c r="D2" s="227"/>
      <c r="E2" s="227"/>
      <c r="F2" s="228"/>
      <c r="G2" s="228"/>
    </row>
    <row r="3" spans="1:12" x14ac:dyDescent="0.25">
      <c r="A3" s="15"/>
      <c r="B3" s="15"/>
      <c r="C3" s="15"/>
      <c r="D3" s="15"/>
      <c r="E3" s="15"/>
    </row>
    <row r="4" spans="1:12" ht="15.75" thickBot="1" x14ac:dyDescent="0.3">
      <c r="A4" s="78"/>
      <c r="B4" s="78"/>
      <c r="C4" s="78"/>
    </row>
    <row r="5" spans="1:12" ht="15.75" thickBot="1" x14ac:dyDescent="0.3">
      <c r="C5" s="15"/>
      <c r="D5" s="234" t="s">
        <v>66</v>
      </c>
      <c r="E5" s="234"/>
      <c r="F5" s="234"/>
    </row>
    <row r="6" spans="1:12" ht="15.75" thickBot="1" x14ac:dyDescent="0.3">
      <c r="A6" s="132" t="s">
        <v>60</v>
      </c>
      <c r="B6" s="218" t="s">
        <v>8</v>
      </c>
      <c r="C6" s="17"/>
      <c r="D6" s="166">
        <v>15000</v>
      </c>
      <c r="E6" s="166">
        <v>20000</v>
      </c>
      <c r="F6" s="166">
        <v>25000</v>
      </c>
    </row>
    <row r="7" spans="1:12" ht="9.75" customHeight="1" x14ac:dyDescent="0.25">
      <c r="A7" s="133"/>
      <c r="B7" s="125"/>
      <c r="C7" s="17"/>
      <c r="D7" s="116"/>
      <c r="E7" s="117"/>
      <c r="F7" s="118"/>
    </row>
    <row r="8" spans="1:12" x14ac:dyDescent="0.25">
      <c r="A8" s="134" t="s">
        <v>59</v>
      </c>
      <c r="B8" s="126">
        <v>139900</v>
      </c>
      <c r="C8" s="20"/>
      <c r="D8" s="119">
        <f>$B$8-D6</f>
        <v>124900</v>
      </c>
      <c r="E8" s="120">
        <f>$B$8-E6</f>
        <v>119900</v>
      </c>
      <c r="F8" s="121">
        <f>$B$8-F6</f>
        <v>114900</v>
      </c>
    </row>
    <row r="9" spans="1:12" x14ac:dyDescent="0.25">
      <c r="A9" s="135" t="s">
        <v>71</v>
      </c>
      <c r="B9" s="126">
        <v>282500</v>
      </c>
      <c r="C9" s="20"/>
      <c r="D9" s="119">
        <f>$B$9-D6</f>
        <v>267500</v>
      </c>
      <c r="E9" s="120">
        <f>$B$9-E6</f>
        <v>262500</v>
      </c>
      <c r="F9" s="121">
        <f>$B$9-F6</f>
        <v>257500</v>
      </c>
    </row>
    <row r="10" spans="1:12" x14ac:dyDescent="0.25">
      <c r="A10" s="135" t="s">
        <v>48</v>
      </c>
      <c r="B10" s="126">
        <v>309900</v>
      </c>
      <c r="C10" s="20"/>
      <c r="D10" s="119">
        <f>$B$10-D6</f>
        <v>294900</v>
      </c>
      <c r="E10" s="120">
        <f>$B$10-E6</f>
        <v>289900</v>
      </c>
      <c r="F10" s="121">
        <f>$B$10-F6</f>
        <v>284900</v>
      </c>
    </row>
    <row r="11" spans="1:12" ht="15.75" thickBot="1" x14ac:dyDescent="0.3">
      <c r="A11" s="152" t="s">
        <v>49</v>
      </c>
      <c r="B11" s="179">
        <v>179000</v>
      </c>
      <c r="C11" s="20"/>
      <c r="D11" s="122">
        <f>$B$11-D6</f>
        <v>164000</v>
      </c>
      <c r="E11" s="123">
        <f>$B$11-E6</f>
        <v>159000</v>
      </c>
      <c r="F11" s="124">
        <f>$B$11-F6</f>
        <v>154000</v>
      </c>
    </row>
    <row r="12" spans="1:12" x14ac:dyDescent="0.25">
      <c r="A12" s="70"/>
      <c r="B12" s="70"/>
      <c r="C12" s="70"/>
      <c r="D12" s="70"/>
      <c r="E12" s="70"/>
    </row>
    <row r="13" spans="1:12" ht="30" customHeight="1" x14ac:dyDescent="0.25">
      <c r="A13" s="162" t="s">
        <v>95</v>
      </c>
      <c r="B13" s="161">
        <v>25</v>
      </c>
      <c r="C13" s="70"/>
      <c r="D13" s="70"/>
      <c r="E13" s="70"/>
    </row>
    <row r="14" spans="1:12" ht="28.5" customHeight="1" x14ac:dyDescent="0.25">
      <c r="A14" s="157" t="s">
        <v>68</v>
      </c>
      <c r="B14" s="158">
        <v>0.04</v>
      </c>
      <c r="C14" s="20"/>
      <c r="D14" s="20"/>
      <c r="E14" s="20"/>
    </row>
    <row r="15" spans="1:12" ht="28.5" customHeight="1" x14ac:dyDescent="0.25">
      <c r="A15" s="162" t="s">
        <v>69</v>
      </c>
      <c r="B15" s="160">
        <v>5.26</v>
      </c>
      <c r="C15" s="20"/>
      <c r="D15" s="20"/>
      <c r="E15" s="20"/>
    </row>
    <row r="16" spans="1:12" ht="15.75" thickBot="1" x14ac:dyDescent="0.3">
      <c r="A16" s="20"/>
      <c r="B16" s="20"/>
      <c r="C16" s="20"/>
      <c r="D16" s="20"/>
      <c r="E16" s="20"/>
    </row>
    <row r="17" spans="1:14" ht="15.75" thickBot="1" x14ac:dyDescent="0.3">
      <c r="A17" s="79" t="s">
        <v>60</v>
      </c>
      <c r="B17" s="235" t="s">
        <v>17</v>
      </c>
      <c r="C17" s="235"/>
      <c r="D17" s="235"/>
      <c r="E17" s="20"/>
      <c r="F17" s="229" t="s">
        <v>67</v>
      </c>
      <c r="G17" s="229"/>
      <c r="H17" s="229"/>
      <c r="J17" s="229" t="s">
        <v>112</v>
      </c>
      <c r="K17" s="229"/>
      <c r="L17" s="229"/>
    </row>
    <row r="18" spans="1:14" ht="15.75" thickBot="1" x14ac:dyDescent="0.3">
      <c r="A18" s="79"/>
      <c r="B18" s="167">
        <f>D6</f>
        <v>15000</v>
      </c>
      <c r="C18" s="167">
        <f>E6</f>
        <v>20000</v>
      </c>
      <c r="D18" s="167">
        <f>F6</f>
        <v>25000</v>
      </c>
      <c r="E18" s="20"/>
      <c r="F18" s="168">
        <f>D6</f>
        <v>15000</v>
      </c>
      <c r="G18" s="168">
        <f>E6</f>
        <v>20000</v>
      </c>
      <c r="H18" s="168">
        <f>F6</f>
        <v>25000</v>
      </c>
      <c r="J18" s="169">
        <f>D6</f>
        <v>15000</v>
      </c>
      <c r="K18" s="169">
        <f>E6</f>
        <v>20000</v>
      </c>
      <c r="L18" s="169">
        <f>F6</f>
        <v>25000</v>
      </c>
    </row>
    <row r="19" spans="1:14" x14ac:dyDescent="0.25">
      <c r="A19" s="178" t="str">
        <f>A8</f>
        <v>Condominium</v>
      </c>
      <c r="B19" s="71">
        <f t="shared" ref="B19:D22" si="0">D8*$B$15/1000</f>
        <v>656.97400000000005</v>
      </c>
      <c r="C19" s="73">
        <f t="shared" si="0"/>
        <v>630.67399999999998</v>
      </c>
      <c r="D19" s="72">
        <f t="shared" si="0"/>
        <v>604.37400000000002</v>
      </c>
      <c r="E19" s="20"/>
      <c r="F19" s="68">
        <f t="shared" ref="F19:H22" si="1">B19*$B$13*12</f>
        <v>197092.2</v>
      </c>
      <c r="G19" s="54">
        <f t="shared" si="1"/>
        <v>189202.19999999998</v>
      </c>
      <c r="H19" s="66">
        <f t="shared" si="1"/>
        <v>181312.2</v>
      </c>
      <c r="J19" s="68">
        <f t="shared" ref="J19:L22" si="2">F19-D8</f>
        <v>72192.200000000012</v>
      </c>
      <c r="K19" s="54">
        <f t="shared" si="2"/>
        <v>69302.199999999983</v>
      </c>
      <c r="L19" s="66">
        <f t="shared" si="2"/>
        <v>66412.200000000012</v>
      </c>
    </row>
    <row r="20" spans="1:14" x14ac:dyDescent="0.25">
      <c r="A20" s="178" t="str">
        <f>A9</f>
        <v>Sainte-Agathe</v>
      </c>
      <c r="B20" s="71">
        <f t="shared" si="0"/>
        <v>1407.05</v>
      </c>
      <c r="C20" s="73">
        <f t="shared" si="0"/>
        <v>1380.75</v>
      </c>
      <c r="D20" s="72">
        <f t="shared" si="0"/>
        <v>1354.45</v>
      </c>
      <c r="E20" s="20"/>
      <c r="F20" s="68">
        <f t="shared" si="1"/>
        <v>422115</v>
      </c>
      <c r="G20" s="54">
        <f t="shared" si="1"/>
        <v>414225</v>
      </c>
      <c r="H20" s="66">
        <f t="shared" si="1"/>
        <v>406335</v>
      </c>
      <c r="J20" s="68">
        <f t="shared" si="2"/>
        <v>154615</v>
      </c>
      <c r="K20" s="54">
        <f t="shared" si="2"/>
        <v>151725</v>
      </c>
      <c r="L20" s="66">
        <f t="shared" si="2"/>
        <v>148835</v>
      </c>
    </row>
    <row r="21" spans="1:14" x14ac:dyDescent="0.25">
      <c r="A21" s="178" t="str">
        <f>A10</f>
        <v>Winnipeg</v>
      </c>
      <c r="B21" s="71">
        <f t="shared" si="0"/>
        <v>1551.174</v>
      </c>
      <c r="C21" s="73">
        <f t="shared" si="0"/>
        <v>1524.874</v>
      </c>
      <c r="D21" s="72">
        <f t="shared" si="0"/>
        <v>1498.5740000000001</v>
      </c>
      <c r="E21" s="20"/>
      <c r="F21" s="68">
        <f t="shared" si="1"/>
        <v>465352.19999999995</v>
      </c>
      <c r="G21" s="54">
        <f t="shared" si="1"/>
        <v>457462.19999999995</v>
      </c>
      <c r="H21" s="66">
        <f t="shared" si="1"/>
        <v>449572.19999999995</v>
      </c>
      <c r="J21" s="68">
        <f t="shared" si="2"/>
        <v>170452.19999999995</v>
      </c>
      <c r="K21" s="54">
        <f t="shared" si="2"/>
        <v>167562.19999999995</v>
      </c>
      <c r="L21" s="66">
        <f t="shared" si="2"/>
        <v>164672.19999999995</v>
      </c>
    </row>
    <row r="22" spans="1:14" ht="16.5" customHeight="1" thickBot="1" x14ac:dyDescent="0.3">
      <c r="A22" s="178" t="str">
        <f>A11</f>
        <v>Thompson</v>
      </c>
      <c r="B22" s="74">
        <f t="shared" si="0"/>
        <v>862.64</v>
      </c>
      <c r="C22" s="76">
        <f t="shared" si="0"/>
        <v>836.34</v>
      </c>
      <c r="D22" s="75">
        <f t="shared" si="0"/>
        <v>810.04</v>
      </c>
      <c r="E22" s="20"/>
      <c r="F22" s="69">
        <f t="shared" si="1"/>
        <v>258792</v>
      </c>
      <c r="G22" s="129">
        <f t="shared" si="1"/>
        <v>250902</v>
      </c>
      <c r="H22" s="67">
        <f t="shared" si="1"/>
        <v>243012</v>
      </c>
      <c r="J22" s="69">
        <f t="shared" si="2"/>
        <v>94792</v>
      </c>
      <c r="K22" s="129">
        <f t="shared" si="2"/>
        <v>91902</v>
      </c>
      <c r="L22" s="67">
        <f t="shared" si="2"/>
        <v>89012</v>
      </c>
    </row>
    <row r="23" spans="1:14" ht="141" customHeight="1" x14ac:dyDescent="0.25">
      <c r="A23" s="20"/>
      <c r="B23" s="20"/>
      <c r="C23" s="20"/>
      <c r="D23" s="20"/>
      <c r="E23" s="20"/>
    </row>
    <row r="24" spans="1:14" ht="30" customHeight="1" x14ac:dyDescent="0.25">
      <c r="A24" s="20"/>
      <c r="B24" s="20"/>
      <c r="C24" s="20"/>
      <c r="D24" s="20"/>
      <c r="E24" s="20"/>
      <c r="I24" t="s">
        <v>46</v>
      </c>
    </row>
    <row r="25" spans="1:14" ht="18.75" x14ac:dyDescent="0.3">
      <c r="A25" s="238" t="s">
        <v>113</v>
      </c>
      <c r="B25" s="238"/>
      <c r="C25" s="238"/>
      <c r="D25" s="238"/>
      <c r="E25" s="238"/>
      <c r="F25" s="239"/>
    </row>
    <row r="26" spans="1:14" ht="15.75" thickBot="1" x14ac:dyDescent="0.3">
      <c r="A26" s="20"/>
      <c r="B26" s="20"/>
      <c r="C26" s="20"/>
      <c r="D26" s="20"/>
      <c r="E26" s="20"/>
    </row>
    <row r="27" spans="1:14" x14ac:dyDescent="0.25">
      <c r="A27" s="142" t="s">
        <v>60</v>
      </c>
      <c r="B27" s="143" t="s">
        <v>8</v>
      </c>
      <c r="C27" s="144" t="s">
        <v>65</v>
      </c>
      <c r="D27" s="20"/>
      <c r="E27" s="20"/>
    </row>
    <row r="28" spans="1:14" x14ac:dyDescent="0.25">
      <c r="A28" s="145" t="s">
        <v>59</v>
      </c>
      <c r="B28" s="126">
        <v>139900</v>
      </c>
      <c r="C28" s="146">
        <f>E8</f>
        <v>119900</v>
      </c>
      <c r="D28" s="20"/>
      <c r="E28" s="20"/>
    </row>
    <row r="29" spans="1:14" x14ac:dyDescent="0.25">
      <c r="A29" s="147" t="str">
        <f>A9</f>
        <v>Sainte-Agathe</v>
      </c>
      <c r="B29" s="127">
        <v>282500</v>
      </c>
      <c r="C29" s="148">
        <f>E9</f>
        <v>262500</v>
      </c>
      <c r="D29" s="20"/>
      <c r="E29" s="20"/>
    </row>
    <row r="30" spans="1:14" x14ac:dyDescent="0.25">
      <c r="A30" s="147" t="s">
        <v>48</v>
      </c>
      <c r="B30" s="128">
        <v>309900</v>
      </c>
      <c r="C30" s="148">
        <f>E10</f>
        <v>289900</v>
      </c>
      <c r="D30" s="20"/>
      <c r="E30" s="20"/>
      <c r="N30" s="20"/>
    </row>
    <row r="31" spans="1:14" ht="15.75" thickBot="1" x14ac:dyDescent="0.3">
      <c r="A31" s="149" t="s">
        <v>49</v>
      </c>
      <c r="B31" s="150">
        <v>179000</v>
      </c>
      <c r="C31" s="151">
        <f>E11</f>
        <v>159000</v>
      </c>
      <c r="D31" s="20"/>
      <c r="E31" s="20"/>
    </row>
    <row r="32" spans="1:14" ht="18" customHeight="1" x14ac:dyDescent="0.25">
      <c r="A32" s="20"/>
      <c r="B32" s="20"/>
      <c r="C32" s="20"/>
      <c r="D32" s="20"/>
      <c r="E32" s="20"/>
    </row>
    <row r="33" spans="1:10" ht="33.75" customHeight="1" x14ac:dyDescent="0.25">
      <c r="A33" s="162" t="s">
        <v>95</v>
      </c>
      <c r="B33" s="161">
        <v>25</v>
      </c>
      <c r="C33" s="161">
        <v>20</v>
      </c>
      <c r="E33" s="20"/>
    </row>
    <row r="34" spans="1:10" ht="33.75" customHeight="1" x14ac:dyDescent="0.25">
      <c r="A34" s="157" t="s">
        <v>68</v>
      </c>
      <c r="B34" s="158">
        <v>0.04</v>
      </c>
      <c r="C34" s="159">
        <v>0.04</v>
      </c>
      <c r="E34" s="20"/>
    </row>
    <row r="35" spans="1:10" ht="39" customHeight="1" x14ac:dyDescent="0.25">
      <c r="A35" s="162" t="s">
        <v>69</v>
      </c>
      <c r="B35" s="219">
        <f>B15</f>
        <v>5.26</v>
      </c>
      <c r="C35" s="219">
        <v>6.04</v>
      </c>
      <c r="E35" s="20"/>
    </row>
    <row r="36" spans="1:10" ht="18" customHeight="1" thickBot="1" x14ac:dyDescent="0.3">
      <c r="A36" s="20"/>
      <c r="B36" s="20"/>
      <c r="C36" s="20"/>
      <c r="D36" s="20"/>
      <c r="E36" s="20"/>
    </row>
    <row r="37" spans="1:10" ht="15.75" thickBot="1" x14ac:dyDescent="0.3">
      <c r="A37" s="130" t="s">
        <v>60</v>
      </c>
      <c r="B37" s="232" t="s">
        <v>17</v>
      </c>
      <c r="C37" s="232"/>
      <c r="D37" s="232" t="s">
        <v>67</v>
      </c>
      <c r="E37" s="237"/>
      <c r="F37" s="233" t="s">
        <v>112</v>
      </c>
      <c r="G37" s="233"/>
      <c r="J37" s="21"/>
    </row>
    <row r="38" spans="1:10" ht="15.75" thickBot="1" x14ac:dyDescent="0.3">
      <c r="A38" s="131"/>
      <c r="B38" s="170" t="s">
        <v>0</v>
      </c>
      <c r="C38" s="170" t="s">
        <v>1</v>
      </c>
      <c r="D38" s="170" t="str">
        <f>B38</f>
        <v>25 ans</v>
      </c>
      <c r="E38" s="170" t="str">
        <f>C38</f>
        <v>20 ans</v>
      </c>
      <c r="F38" s="171" t="str">
        <f>B38</f>
        <v>25 ans</v>
      </c>
      <c r="G38" s="171" t="str">
        <f>C38</f>
        <v>20 ans</v>
      </c>
      <c r="J38" s="25"/>
    </row>
    <row r="39" spans="1:10" x14ac:dyDescent="0.25">
      <c r="A39" s="177" t="str">
        <f>A8</f>
        <v>Condominium</v>
      </c>
      <c r="B39" s="136">
        <f>C28*$B$35/1000</f>
        <v>630.67399999999998</v>
      </c>
      <c r="C39" s="136">
        <f>C28*$C$35/1000</f>
        <v>724.19600000000003</v>
      </c>
      <c r="D39" s="136">
        <f>B39*$B$33*12</f>
        <v>189202.19999999998</v>
      </c>
      <c r="E39" s="136">
        <f>C39*$C$33*12</f>
        <v>173807.04</v>
      </c>
      <c r="F39" s="137">
        <f>D39-C28</f>
        <v>69302.199999999983</v>
      </c>
      <c r="G39" s="137">
        <f>E39-C28</f>
        <v>53907.040000000008</v>
      </c>
      <c r="J39" s="13"/>
    </row>
    <row r="40" spans="1:10" x14ac:dyDescent="0.25">
      <c r="A40" s="177" t="str">
        <f>A9</f>
        <v>Sainte-Agathe</v>
      </c>
      <c r="B40" s="138">
        <f>C29*$B$35/1000</f>
        <v>1380.75</v>
      </c>
      <c r="C40" s="138">
        <f>C29*$C$35/1000</f>
        <v>1585.5</v>
      </c>
      <c r="D40" s="138">
        <f>B40*$B$33*12</f>
        <v>414225</v>
      </c>
      <c r="E40" s="138">
        <f>C40*$C$33*12</f>
        <v>380520</v>
      </c>
      <c r="F40" s="139">
        <f>D40-C29</f>
        <v>151725</v>
      </c>
      <c r="G40" s="139">
        <f>E40-C29</f>
        <v>118020</v>
      </c>
      <c r="J40" s="13"/>
    </row>
    <row r="41" spans="1:10" x14ac:dyDescent="0.25">
      <c r="A41" s="177" t="str">
        <f>A10</f>
        <v>Winnipeg</v>
      </c>
      <c r="B41" s="138">
        <f>C30*$B$35/1000</f>
        <v>1524.874</v>
      </c>
      <c r="C41" s="138">
        <f>C30*$C$35/1000</f>
        <v>1750.9960000000001</v>
      </c>
      <c r="D41" s="138">
        <f>B41*$B$33*12</f>
        <v>457462.19999999995</v>
      </c>
      <c r="E41" s="138">
        <f>C41*$C$33*12</f>
        <v>420239.04</v>
      </c>
      <c r="F41" s="139">
        <f>D41-C30</f>
        <v>167562.19999999995</v>
      </c>
      <c r="G41" s="139">
        <f>E41-C30</f>
        <v>130339.03999999998</v>
      </c>
      <c r="J41" s="13"/>
    </row>
    <row r="42" spans="1:10" ht="15.75" customHeight="1" thickBot="1" x14ac:dyDescent="0.3">
      <c r="A42" s="177" t="str">
        <f>A11</f>
        <v>Thompson</v>
      </c>
      <c r="B42" s="140">
        <f>C31*$B$35/1000</f>
        <v>836.34</v>
      </c>
      <c r="C42" s="140">
        <f>C31*$C$35/1000</f>
        <v>960.36</v>
      </c>
      <c r="D42" s="140">
        <f>B42*$B$33*12</f>
        <v>250902</v>
      </c>
      <c r="E42" s="140">
        <f>C42*$C$33*12</f>
        <v>230486.40000000002</v>
      </c>
      <c r="F42" s="141">
        <f>D42-C31</f>
        <v>91902</v>
      </c>
      <c r="G42" s="141">
        <f>E42-C31</f>
        <v>71486.400000000023</v>
      </c>
      <c r="J42" s="13"/>
    </row>
    <row r="43" spans="1:10" ht="136.5" customHeight="1" x14ac:dyDescent="0.25"/>
    <row r="44" spans="1:10" ht="18.75" x14ac:dyDescent="0.3">
      <c r="A44" s="240" t="s">
        <v>114</v>
      </c>
      <c r="B44" s="240"/>
      <c r="C44" s="240"/>
      <c r="D44" s="240"/>
      <c r="E44" s="240"/>
      <c r="F44" s="241"/>
      <c r="G44" s="241"/>
      <c r="I44" t="s">
        <v>47</v>
      </c>
    </row>
    <row r="46" spans="1:10" s="3" customFormat="1" x14ac:dyDescent="0.25">
      <c r="A46" s="132" t="str">
        <f t="shared" ref="A46:C50" si="3">A27</f>
        <v>Habitation</v>
      </c>
      <c r="B46" s="132" t="str">
        <f t="shared" si="3"/>
        <v>Coût</v>
      </c>
      <c r="C46" s="132" t="str">
        <f t="shared" si="3"/>
        <v>Montant du prêt</v>
      </c>
    </row>
    <row r="47" spans="1:10" x14ac:dyDescent="0.25">
      <c r="A47" s="155" t="str">
        <f t="shared" si="3"/>
        <v>Condominium</v>
      </c>
      <c r="B47" s="153">
        <f t="shared" si="3"/>
        <v>139900</v>
      </c>
      <c r="C47" s="153">
        <f t="shared" si="3"/>
        <v>119900</v>
      </c>
    </row>
    <row r="48" spans="1:10" x14ac:dyDescent="0.25">
      <c r="A48" s="155" t="str">
        <f t="shared" si="3"/>
        <v>Sainte-Agathe</v>
      </c>
      <c r="B48" s="153">
        <f t="shared" si="3"/>
        <v>282500</v>
      </c>
      <c r="C48" s="153">
        <f t="shared" si="3"/>
        <v>262500</v>
      </c>
    </row>
    <row r="49" spans="1:10" x14ac:dyDescent="0.25">
      <c r="A49" s="155" t="str">
        <f t="shared" si="3"/>
        <v>Winnipeg</v>
      </c>
      <c r="B49" s="153">
        <f t="shared" si="3"/>
        <v>309900</v>
      </c>
      <c r="C49" s="153">
        <f t="shared" si="3"/>
        <v>289900</v>
      </c>
    </row>
    <row r="50" spans="1:10" x14ac:dyDescent="0.25">
      <c r="A50" s="156" t="str">
        <f t="shared" si="3"/>
        <v>Thompson</v>
      </c>
      <c r="B50" s="154">
        <f t="shared" si="3"/>
        <v>179000</v>
      </c>
      <c r="C50" s="154">
        <f t="shared" si="3"/>
        <v>159000</v>
      </c>
    </row>
    <row r="51" spans="1:10" x14ac:dyDescent="0.25">
      <c r="A51" s="20"/>
    </row>
    <row r="52" spans="1:10" ht="29.25" customHeight="1" x14ac:dyDescent="0.25">
      <c r="A52" s="162" t="s">
        <v>95</v>
      </c>
      <c r="B52" s="163">
        <v>25</v>
      </c>
      <c r="C52" s="163">
        <v>25</v>
      </c>
    </row>
    <row r="53" spans="1:10" ht="29.25" customHeight="1" x14ac:dyDescent="0.25">
      <c r="A53" s="157" t="s">
        <v>68</v>
      </c>
      <c r="B53" s="158">
        <v>0.04</v>
      </c>
      <c r="C53" s="158">
        <v>0.06</v>
      </c>
    </row>
    <row r="54" spans="1:10" ht="30" x14ac:dyDescent="0.25">
      <c r="A54" s="162" t="s">
        <v>69</v>
      </c>
      <c r="B54" s="164">
        <f>B35</f>
        <v>5.26</v>
      </c>
      <c r="C54" s="165">
        <v>6.4</v>
      </c>
    </row>
    <row r="55" spans="1:10" ht="15.75" thickBot="1" x14ac:dyDescent="0.3"/>
    <row r="56" spans="1:10" x14ac:dyDescent="0.25">
      <c r="A56" s="78" t="s">
        <v>60</v>
      </c>
      <c r="B56" s="230" t="s">
        <v>17</v>
      </c>
      <c r="C56" s="231"/>
      <c r="D56" s="230" t="s">
        <v>67</v>
      </c>
      <c r="E56" s="236"/>
      <c r="F56" s="230" t="s">
        <v>112</v>
      </c>
      <c r="G56" s="231"/>
      <c r="J56" s="21"/>
    </row>
    <row r="57" spans="1:10" x14ac:dyDescent="0.25">
      <c r="A57" s="80"/>
      <c r="B57" s="172">
        <f>B53</f>
        <v>0.04</v>
      </c>
      <c r="C57" s="173">
        <f>C53</f>
        <v>0.06</v>
      </c>
      <c r="D57" s="174">
        <f>B57</f>
        <v>0.04</v>
      </c>
      <c r="E57" s="175">
        <f>C57</f>
        <v>0.06</v>
      </c>
      <c r="F57" s="174">
        <f>B57</f>
        <v>0.04</v>
      </c>
      <c r="G57" s="175">
        <f>C57</f>
        <v>0.06</v>
      </c>
      <c r="J57" s="25"/>
    </row>
    <row r="58" spans="1:10" x14ac:dyDescent="0.25">
      <c r="A58" s="176" t="str">
        <f>A39</f>
        <v>Condominium</v>
      </c>
      <c r="B58" s="68">
        <f>C47*$B$54/1000</f>
        <v>630.67399999999998</v>
      </c>
      <c r="C58" s="66">
        <f>C47*$C$54/1000</f>
        <v>767.36</v>
      </c>
      <c r="D58" s="68">
        <f t="shared" ref="D58:E61" si="4">B58*$B$52*12</f>
        <v>189202.19999999998</v>
      </c>
      <c r="E58" s="66">
        <f t="shared" si="4"/>
        <v>230208</v>
      </c>
      <c r="F58" s="68">
        <f t="shared" ref="F58:F61" si="5">D58-$C$47</f>
        <v>69302.199999999983</v>
      </c>
      <c r="G58" s="66">
        <f>E58-C47</f>
        <v>110308</v>
      </c>
      <c r="J58" s="13"/>
    </row>
    <row r="59" spans="1:10" x14ac:dyDescent="0.25">
      <c r="A59" s="176" t="str">
        <f>A40</f>
        <v>Sainte-Agathe</v>
      </c>
      <c r="B59" s="68">
        <f t="shared" ref="B59:B61" si="6">C48*$B$54/1000</f>
        <v>1380.75</v>
      </c>
      <c r="C59" s="66">
        <f t="shared" ref="C59:C61" si="7">C48*$C$54/1000</f>
        <v>1680</v>
      </c>
      <c r="D59" s="68">
        <f t="shared" si="4"/>
        <v>414225</v>
      </c>
      <c r="E59" s="66">
        <f t="shared" si="4"/>
        <v>504000</v>
      </c>
      <c r="F59" s="68">
        <f t="shared" si="5"/>
        <v>294325</v>
      </c>
      <c r="G59" s="66">
        <f t="shared" ref="G59:G60" si="8">E59-C48</f>
        <v>241500</v>
      </c>
      <c r="J59" s="13"/>
    </row>
    <row r="60" spans="1:10" x14ac:dyDescent="0.25">
      <c r="A60" s="176" t="str">
        <f>A41</f>
        <v>Winnipeg</v>
      </c>
      <c r="B60" s="68">
        <f t="shared" si="6"/>
        <v>1524.874</v>
      </c>
      <c r="C60" s="66">
        <f t="shared" si="7"/>
        <v>1855.36</v>
      </c>
      <c r="D60" s="68">
        <f t="shared" si="4"/>
        <v>457462.19999999995</v>
      </c>
      <c r="E60" s="66">
        <f t="shared" si="4"/>
        <v>556608</v>
      </c>
      <c r="F60" s="68">
        <f t="shared" si="5"/>
        <v>337562.19999999995</v>
      </c>
      <c r="G60" s="66">
        <f t="shared" si="8"/>
        <v>266708</v>
      </c>
      <c r="J60" s="13"/>
    </row>
    <row r="61" spans="1:10" ht="15.75" thickBot="1" x14ac:dyDescent="0.3">
      <c r="A61" s="176" t="str">
        <f>A42</f>
        <v>Thompson</v>
      </c>
      <c r="B61" s="69">
        <f t="shared" si="6"/>
        <v>836.34</v>
      </c>
      <c r="C61" s="67">
        <f t="shared" si="7"/>
        <v>1017.6</v>
      </c>
      <c r="D61" s="69">
        <f t="shared" si="4"/>
        <v>250902</v>
      </c>
      <c r="E61" s="67">
        <f t="shared" si="4"/>
        <v>305280</v>
      </c>
      <c r="F61" s="69">
        <f t="shared" si="5"/>
        <v>131002</v>
      </c>
      <c r="G61" s="67">
        <f>E61-C50</f>
        <v>146280</v>
      </c>
      <c r="J61" s="13"/>
    </row>
    <row r="63" spans="1:10" ht="15.75" x14ac:dyDescent="0.25">
      <c r="A63" s="255" t="s">
        <v>111</v>
      </c>
    </row>
  </sheetData>
  <mergeCells count="13">
    <mergeCell ref="A2:G2"/>
    <mergeCell ref="J17:L17"/>
    <mergeCell ref="B56:C56"/>
    <mergeCell ref="F56:G56"/>
    <mergeCell ref="B37:C37"/>
    <mergeCell ref="F37:G37"/>
    <mergeCell ref="D5:F5"/>
    <mergeCell ref="B17:D17"/>
    <mergeCell ref="F17:H17"/>
    <mergeCell ref="D56:E56"/>
    <mergeCell ref="D37:E37"/>
    <mergeCell ref="A25:F25"/>
    <mergeCell ref="A44:G44"/>
  </mergeCells>
  <pageMargins left="0.7" right="0.7" top="0.75" bottom="0.75" header="0.3" footer="0.3"/>
  <pageSetup orientation="landscape" r:id="rId1"/>
  <headerFooter>
    <oddHeader>&amp;L&amp;A&amp;R12/09/2017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Normal="100" workbookViewId="0">
      <selection activeCell="A17" sqref="A17:XFD17"/>
    </sheetView>
  </sheetViews>
  <sheetFormatPr baseColWidth="10" defaultColWidth="11.42578125" defaultRowHeight="15" x14ac:dyDescent="0.25"/>
  <cols>
    <col min="1" max="1" width="23.85546875" customWidth="1"/>
    <col min="2" max="4" width="13" bestFit="1" customWidth="1"/>
    <col min="5" max="5" width="13.42578125" customWidth="1"/>
    <col min="9" max="9" width="14" customWidth="1"/>
  </cols>
  <sheetData>
    <row r="1" spans="1:14" x14ac:dyDescent="0.25">
      <c r="A1" s="3"/>
      <c r="B1" s="3"/>
      <c r="C1" s="246" t="s">
        <v>19</v>
      </c>
      <c r="D1" s="246"/>
      <c r="E1" s="246"/>
    </row>
    <row r="2" spans="1:14" x14ac:dyDescent="0.25">
      <c r="A2" s="3"/>
      <c r="B2" s="3"/>
      <c r="C2" s="204" t="s">
        <v>0</v>
      </c>
      <c r="D2" s="204" t="s">
        <v>0</v>
      </c>
      <c r="E2" s="204" t="s">
        <v>1</v>
      </c>
    </row>
    <row r="3" spans="1:14" ht="30" x14ac:dyDescent="0.25">
      <c r="A3" s="200" t="s">
        <v>60</v>
      </c>
      <c r="B3" s="201" t="s">
        <v>8</v>
      </c>
      <c r="C3" s="202">
        <v>0.04</v>
      </c>
      <c r="D3" s="202">
        <v>0.06</v>
      </c>
      <c r="E3" s="202">
        <v>0.04</v>
      </c>
      <c r="F3" s="51"/>
      <c r="G3" s="77" t="s">
        <v>2</v>
      </c>
      <c r="H3" s="77" t="s">
        <v>50</v>
      </c>
      <c r="I3" s="203" t="s">
        <v>115</v>
      </c>
    </row>
    <row r="4" spans="1:14" x14ac:dyDescent="0.25">
      <c r="A4" s="130" t="s">
        <v>59</v>
      </c>
      <c r="B4" s="6">
        <v>139900</v>
      </c>
      <c r="C4" s="2">
        <v>656.97</v>
      </c>
      <c r="D4" s="2">
        <v>767.36</v>
      </c>
      <c r="E4" s="2">
        <v>724.2</v>
      </c>
      <c r="F4" s="3"/>
      <c r="G4" s="1">
        <v>75</v>
      </c>
      <c r="H4" s="1">
        <v>1430.09</v>
      </c>
      <c r="I4" s="1">
        <v>250</v>
      </c>
    </row>
    <row r="5" spans="1:14" x14ac:dyDescent="0.25">
      <c r="A5" s="135" t="s">
        <v>71</v>
      </c>
      <c r="B5" s="6">
        <v>282500</v>
      </c>
      <c r="C5" s="2">
        <v>1407.05</v>
      </c>
      <c r="D5" s="2">
        <v>1680</v>
      </c>
      <c r="E5" s="2">
        <v>1585.5</v>
      </c>
      <c r="G5" s="1">
        <v>146</v>
      </c>
      <c r="H5" s="10">
        <v>3895.15</v>
      </c>
      <c r="I5" s="1"/>
    </row>
    <row r="6" spans="1:14" x14ac:dyDescent="0.25">
      <c r="A6" s="135" t="s">
        <v>48</v>
      </c>
      <c r="B6" s="9">
        <v>309900</v>
      </c>
      <c r="C6" s="2">
        <v>1551.17</v>
      </c>
      <c r="D6" s="2">
        <v>1855.36</v>
      </c>
      <c r="E6" s="2">
        <v>1751</v>
      </c>
      <c r="G6" s="1">
        <v>175</v>
      </c>
      <c r="H6" s="11">
        <v>3865.86</v>
      </c>
      <c r="I6" s="1"/>
    </row>
    <row r="7" spans="1:14" x14ac:dyDescent="0.25">
      <c r="A7" s="130" t="s">
        <v>49</v>
      </c>
      <c r="B7" s="6">
        <v>179000</v>
      </c>
      <c r="C7" s="2">
        <v>862.64</v>
      </c>
      <c r="D7" s="2">
        <v>1017.6</v>
      </c>
      <c r="E7" s="2">
        <v>960.36</v>
      </c>
      <c r="G7" s="1">
        <v>275</v>
      </c>
      <c r="H7" s="10">
        <v>3132.63</v>
      </c>
      <c r="I7" s="1"/>
    </row>
    <row r="8" spans="1:14" x14ac:dyDescent="0.25">
      <c r="A8" s="88"/>
    </row>
    <row r="9" spans="1:14" s="3" customFormat="1" x14ac:dyDescent="0.25">
      <c r="A9" s="247" t="s">
        <v>7</v>
      </c>
      <c r="B9" s="247"/>
      <c r="C9" s="247"/>
      <c r="D9" s="19"/>
      <c r="G9" s="18"/>
      <c r="H9" s="18"/>
      <c r="N9"/>
    </row>
    <row r="10" spans="1:14" x14ac:dyDescent="0.25">
      <c r="A10" t="s">
        <v>4</v>
      </c>
      <c r="B10" s="220">
        <v>3401.67</v>
      </c>
      <c r="C10" s="94"/>
      <c r="D10" s="7"/>
    </row>
    <row r="11" spans="1:14" x14ac:dyDescent="0.25">
      <c r="A11" t="s">
        <v>110</v>
      </c>
      <c r="B11" s="220">
        <v>3541.67</v>
      </c>
      <c r="C11" s="94"/>
      <c r="D11" s="8"/>
    </row>
    <row r="12" spans="1:14" x14ac:dyDescent="0.25">
      <c r="A12" t="s">
        <v>96</v>
      </c>
      <c r="B12" s="220">
        <v>4623.42</v>
      </c>
      <c r="C12" s="94"/>
    </row>
    <row r="13" spans="1:14" x14ac:dyDescent="0.25">
      <c r="A13" t="s">
        <v>5</v>
      </c>
      <c r="B13" s="220">
        <v>3473.83</v>
      </c>
      <c r="C13" s="94"/>
      <c r="D13" s="19"/>
    </row>
    <row r="14" spans="1:14" x14ac:dyDescent="0.25">
      <c r="A14" t="s">
        <v>93</v>
      </c>
      <c r="B14" s="220">
        <v>4458.08</v>
      </c>
      <c r="C14" s="94"/>
      <c r="D14" s="2"/>
    </row>
    <row r="15" spans="1:14" s="3" customFormat="1" x14ac:dyDescent="0.25">
      <c r="A15" t="s">
        <v>94</v>
      </c>
      <c r="B15" s="220">
        <v>5128.83</v>
      </c>
      <c r="C15" s="94"/>
      <c r="D15" s="2"/>
    </row>
    <row r="16" spans="1:14" x14ac:dyDescent="0.25">
      <c r="B16" s="2"/>
      <c r="C16" s="2"/>
      <c r="D16" s="2"/>
    </row>
    <row r="18" spans="1:12" ht="15.75" x14ac:dyDescent="0.25">
      <c r="A18" s="248" t="s">
        <v>6</v>
      </c>
      <c r="B18" s="248"/>
      <c r="C18" s="248"/>
      <c r="D18" s="248"/>
      <c r="E18" s="248"/>
      <c r="F18" s="248"/>
      <c r="G18" s="248"/>
      <c r="H18" s="248"/>
      <c r="I18" s="248"/>
      <c r="J18" s="248"/>
      <c r="K18" s="248"/>
      <c r="L18" s="248"/>
    </row>
    <row r="19" spans="1:12" s="3" customFormat="1" x14ac:dyDescent="0.25">
      <c r="B19" s="242" t="str">
        <f>A10</f>
        <v>Aide en soins de santé</v>
      </c>
      <c r="C19" s="243"/>
      <c r="D19" s="243"/>
      <c r="F19" s="242" t="str">
        <f>A11</f>
        <v>Mécanicien(cienne)</v>
      </c>
      <c r="G19" s="243"/>
      <c r="H19" s="243"/>
      <c r="J19" s="242" t="str">
        <f>A12</f>
        <v>Agent(e) immobilier(ière)</v>
      </c>
      <c r="K19" s="243"/>
      <c r="L19" s="243"/>
    </row>
    <row r="20" spans="1:12" s="3" customFormat="1" x14ac:dyDescent="0.25">
      <c r="B20" s="5" t="s">
        <v>97</v>
      </c>
      <c r="C20" s="3" t="s">
        <v>98</v>
      </c>
      <c r="D20" s="3" t="s">
        <v>99</v>
      </c>
      <c r="F20" s="5" t="str">
        <f>B20</f>
        <v>25 ans (4%)</v>
      </c>
      <c r="G20" s="5" t="str">
        <f t="shared" ref="G20:H20" si="0">C20</f>
        <v>25 ans (6%)</v>
      </c>
      <c r="H20" s="5" t="str">
        <f t="shared" si="0"/>
        <v>20 ans (4%)</v>
      </c>
      <c r="J20" s="5" t="str">
        <f>B20</f>
        <v>25 ans (4%)</v>
      </c>
      <c r="K20" s="5" t="str">
        <f t="shared" ref="K20:L20" si="1">C20</f>
        <v>25 ans (6%)</v>
      </c>
      <c r="L20" s="5" t="str">
        <f t="shared" si="1"/>
        <v>20 ans (4%)</v>
      </c>
    </row>
    <row r="21" spans="1:12" x14ac:dyDescent="0.25">
      <c r="A21" t="str">
        <f>A4</f>
        <v>Condominium</v>
      </c>
      <c r="B21" s="4">
        <f>(C4+$G$4+$H$4/12+$I$4/2)/$B$10</f>
        <v>0.28696027735396634</v>
      </c>
      <c r="C21" s="4">
        <f>(D4+$G$4+$H$4/12+$I$4/2)/$B$10</f>
        <v>0.31941198489761408</v>
      </c>
      <c r="D21" s="4">
        <f>(E4+$G$4+$H$4/12+$I$4/2)/$B$10</f>
        <v>0.306724099241451</v>
      </c>
      <c r="F21" s="4">
        <f>(C4+$G$4+$H$4/12+$I$4/2)/$B$11</f>
        <v>0.27561691706643099</v>
      </c>
      <c r="G21" s="4">
        <f>(D4+$G$4+$H$4/12+$I$4/2)/$B$11</f>
        <v>0.3067858289074552</v>
      </c>
      <c r="H21" s="4">
        <f>(E4+$G$4+$H$4/12+$I$4/2)/$B$11</f>
        <v>0.29459948743577652</v>
      </c>
      <c r="J21" s="4">
        <f>(C4+$G$4+$H$4/12+$I$4/2)/$B$12</f>
        <v>0.21113032488215794</v>
      </c>
      <c r="K21" s="4">
        <f>(D4+$G$4+$H$4/12+$I$4/2)/$B$12</f>
        <v>0.23500658963855042</v>
      </c>
      <c r="L21" s="4">
        <f>(E4+$G$4+$H$4/12+$I$4/2)/$B$12</f>
        <v>0.22567150868116387</v>
      </c>
    </row>
    <row r="22" spans="1:12" x14ac:dyDescent="0.25">
      <c r="A22" t="str">
        <f>A5</f>
        <v>Sainte-Agathe</v>
      </c>
      <c r="B22" s="4">
        <f>(C5+$G$4+$H$4/12)/$B$10</f>
        <v>0.470717079160138</v>
      </c>
      <c r="C22" s="4">
        <f>(D5+$G$4+$H$4/12)/$B$10</f>
        <v>0.55095707892495938</v>
      </c>
      <c r="D22" s="4">
        <f>(E5+$G$4+$H$4/12)/$B$10</f>
        <v>0.52317660639235042</v>
      </c>
      <c r="F22" s="4">
        <f>(C5+$G$4+$H$4/12)/$B$11</f>
        <v>0.45210992742595063</v>
      </c>
      <c r="G22" s="4">
        <f>(D5+$G$4+$H$4/12)/$B$11</f>
        <v>0.52917809018532691</v>
      </c>
      <c r="H22" s="4">
        <f>(E5+$G$4+$H$4/12)/$B$11</f>
        <v>0.5024957623569295</v>
      </c>
      <c r="J22" s="4">
        <f>(C5+$G$4+$H$4/12)/$B$12</f>
        <v>0.3463289440861238</v>
      </c>
      <c r="K22" s="4">
        <f>(D5+$G$4+$H$4/12)/$B$12</f>
        <v>0.40536532840768663</v>
      </c>
      <c r="L22" s="4">
        <f>(E5+$G$4+$H$4/12)/$B$12</f>
        <v>0.38492591342916427</v>
      </c>
    </row>
    <row r="23" spans="1:12" x14ac:dyDescent="0.25">
      <c r="A23" t="str">
        <f>A6</f>
        <v>Winnipeg</v>
      </c>
      <c r="B23" s="4">
        <f>(C6+$G$4+$H$4/12)/$B$10</f>
        <v>0.51308450457177412</v>
      </c>
      <c r="C23" s="4">
        <f>(D6+$G$4+$H$4/12)/$B$10</f>
        <v>0.60250822880134358</v>
      </c>
      <c r="D23" s="4">
        <f>(E6+$G$4+$H$4/12)/$B$10</f>
        <v>0.5718291799812053</v>
      </c>
      <c r="F23" s="4">
        <f>(C6+$G$4+$H$4/12)/$B$11</f>
        <v>0.49280259500932233</v>
      </c>
      <c r="G23" s="4">
        <f>(D6+$G$4+$H$4/12)/$B$11</f>
        <v>0.5786914553492184</v>
      </c>
      <c r="H23" s="4">
        <f>(E6+$G$4+$H$4/12)/$B$11</f>
        <v>0.54922513014105401</v>
      </c>
      <c r="J23" s="4">
        <f>(C6+$G$4+$H$4/12)/$B$12</f>
        <v>0.37750067410416244</v>
      </c>
      <c r="K23" s="4">
        <f>(D6+$G$4+$H$4/12)/$B$12</f>
        <v>0.44329396132444515</v>
      </c>
      <c r="L23" s="4">
        <f>(E6+$G$4+$H$4/12)/$B$12</f>
        <v>0.42072192590477758</v>
      </c>
    </row>
    <row r="24" spans="1:12" x14ac:dyDescent="0.25">
      <c r="A24" t="str">
        <f>A7</f>
        <v>Thompson</v>
      </c>
      <c r="B24" s="4">
        <f>(C7+$G$4+$H$4/12)/$B$10</f>
        <v>0.31067509977942204</v>
      </c>
      <c r="C24" s="4">
        <f>(D7+$G$4+$H$4/12)/$B$10</f>
        <v>0.35622919526781449</v>
      </c>
      <c r="D24" s="4">
        <f>(E7+$G$4+$H$4/12)/$B$10</f>
        <v>0.33940216619092001</v>
      </c>
      <c r="F24" s="4">
        <f>(C7+$G$4+$H$4/12)/$B$11</f>
        <v>0.29839430739359302</v>
      </c>
      <c r="G24" s="4">
        <f>(D7+$G$4+$H$4/12)/$B$11</f>
        <v>0.34214767797865597</v>
      </c>
      <c r="H24" s="4">
        <f>(E7+$G$4+$H$4/12)/$B$11</f>
        <v>0.32598581083688394</v>
      </c>
      <c r="J24" s="4">
        <f>(C7+$G$4+$H$4/12)/$B$12</f>
        <v>0.22857844770033148</v>
      </c>
      <c r="K24" s="4">
        <f>(D7+$G$4+$H$4/12)/$B$12</f>
        <v>0.26209476246299634</v>
      </c>
      <c r="L24" s="4">
        <f>(E7+$G$4+$H$4/12)/$B$12</f>
        <v>0.24971431681886283</v>
      </c>
    </row>
    <row r="26" spans="1:12" s="3" customFormat="1" x14ac:dyDescent="0.25">
      <c r="B26" s="242" t="str">
        <f>A13</f>
        <v>Graphiste</v>
      </c>
      <c r="C26" s="243"/>
      <c r="D26" s="243"/>
      <c r="F26" s="244" t="str">
        <f>A14</f>
        <v>Gérant(e) de restaurant</v>
      </c>
      <c r="G26" s="245"/>
      <c r="H26" s="245"/>
      <c r="J26" s="242" t="str">
        <f>A15</f>
        <v>Pompier(ière)</v>
      </c>
      <c r="K26" s="243"/>
      <c r="L26" s="243"/>
    </row>
    <row r="27" spans="1:12" s="3" customFormat="1" x14ac:dyDescent="0.25">
      <c r="B27" s="5" t="str">
        <f>B20</f>
        <v>25 ans (4%)</v>
      </c>
      <c r="C27" s="5" t="str">
        <f t="shared" ref="C27:D27" si="2">C20</f>
        <v>25 ans (6%)</v>
      </c>
      <c r="D27" s="5" t="str">
        <f t="shared" si="2"/>
        <v>20 ans (4%)</v>
      </c>
      <c r="F27" s="5" t="str">
        <f>B20</f>
        <v>25 ans (4%)</v>
      </c>
      <c r="G27" s="5" t="str">
        <f t="shared" ref="G27:H27" si="3">C20</f>
        <v>25 ans (6%)</v>
      </c>
      <c r="H27" s="5" t="str">
        <f t="shared" si="3"/>
        <v>20 ans (4%)</v>
      </c>
      <c r="J27" s="5" t="str">
        <f>B20</f>
        <v>25 ans (4%)</v>
      </c>
      <c r="K27" s="5" t="str">
        <f t="shared" ref="K27:L27" si="4">C20</f>
        <v>25 ans (6%)</v>
      </c>
      <c r="L27" s="5" t="str">
        <f t="shared" si="4"/>
        <v>20 ans (4%)</v>
      </c>
    </row>
    <row r="28" spans="1:12" x14ac:dyDescent="0.25">
      <c r="A28" t="str">
        <f>A4</f>
        <v>Condominium</v>
      </c>
      <c r="B28" s="4">
        <f>(C4+$G$4+$H$4/12+$I$4/2)/$B$13</f>
        <v>0.28099940603502954</v>
      </c>
      <c r="C28" s="4">
        <f>(D4+$G$4+$H$4/12+$I$4/2)/$B$13</f>
        <v>0.31277701173248745</v>
      </c>
      <c r="D28" s="4">
        <f>(E4+$G$4+$H$4/12+$I$4/2)/$B$13</f>
        <v>0.30035268469287985</v>
      </c>
      <c r="F28" s="4">
        <f>(C4+$G$4+$H$4/12+$I$4/2)/$B$14</f>
        <v>0.21896066617617152</v>
      </c>
      <c r="G28" s="4">
        <f>(D4+$G$4+$H$4/12+$I$4/2)/$B$14</f>
        <v>0.24372244703250431</v>
      </c>
      <c r="H28" s="4">
        <f>(E4+$G$4+$H$4/12+$I$4/2)/$B$14</f>
        <v>0.23404114925408848</v>
      </c>
      <c r="J28" s="4">
        <f>(C4+$G$4+$H$4/12+$I$4/2)/$B$15</f>
        <v>0.19032492140832641</v>
      </c>
      <c r="K28" s="4">
        <f>(D4+$G$4+$H$4/12+$I$4/2)/$B$15</f>
        <v>0.21184834877870135</v>
      </c>
      <c r="L28" s="4">
        <f>(E4+$G$4+$H$4/12+$I$4/2)/$B$15</f>
        <v>0.20343317416772769</v>
      </c>
    </row>
    <row r="29" spans="1:12" x14ac:dyDescent="0.25">
      <c r="A29" t="str">
        <f t="shared" ref="A29:A31" si="5">A5</f>
        <v>Sainte-Agathe</v>
      </c>
      <c r="B29" s="4">
        <f t="shared" ref="B29:D31" si="6">(C5+$G$4+$H$4/12)/$B$13</f>
        <v>0.46093912674675119</v>
      </c>
      <c r="C29" s="4">
        <f t="shared" si="6"/>
        <v>0.53951234420413974</v>
      </c>
      <c r="D29" s="4">
        <f t="shared" si="6"/>
        <v>0.51230894046820563</v>
      </c>
      <c r="F29" s="4">
        <f t="shared" ref="F29:H31" si="7">(C5+$G$4+$H$4/12)/$B$14</f>
        <v>0.35917349322279246</v>
      </c>
      <c r="G29" s="4">
        <f t="shared" si="7"/>
        <v>0.42039940213425214</v>
      </c>
      <c r="H29" s="4">
        <f t="shared" si="7"/>
        <v>0.39920193596047326</v>
      </c>
      <c r="J29" s="4">
        <f t="shared" ref="J29:L31" si="8">(C5+$G$4+$H$4/12)/$B$15</f>
        <v>0.31220067084825714</v>
      </c>
      <c r="K29" s="4">
        <f t="shared" si="8"/>
        <v>0.36541943614170613</v>
      </c>
      <c r="L29" s="4">
        <f t="shared" si="8"/>
        <v>0.3469941812590136</v>
      </c>
    </row>
    <row r="30" spans="1:12" x14ac:dyDescent="0.25">
      <c r="A30" t="str">
        <f t="shared" si="5"/>
        <v>Winnipeg</v>
      </c>
      <c r="B30" s="4">
        <f t="shared" si="6"/>
        <v>0.50242647644434724</v>
      </c>
      <c r="C30" s="4">
        <f t="shared" si="6"/>
        <v>0.58999264980343491</v>
      </c>
      <c r="D30" s="4">
        <f t="shared" si="6"/>
        <v>0.55995088034436535</v>
      </c>
      <c r="F30" s="4">
        <f t="shared" si="7"/>
        <v>0.39150131147639045</v>
      </c>
      <c r="G30" s="4">
        <f t="shared" si="7"/>
        <v>0.45973472137482196</v>
      </c>
      <c r="H30" s="4">
        <f t="shared" si="7"/>
        <v>0.4363255407410066</v>
      </c>
      <c r="J30" s="4">
        <f t="shared" si="8"/>
        <v>0.34030064686617939</v>
      </c>
      <c r="K30" s="4">
        <f t="shared" si="8"/>
        <v>0.39961046996423483</v>
      </c>
      <c r="L30" s="4">
        <f t="shared" si="8"/>
        <v>0.37926274933399368</v>
      </c>
    </row>
    <row r="31" spans="1:12" x14ac:dyDescent="0.25">
      <c r="A31" t="str">
        <f t="shared" si="5"/>
        <v>Thompson</v>
      </c>
      <c r="B31" s="4">
        <f t="shared" si="6"/>
        <v>0.30422161322421265</v>
      </c>
      <c r="C31" s="4">
        <f t="shared" si="6"/>
        <v>0.3488294380170206</v>
      </c>
      <c r="D31" s="4">
        <f t="shared" si="6"/>
        <v>0.33235194775411198</v>
      </c>
      <c r="F31" s="4">
        <f t="shared" si="7"/>
        <v>0.23705589999880364</v>
      </c>
      <c r="G31" s="4">
        <f t="shared" si="7"/>
        <v>0.27181525828757369</v>
      </c>
      <c r="H31" s="4">
        <f t="shared" si="7"/>
        <v>0.25897565020517055</v>
      </c>
      <c r="J31" s="4">
        <f t="shared" si="8"/>
        <v>0.20605365486215502</v>
      </c>
      <c r="K31" s="4">
        <f t="shared" si="8"/>
        <v>0.23626717334492792</v>
      </c>
      <c r="L31" s="4">
        <f t="shared" si="8"/>
        <v>0.22510673324455419</v>
      </c>
    </row>
    <row r="33" spans="1:1" ht="15.75" x14ac:dyDescent="0.25">
      <c r="A33" s="255" t="s">
        <v>111</v>
      </c>
    </row>
  </sheetData>
  <mergeCells count="9">
    <mergeCell ref="B26:D26"/>
    <mergeCell ref="F26:H26"/>
    <mergeCell ref="J26:L26"/>
    <mergeCell ref="C1:E1"/>
    <mergeCell ref="A9:C9"/>
    <mergeCell ref="A18:L18"/>
    <mergeCell ref="B19:D19"/>
    <mergeCell ref="F19:H19"/>
    <mergeCell ref="J19:L19"/>
  </mergeCells>
  <pageMargins left="0.7" right="0.7" top="0.75" bottom="0.75" header="0.3" footer="0.3"/>
  <pageSetup orientation="landscape" r:id="rId1"/>
  <headerFooter>
    <oddHeader>&amp;L&amp;A&amp;R12/09/2017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view="pageBreakPreview" zoomScale="60" zoomScaleNormal="100" workbookViewId="0">
      <selection activeCell="A22" sqref="A22"/>
    </sheetView>
  </sheetViews>
  <sheetFormatPr baseColWidth="10" defaultColWidth="11.42578125" defaultRowHeight="15" x14ac:dyDescent="0.25"/>
  <cols>
    <col min="1" max="1" width="22.7109375" customWidth="1"/>
    <col min="2" max="4" width="13" bestFit="1" customWidth="1"/>
    <col min="5" max="5" width="13.42578125" customWidth="1"/>
    <col min="6" max="6" width="8.42578125" customWidth="1"/>
    <col min="9" max="9" width="13.5703125" customWidth="1"/>
  </cols>
  <sheetData>
    <row r="1" spans="1:12" x14ac:dyDescent="0.25">
      <c r="A1" s="3"/>
      <c r="B1" s="3"/>
      <c r="C1" s="246" t="s">
        <v>19</v>
      </c>
      <c r="D1" s="246"/>
      <c r="E1" s="246"/>
    </row>
    <row r="2" spans="1:12" x14ac:dyDescent="0.25">
      <c r="A2" s="3"/>
      <c r="B2" s="3"/>
      <c r="C2" s="204" t="s">
        <v>0</v>
      </c>
      <c r="D2" s="204" t="s">
        <v>0</v>
      </c>
      <c r="E2" s="204" t="s">
        <v>1</v>
      </c>
    </row>
    <row r="3" spans="1:12" ht="30" x14ac:dyDescent="0.25">
      <c r="A3" s="3" t="s">
        <v>60</v>
      </c>
      <c r="B3" s="201" t="s">
        <v>8</v>
      </c>
      <c r="C3" s="202">
        <v>0.04</v>
      </c>
      <c r="D3" s="202">
        <v>0.06</v>
      </c>
      <c r="E3" s="202">
        <v>0.04</v>
      </c>
      <c r="F3" s="51"/>
      <c r="G3" s="77" t="s">
        <v>2</v>
      </c>
      <c r="H3" s="77" t="s">
        <v>3</v>
      </c>
      <c r="I3" s="203" t="s">
        <v>85</v>
      </c>
    </row>
    <row r="4" spans="1:12" x14ac:dyDescent="0.25">
      <c r="A4" t="s">
        <v>59</v>
      </c>
      <c r="B4" s="6">
        <v>139900</v>
      </c>
      <c r="C4" s="2">
        <v>656.97</v>
      </c>
      <c r="D4" s="2">
        <v>767.36</v>
      </c>
      <c r="E4" s="2">
        <v>724.2</v>
      </c>
      <c r="F4" s="3"/>
      <c r="G4" s="1">
        <v>75</v>
      </c>
      <c r="H4" s="1">
        <v>1430.09</v>
      </c>
      <c r="I4" s="1">
        <v>250</v>
      </c>
      <c r="J4" s="3"/>
    </row>
    <row r="5" spans="1:12" x14ac:dyDescent="0.25">
      <c r="A5" t="s">
        <v>103</v>
      </c>
      <c r="B5" s="6">
        <v>282500</v>
      </c>
      <c r="C5" s="2">
        <v>1407.05</v>
      </c>
      <c r="D5" s="2">
        <v>1680</v>
      </c>
      <c r="E5" s="2">
        <v>1585.5</v>
      </c>
      <c r="G5" s="1">
        <v>146</v>
      </c>
      <c r="H5" s="10">
        <v>3895.15</v>
      </c>
      <c r="I5" s="1"/>
    </row>
    <row r="6" spans="1:12" x14ac:dyDescent="0.25">
      <c r="A6" t="s">
        <v>83</v>
      </c>
      <c r="B6" s="6">
        <v>309900</v>
      </c>
      <c r="C6" s="2">
        <v>1551.17</v>
      </c>
      <c r="D6" s="2">
        <v>1855.36</v>
      </c>
      <c r="E6" s="2">
        <v>1751</v>
      </c>
      <c r="G6" s="1">
        <v>175</v>
      </c>
      <c r="H6" s="11">
        <v>3865.86</v>
      </c>
      <c r="I6" s="1"/>
    </row>
    <row r="7" spans="1:12" x14ac:dyDescent="0.25">
      <c r="A7" t="s">
        <v>84</v>
      </c>
      <c r="B7" s="6">
        <v>179000</v>
      </c>
      <c r="C7" s="2">
        <v>862.64</v>
      </c>
      <c r="D7" s="2">
        <v>1017.6</v>
      </c>
      <c r="E7" s="2">
        <v>960.36</v>
      </c>
      <c r="G7" s="1">
        <v>275</v>
      </c>
      <c r="H7" s="10">
        <v>3132.63</v>
      </c>
      <c r="I7" s="1"/>
    </row>
    <row r="9" spans="1:12" s="3" customFormat="1" x14ac:dyDescent="0.25">
      <c r="A9" s="246" t="s">
        <v>72</v>
      </c>
      <c r="B9" s="246"/>
      <c r="C9" s="246"/>
      <c r="D9" s="30"/>
      <c r="G9" s="18"/>
      <c r="H9" s="18"/>
      <c r="K9"/>
    </row>
    <row r="10" spans="1:12" x14ac:dyDescent="0.25">
      <c r="A10" s="250" t="s">
        <v>35</v>
      </c>
      <c r="B10" s="250"/>
      <c r="C10" s="180">
        <f>36500/12</f>
        <v>3041.6666666666665</v>
      </c>
      <c r="D10" s="7"/>
    </row>
    <row r="11" spans="1:12" x14ac:dyDescent="0.25">
      <c r="A11" s="250" t="s">
        <v>34</v>
      </c>
      <c r="B11" s="250"/>
      <c r="C11" s="181">
        <f>42500/12</f>
        <v>3541.6666666666665</v>
      </c>
      <c r="D11" s="8"/>
    </row>
    <row r="12" spans="1:12" x14ac:dyDescent="0.25">
      <c r="C12" s="6">
        <f>SUM(C10:C11)</f>
        <v>6583.333333333333</v>
      </c>
    </row>
    <row r="13" spans="1:12" x14ac:dyDescent="0.25">
      <c r="C13" s="1"/>
      <c r="D13" s="30"/>
    </row>
    <row r="14" spans="1:12" ht="15.75" x14ac:dyDescent="0.25">
      <c r="A14" s="248" t="s">
        <v>6</v>
      </c>
      <c r="B14" s="249"/>
      <c r="C14" s="249"/>
      <c r="D14" s="249"/>
      <c r="E14" s="63"/>
      <c r="F14" s="63"/>
      <c r="G14" s="63"/>
      <c r="H14" s="63"/>
      <c r="I14" s="63"/>
      <c r="J14" s="63"/>
      <c r="K14" s="63"/>
      <c r="L14" s="63"/>
    </row>
    <row r="15" spans="1:12" s="3" customFormat="1" x14ac:dyDescent="0.25">
      <c r="E15" s="64"/>
      <c r="F15" s="64"/>
      <c r="G15" s="64"/>
      <c r="H15" s="64"/>
      <c r="I15" s="64"/>
      <c r="J15" s="64"/>
      <c r="K15" s="64"/>
      <c r="L15" s="64"/>
    </row>
    <row r="16" spans="1:12" s="3" customFormat="1" x14ac:dyDescent="0.25">
      <c r="B16" s="201" t="s">
        <v>97</v>
      </c>
      <c r="C16" s="77" t="s">
        <v>100</v>
      </c>
      <c r="D16" s="77" t="s">
        <v>99</v>
      </c>
      <c r="F16" s="5"/>
      <c r="G16" s="5"/>
      <c r="H16" s="5"/>
      <c r="J16" s="5"/>
      <c r="K16" s="5"/>
      <c r="L16" s="5"/>
    </row>
    <row r="17" spans="1:12" x14ac:dyDescent="0.25">
      <c r="A17" t="str">
        <f>A4</f>
        <v>Condominium</v>
      </c>
      <c r="B17" s="205">
        <f>(C4+$G$4+$H$4/12+$I$4/2)/$C$12</f>
        <v>0.14827506329113926</v>
      </c>
      <c r="C17" s="205">
        <f>(D4+$G$4+$H$4/12+$I$4/2)/$C$12</f>
        <v>0.16504316455696205</v>
      </c>
      <c r="D17" s="205">
        <f>(E4+$G$4+$H$4/12+$I$4/2)/$C$12</f>
        <v>0.15848721518987344</v>
      </c>
      <c r="F17" s="4"/>
      <c r="G17" s="4"/>
      <c r="H17" s="4"/>
      <c r="J17" s="4"/>
      <c r="K17" s="4"/>
      <c r="L17" s="4"/>
    </row>
    <row r="18" spans="1:12" x14ac:dyDescent="0.25">
      <c r="A18" t="str">
        <f>A5</f>
        <v>Maison à Sainte-Agathe</v>
      </c>
      <c r="B18" s="205">
        <f t="shared" ref="B18:D20" si="0">(C5+$G$4+$H$4/12)/$C$12</f>
        <v>0.24322392405063292</v>
      </c>
      <c r="C18" s="205">
        <f t="shared" si="0"/>
        <v>0.28468468354430382</v>
      </c>
      <c r="D18" s="205">
        <f t="shared" si="0"/>
        <v>0.270330253164557</v>
      </c>
      <c r="F18" s="4"/>
      <c r="G18" s="4"/>
      <c r="H18" s="4"/>
      <c r="J18" s="4"/>
      <c r="K18" s="4"/>
      <c r="L18" s="4"/>
    </row>
    <row r="19" spans="1:12" x14ac:dyDescent="0.25">
      <c r="A19" t="str">
        <f t="shared" ref="A19:A20" si="1">A6</f>
        <v>Maison à Winnipeg</v>
      </c>
      <c r="B19" s="205">
        <f t="shared" si="0"/>
        <v>0.26511556962025318</v>
      </c>
      <c r="C19" s="205">
        <f t="shared" si="0"/>
        <v>0.31132164556962022</v>
      </c>
      <c r="D19" s="205">
        <f t="shared" si="0"/>
        <v>0.2954694936708861</v>
      </c>
      <c r="F19" s="4"/>
      <c r="G19" s="4"/>
      <c r="H19" s="4"/>
      <c r="J19" s="4"/>
      <c r="K19" s="4"/>
      <c r="L19" s="4"/>
    </row>
    <row r="20" spans="1:12" x14ac:dyDescent="0.25">
      <c r="A20" t="str">
        <f t="shared" si="1"/>
        <v>Maison à Thompson</v>
      </c>
      <c r="B20" s="205">
        <f t="shared" si="0"/>
        <v>0.16052873417721519</v>
      </c>
      <c r="C20" s="205">
        <f t="shared" si="0"/>
        <v>0.18406696202531644</v>
      </c>
      <c r="D20" s="205">
        <f t="shared" si="0"/>
        <v>0.17537227848101269</v>
      </c>
      <c r="F20" s="4"/>
      <c r="G20" s="4"/>
      <c r="H20" s="4"/>
      <c r="J20" s="4"/>
      <c r="K20" s="4"/>
      <c r="L20" s="4"/>
    </row>
    <row r="22" spans="1:12" s="3" customFormat="1" ht="15.75" x14ac:dyDescent="0.25">
      <c r="A22" s="255" t="s">
        <v>111</v>
      </c>
    </row>
    <row r="23" spans="1:12" s="3" customFormat="1" x14ac:dyDescent="0.25">
      <c r="B23" s="5"/>
      <c r="C23" s="5"/>
      <c r="D23" s="5"/>
      <c r="F23" s="5"/>
      <c r="G23" s="5"/>
      <c r="H23" s="5"/>
      <c r="J23" s="5"/>
      <c r="K23" s="5"/>
      <c r="L23" s="5"/>
    </row>
    <row r="24" spans="1:12" x14ac:dyDescent="0.25">
      <c r="B24" s="4"/>
      <c r="C24" s="4"/>
      <c r="D24" s="4"/>
      <c r="F24" s="4"/>
      <c r="G24" s="4"/>
      <c r="H24" s="4"/>
      <c r="J24" s="4"/>
      <c r="K24" s="4"/>
      <c r="L24" s="4"/>
    </row>
    <row r="25" spans="1:12" x14ac:dyDescent="0.25">
      <c r="B25" s="4"/>
      <c r="C25" s="4"/>
      <c r="D25" s="4"/>
      <c r="F25" s="4"/>
      <c r="G25" s="4"/>
      <c r="H25" s="4"/>
      <c r="J25" s="4"/>
      <c r="K25" s="4"/>
      <c r="L25" s="4"/>
    </row>
    <row r="26" spans="1:12" x14ac:dyDescent="0.25">
      <c r="B26" s="4"/>
      <c r="C26" s="4"/>
      <c r="D26" s="4"/>
      <c r="F26" s="4"/>
      <c r="G26" s="4"/>
      <c r="H26" s="4"/>
      <c r="J26" s="4"/>
      <c r="K26" s="4"/>
      <c r="L26" s="4"/>
    </row>
    <row r="27" spans="1:12" x14ac:dyDescent="0.25">
      <c r="B27" s="4"/>
      <c r="C27" s="4"/>
      <c r="D27" s="4"/>
      <c r="F27" s="4"/>
      <c r="G27" s="4"/>
      <c r="H27" s="4"/>
      <c r="J27" s="4"/>
      <c r="K27" s="4"/>
      <c r="L27" s="4"/>
    </row>
  </sheetData>
  <mergeCells count="5">
    <mergeCell ref="C1:E1"/>
    <mergeCell ref="A9:C9"/>
    <mergeCell ref="A14:D14"/>
    <mergeCell ref="A10:B10"/>
    <mergeCell ref="A11:B11"/>
  </mergeCells>
  <pageMargins left="0.7" right="0.7" top="0.75" bottom="0.75" header="0.3" footer="0.3"/>
  <pageSetup orientation="landscape" r:id="rId1"/>
  <headerFooter>
    <oddHeader>&amp;L&amp;A&amp;R12/09/2017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4"/>
  <sheetViews>
    <sheetView view="pageBreakPreview" topLeftCell="A12" zoomScale="60" zoomScaleNormal="100" workbookViewId="0">
      <selection activeCell="I57" sqref="I57"/>
    </sheetView>
  </sheetViews>
  <sheetFormatPr baseColWidth="10" defaultColWidth="9.140625" defaultRowHeight="15" x14ac:dyDescent="0.25"/>
  <cols>
    <col min="1" max="1" width="21.28515625" customWidth="1"/>
    <col min="2" max="2" width="33.85546875" customWidth="1"/>
    <col min="3" max="3" width="3.42578125" customWidth="1"/>
    <col min="4" max="4" width="12.28515625" bestFit="1" customWidth="1"/>
    <col min="5" max="5" width="12.5703125" customWidth="1"/>
    <col min="9" max="9" width="11.5703125" customWidth="1"/>
    <col min="10" max="10" width="34.85546875" customWidth="1"/>
    <col min="11" max="11" width="6.5703125" customWidth="1"/>
    <col min="12" max="12" width="12.28515625" customWidth="1"/>
    <col min="13" max="13" width="6.7109375" customWidth="1"/>
  </cols>
  <sheetData>
    <row r="1" spans="1:76" s="34" customFormat="1" ht="15.75" x14ac:dyDescent="0.25">
      <c r="A1" s="251" t="s">
        <v>4</v>
      </c>
      <c r="B1" s="251"/>
      <c r="C1" s="251"/>
      <c r="D1" s="251"/>
      <c r="E1" s="33"/>
      <c r="H1" s="33"/>
      <c r="I1" s="251" t="s">
        <v>110</v>
      </c>
      <c r="J1" s="251"/>
      <c r="K1" s="251"/>
      <c r="L1" s="251"/>
      <c r="M1" s="33"/>
      <c r="P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</row>
    <row r="2" spans="1:76" ht="25.5" customHeight="1" x14ac:dyDescent="0.25">
      <c r="C2" s="29"/>
      <c r="E2" s="32"/>
      <c r="F2" s="252" t="s">
        <v>118</v>
      </c>
      <c r="G2" s="252"/>
      <c r="H2" s="32"/>
      <c r="K2" s="29"/>
      <c r="M2" s="32"/>
      <c r="N2" s="252" t="s">
        <v>120</v>
      </c>
      <c r="O2" s="252"/>
      <c r="P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</row>
    <row r="3" spans="1:76" x14ac:dyDescent="0.25">
      <c r="A3" s="35" t="s">
        <v>20</v>
      </c>
      <c r="C3" s="29"/>
      <c r="D3" s="35"/>
      <c r="E3" s="32"/>
      <c r="F3" s="36" t="s">
        <v>18</v>
      </c>
      <c r="G3" s="37" t="s">
        <v>21</v>
      </c>
      <c r="H3" s="32"/>
      <c r="I3" s="35" t="s">
        <v>20</v>
      </c>
      <c r="K3" s="29"/>
      <c r="L3" s="35"/>
      <c r="M3" s="32"/>
      <c r="N3" s="36" t="s">
        <v>18</v>
      </c>
      <c r="O3" s="37" t="s">
        <v>21</v>
      </c>
      <c r="P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</row>
    <row r="4" spans="1:76" ht="13.5" customHeight="1" x14ac:dyDescent="0.25">
      <c r="A4" t="s">
        <v>22</v>
      </c>
      <c r="C4" s="29"/>
      <c r="D4" s="38">
        <v>3401.67</v>
      </c>
      <c r="E4" s="32"/>
      <c r="F4" s="31">
        <v>2.5</v>
      </c>
      <c r="G4">
        <v>4.4799999999999996E-3</v>
      </c>
      <c r="H4" s="32"/>
      <c r="I4" t="s">
        <v>22</v>
      </c>
      <c r="K4" s="29"/>
      <c r="L4" s="38">
        <v>3541.67</v>
      </c>
      <c r="M4" s="32"/>
      <c r="N4" s="31">
        <v>2.5</v>
      </c>
      <c r="O4">
        <v>4.4799999999999996E-3</v>
      </c>
      <c r="P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</row>
    <row r="5" spans="1:76" ht="13.5" customHeight="1" thickBot="1" x14ac:dyDescent="0.3">
      <c r="A5" t="s">
        <v>117</v>
      </c>
      <c r="C5" s="29" t="s">
        <v>23</v>
      </c>
      <c r="D5" s="40">
        <v>0.32</v>
      </c>
      <c r="E5" s="32"/>
      <c r="F5" s="31">
        <v>3</v>
      </c>
      <c r="G5">
        <v>4.7299999999999998E-3</v>
      </c>
      <c r="H5" s="32"/>
      <c r="I5" t="s">
        <v>117</v>
      </c>
      <c r="K5" s="29" t="s">
        <v>23</v>
      </c>
      <c r="L5" s="40">
        <v>0.32</v>
      </c>
      <c r="M5" s="32"/>
      <c r="N5" s="31">
        <v>3</v>
      </c>
      <c r="O5">
        <v>4.7299999999999998E-3</v>
      </c>
      <c r="P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</row>
    <row r="6" spans="1:76" ht="13.5" customHeight="1" thickTop="1" x14ac:dyDescent="0.25">
      <c r="A6" t="s">
        <v>24</v>
      </c>
      <c r="C6" s="29"/>
      <c r="D6" s="42">
        <f>D4*D5</f>
        <v>1088.5344</v>
      </c>
      <c r="E6" s="32"/>
      <c r="F6" s="31">
        <v>3.5</v>
      </c>
      <c r="G6">
        <v>0.499</v>
      </c>
      <c r="H6" s="32"/>
      <c r="I6" t="s">
        <v>24</v>
      </c>
      <c r="K6" s="29"/>
      <c r="L6" s="42">
        <f>L4*L5</f>
        <v>1133.3344</v>
      </c>
      <c r="M6" s="32"/>
      <c r="N6" s="31">
        <v>3.5</v>
      </c>
      <c r="O6">
        <v>0.499</v>
      </c>
      <c r="P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</row>
    <row r="7" spans="1:76" s="32" customFormat="1" ht="13.5" customHeight="1" x14ac:dyDescent="0.25">
      <c r="C7" s="43"/>
      <c r="F7" s="51">
        <v>4</v>
      </c>
      <c r="G7">
        <v>5.2599999999999999E-3</v>
      </c>
      <c r="K7" s="43"/>
      <c r="N7" s="51">
        <v>4</v>
      </c>
      <c r="O7">
        <v>5.2599999999999999E-3</v>
      </c>
    </row>
    <row r="8" spans="1:76" ht="13.5" customHeight="1" x14ac:dyDescent="0.25">
      <c r="A8" s="35" t="s">
        <v>25</v>
      </c>
      <c r="C8" s="29"/>
      <c r="E8" s="32"/>
      <c r="F8" s="51">
        <v>4.5</v>
      </c>
      <c r="G8">
        <v>5.5300000000000002E-3</v>
      </c>
      <c r="H8" s="32"/>
      <c r="I8" s="35" t="s">
        <v>25</v>
      </c>
      <c r="K8" s="29"/>
      <c r="M8" s="32"/>
      <c r="N8" s="51">
        <v>4.5</v>
      </c>
      <c r="O8">
        <v>5.5300000000000002E-3</v>
      </c>
      <c r="P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</row>
    <row r="9" spans="1:76" ht="13.5" customHeight="1" x14ac:dyDescent="0.25">
      <c r="B9" t="s">
        <v>26</v>
      </c>
      <c r="C9" s="29" t="s">
        <v>27</v>
      </c>
      <c r="D9" s="38">
        <f>2500/12</f>
        <v>208.33333333333334</v>
      </c>
      <c r="E9" s="32"/>
      <c r="F9" s="51">
        <v>5</v>
      </c>
      <c r="G9">
        <v>5.8199999999999997E-3</v>
      </c>
      <c r="H9" s="32"/>
      <c r="J9" t="s">
        <v>26</v>
      </c>
      <c r="K9" s="29" t="s">
        <v>27</v>
      </c>
      <c r="L9" s="38">
        <f>$D$9</f>
        <v>208.33333333333334</v>
      </c>
      <c r="M9" s="32"/>
      <c r="N9" s="51">
        <v>5</v>
      </c>
      <c r="O9">
        <v>5.8199999999999997E-3</v>
      </c>
      <c r="P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</row>
    <row r="10" spans="1:76" ht="13.5" customHeight="1" x14ac:dyDescent="0.25">
      <c r="B10" t="s">
        <v>116</v>
      </c>
      <c r="C10" s="29" t="s">
        <v>27</v>
      </c>
      <c r="D10" s="38">
        <v>190</v>
      </c>
      <c r="E10" s="32"/>
      <c r="F10" s="52">
        <v>5.5</v>
      </c>
      <c r="G10">
        <v>6.1000000000000004E-3</v>
      </c>
      <c r="H10" s="32"/>
      <c r="J10" t="s">
        <v>116</v>
      </c>
      <c r="K10" s="29" t="s">
        <v>27</v>
      </c>
      <c r="L10" s="38">
        <f>$D$10</f>
        <v>190</v>
      </c>
      <c r="M10" s="32"/>
      <c r="N10" s="52">
        <v>5.5</v>
      </c>
      <c r="O10">
        <v>6.1000000000000004E-3</v>
      </c>
      <c r="P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</row>
    <row r="11" spans="1:76" ht="33" customHeight="1" thickBot="1" x14ac:dyDescent="0.3">
      <c r="B11" s="20" t="s">
        <v>51</v>
      </c>
      <c r="C11" s="29" t="s">
        <v>27</v>
      </c>
      <c r="D11" s="46"/>
      <c r="E11" s="32"/>
      <c r="F11" s="39">
        <v>6</v>
      </c>
      <c r="G11">
        <v>6.4000000000000003E-3</v>
      </c>
      <c r="H11" s="32"/>
      <c r="J11" s="20" t="s">
        <v>52</v>
      </c>
      <c r="K11" s="29" t="s">
        <v>27</v>
      </c>
      <c r="L11" s="46"/>
      <c r="M11" s="32"/>
      <c r="N11" s="39">
        <v>6</v>
      </c>
      <c r="O11">
        <v>6.4000000000000003E-3</v>
      </c>
      <c r="P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</row>
    <row r="12" spans="1:76" ht="13.5" customHeight="1" thickTop="1" x14ac:dyDescent="0.25">
      <c r="A12" s="35" t="s">
        <v>28</v>
      </c>
      <c r="C12" s="29"/>
      <c r="D12" s="42">
        <f>D6-SUM(D9:D11)</f>
        <v>690.20106666666663</v>
      </c>
      <c r="E12" s="32"/>
      <c r="F12" s="41">
        <v>6.5</v>
      </c>
      <c r="G12">
        <v>6.7000000000000002E-3</v>
      </c>
      <c r="H12" s="32"/>
      <c r="I12" s="35" t="s">
        <v>28</v>
      </c>
      <c r="K12" s="29"/>
      <c r="L12" s="42">
        <f>L6-SUM(L9:L11)</f>
        <v>735.00106666666659</v>
      </c>
      <c r="M12" s="32"/>
      <c r="N12" s="41">
        <v>6.5</v>
      </c>
      <c r="O12">
        <v>6.7000000000000002E-3</v>
      </c>
      <c r="P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</row>
    <row r="13" spans="1:76" ht="13.5" customHeight="1" x14ac:dyDescent="0.25">
      <c r="A13" s="35" t="s">
        <v>29</v>
      </c>
      <c r="C13" s="29"/>
      <c r="E13" s="32"/>
      <c r="F13" s="39">
        <v>7</v>
      </c>
      <c r="G13">
        <v>7.0000000000000001E-3</v>
      </c>
      <c r="H13" s="32"/>
      <c r="I13" s="35" t="s">
        <v>29</v>
      </c>
      <c r="K13" s="29"/>
      <c r="M13" s="32"/>
      <c r="N13" s="39">
        <v>7</v>
      </c>
      <c r="O13">
        <v>7.0000000000000001E-3</v>
      </c>
      <c r="P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</row>
    <row r="14" spans="1:76" s="32" customFormat="1" ht="13.5" customHeight="1" x14ac:dyDescent="0.25">
      <c r="C14" s="43"/>
      <c r="F14" s="44">
        <v>7.5</v>
      </c>
      <c r="G14" s="32">
        <v>7.3200000000000001E-3</v>
      </c>
      <c r="K14" s="43"/>
      <c r="N14" s="44">
        <v>7.5</v>
      </c>
      <c r="O14" s="32">
        <v>7.3200000000000001E-3</v>
      </c>
    </row>
    <row r="15" spans="1:76" ht="13.5" customHeight="1" thickBot="1" x14ac:dyDescent="0.3">
      <c r="A15" t="s">
        <v>119</v>
      </c>
      <c r="C15" s="47" t="s">
        <v>30</v>
      </c>
      <c r="D15" s="53">
        <v>4.5</v>
      </c>
      <c r="E15" s="32"/>
      <c r="F15" s="39">
        <v>8</v>
      </c>
      <c r="G15">
        <v>7.6299999999999996E-3</v>
      </c>
      <c r="H15" s="32"/>
      <c r="I15" t="s">
        <v>119</v>
      </c>
      <c r="K15" s="47" t="s">
        <v>30</v>
      </c>
      <c r="L15" s="53">
        <f>$D$15</f>
        <v>4.5</v>
      </c>
      <c r="M15" s="32"/>
      <c r="N15" s="39">
        <v>8</v>
      </c>
      <c r="O15">
        <v>7.6299999999999996E-3</v>
      </c>
      <c r="P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</row>
    <row r="16" spans="1:76" ht="13.5" customHeight="1" thickTop="1" x14ac:dyDescent="0.25">
      <c r="A16" s="35" t="s">
        <v>101</v>
      </c>
      <c r="C16" s="29"/>
      <c r="D16" s="48">
        <f>D12/LOOKUP(D15,F4:F19,G4:G19)</f>
        <v>124810.31946955997</v>
      </c>
      <c r="E16" s="32"/>
      <c r="F16" s="45">
        <v>8.5</v>
      </c>
      <c r="G16">
        <v>7.9500000000000005E-3</v>
      </c>
      <c r="H16" s="32"/>
      <c r="I16" s="35" t="s">
        <v>101</v>
      </c>
      <c r="K16" s="29"/>
      <c r="L16" s="48">
        <f>L12/LOOKUP(L15,N4:N19,O4:O19)</f>
        <v>132911.58529234477</v>
      </c>
      <c r="M16" s="32"/>
      <c r="N16" s="45">
        <v>8.5</v>
      </c>
      <c r="O16">
        <v>7.9500000000000005E-3</v>
      </c>
      <c r="P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</row>
    <row r="17" spans="1:76" ht="13.5" customHeight="1" x14ac:dyDescent="0.25">
      <c r="A17" s="35" t="s">
        <v>31</v>
      </c>
      <c r="C17" s="29"/>
      <c r="D17" s="49"/>
      <c r="E17" s="32"/>
      <c r="F17" s="39">
        <v>9</v>
      </c>
      <c r="G17">
        <v>8.2799999999999992E-3</v>
      </c>
      <c r="H17" s="32"/>
      <c r="I17" s="35" t="s">
        <v>31</v>
      </c>
      <c r="K17" s="29"/>
      <c r="L17" s="49"/>
      <c r="M17" s="32"/>
      <c r="N17" s="39">
        <v>9</v>
      </c>
      <c r="O17">
        <v>8.2799999999999992E-3</v>
      </c>
      <c r="P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</row>
    <row r="18" spans="1:76" ht="13.5" customHeight="1" x14ac:dyDescent="0.25">
      <c r="C18" s="29"/>
      <c r="E18" s="32"/>
      <c r="F18" s="45">
        <v>9.5</v>
      </c>
      <c r="G18">
        <v>8.6099999999999996E-3</v>
      </c>
      <c r="H18" s="32"/>
      <c r="K18" s="29"/>
      <c r="M18" s="32"/>
      <c r="N18" s="45">
        <v>9.5</v>
      </c>
      <c r="O18">
        <v>8.6099999999999996E-3</v>
      </c>
      <c r="P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</row>
    <row r="19" spans="1:76" ht="13.5" customHeight="1" thickBot="1" x14ac:dyDescent="0.3">
      <c r="A19" t="s">
        <v>32</v>
      </c>
      <c r="C19" s="29" t="s">
        <v>33</v>
      </c>
      <c r="D19" s="50">
        <v>15000</v>
      </c>
      <c r="E19" s="32"/>
      <c r="F19" s="39">
        <v>10</v>
      </c>
      <c r="G19">
        <v>8.94E-3</v>
      </c>
      <c r="H19" s="32"/>
      <c r="I19" t="s">
        <v>32</v>
      </c>
      <c r="K19" s="29" t="s">
        <v>33</v>
      </c>
      <c r="L19" s="50">
        <f>$D$19</f>
        <v>15000</v>
      </c>
      <c r="M19" s="32"/>
      <c r="N19" s="39">
        <v>10</v>
      </c>
      <c r="O19">
        <v>8.94E-3</v>
      </c>
      <c r="P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3.5" customHeight="1" thickTop="1" x14ac:dyDescent="0.25">
      <c r="A20" s="35" t="s">
        <v>106</v>
      </c>
      <c r="C20" s="29"/>
      <c r="D20" s="48">
        <f>D16+D19</f>
        <v>139810.31946955997</v>
      </c>
      <c r="E20" s="32"/>
      <c r="H20" s="32"/>
      <c r="I20" s="35" t="s">
        <v>106</v>
      </c>
      <c r="K20" s="29"/>
      <c r="L20" s="48">
        <f>L16+L19</f>
        <v>147911.58529234477</v>
      </c>
      <c r="M20" s="32"/>
      <c r="P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</row>
    <row r="21" spans="1:76" ht="33" customHeight="1" x14ac:dyDescent="0.25">
      <c r="C21" s="29"/>
      <c r="E21" s="32"/>
      <c r="H21" s="32"/>
      <c r="K21" s="29"/>
      <c r="M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ht="15.75" x14ac:dyDescent="0.25">
      <c r="A22" s="251" t="s">
        <v>96</v>
      </c>
      <c r="B22" s="251"/>
      <c r="C22" s="251"/>
      <c r="D22" s="251"/>
      <c r="E22" s="33"/>
      <c r="F22" s="34"/>
      <c r="G22" s="34"/>
      <c r="H22" s="32"/>
      <c r="I22" s="251" t="s">
        <v>5</v>
      </c>
      <c r="J22" s="251"/>
      <c r="K22" s="251"/>
      <c r="L22" s="251"/>
      <c r="M22" s="33"/>
      <c r="N22" s="34"/>
      <c r="O22" s="34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</row>
    <row r="23" spans="1:76" ht="29.25" customHeight="1" x14ac:dyDescent="0.25">
      <c r="C23" s="29"/>
      <c r="E23" s="32"/>
      <c r="F23" s="252" t="s">
        <v>120</v>
      </c>
      <c r="G23" s="252"/>
      <c r="H23" s="32"/>
      <c r="K23" s="29"/>
      <c r="M23" s="32"/>
      <c r="N23" s="252" t="s">
        <v>120</v>
      </c>
      <c r="O23" s="25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</row>
    <row r="24" spans="1:76" x14ac:dyDescent="0.25">
      <c r="A24" s="35" t="s">
        <v>20</v>
      </c>
      <c r="C24" s="29"/>
      <c r="D24" s="35"/>
      <c r="E24" s="32"/>
      <c r="F24" s="36" t="s">
        <v>18</v>
      </c>
      <c r="G24" s="37" t="s">
        <v>21</v>
      </c>
      <c r="I24" s="35" t="s">
        <v>20</v>
      </c>
      <c r="K24" s="29"/>
      <c r="L24" s="35"/>
      <c r="M24" s="32"/>
      <c r="N24" s="36" t="s">
        <v>18</v>
      </c>
      <c r="O24" s="37" t="s">
        <v>21</v>
      </c>
    </row>
    <row r="25" spans="1:76" x14ac:dyDescent="0.25">
      <c r="A25" t="s">
        <v>22</v>
      </c>
      <c r="C25" s="29"/>
      <c r="D25" s="38">
        <v>4623.42</v>
      </c>
      <c r="E25" s="32"/>
      <c r="F25" s="31">
        <v>2.5</v>
      </c>
      <c r="G25">
        <v>4.4799999999999996E-3</v>
      </c>
      <c r="I25" t="s">
        <v>22</v>
      </c>
      <c r="K25" s="29"/>
      <c r="L25" s="38">
        <v>3473.83</v>
      </c>
      <c r="M25" s="32"/>
      <c r="N25" s="31">
        <v>2.5</v>
      </c>
      <c r="O25">
        <v>4.4799999999999996E-3</v>
      </c>
    </row>
    <row r="26" spans="1:76" ht="15.75" thickBot="1" x14ac:dyDescent="0.3">
      <c r="A26" t="s">
        <v>117</v>
      </c>
      <c r="C26" s="29" t="s">
        <v>23</v>
      </c>
      <c r="D26" s="40">
        <v>0.32</v>
      </c>
      <c r="E26" s="32"/>
      <c r="F26" s="31">
        <v>3</v>
      </c>
      <c r="G26">
        <v>4.7299999999999998E-3</v>
      </c>
      <c r="I26" t="s">
        <v>117</v>
      </c>
      <c r="K26" s="29" t="s">
        <v>23</v>
      </c>
      <c r="L26" s="40">
        <v>0.32</v>
      </c>
      <c r="M26" s="32"/>
      <c r="N26" s="31">
        <v>3</v>
      </c>
      <c r="O26">
        <v>4.7299999999999998E-3</v>
      </c>
    </row>
    <row r="27" spans="1:76" ht="15.75" thickTop="1" x14ac:dyDescent="0.25">
      <c r="A27" t="s">
        <v>24</v>
      </c>
      <c r="C27" s="29"/>
      <c r="D27" s="42">
        <f>D25*D26</f>
        <v>1479.4944</v>
      </c>
      <c r="E27" s="32"/>
      <c r="F27" s="31">
        <v>3.5</v>
      </c>
      <c r="G27">
        <v>0.499</v>
      </c>
      <c r="I27" t="s">
        <v>24</v>
      </c>
      <c r="K27" s="29"/>
      <c r="L27" s="42">
        <f>L25*L26</f>
        <v>1111.6256000000001</v>
      </c>
      <c r="M27" s="32"/>
      <c r="N27" s="31">
        <v>3.5</v>
      </c>
      <c r="O27">
        <v>0.499</v>
      </c>
    </row>
    <row r="28" spans="1:76" x14ac:dyDescent="0.25">
      <c r="A28" s="32"/>
      <c r="B28" s="32"/>
      <c r="C28" s="43"/>
      <c r="D28" s="32"/>
      <c r="E28" s="32"/>
      <c r="F28" s="51">
        <v>4</v>
      </c>
      <c r="G28">
        <v>5.2599999999999999E-3</v>
      </c>
      <c r="I28" s="32"/>
      <c r="J28" s="32"/>
      <c r="K28" s="43"/>
      <c r="L28" s="32"/>
      <c r="M28" s="32"/>
      <c r="N28" s="51">
        <v>4</v>
      </c>
      <c r="O28">
        <v>5.2599999999999999E-3</v>
      </c>
    </row>
    <row r="29" spans="1:76" x14ac:dyDescent="0.25">
      <c r="A29" s="35" t="s">
        <v>25</v>
      </c>
      <c r="C29" s="29"/>
      <c r="E29" s="32"/>
      <c r="F29" s="51">
        <v>4.5</v>
      </c>
      <c r="G29">
        <v>5.5300000000000002E-3</v>
      </c>
      <c r="I29" s="35" t="s">
        <v>25</v>
      </c>
      <c r="K29" s="29"/>
      <c r="M29" s="32"/>
      <c r="N29" s="51">
        <v>4.5</v>
      </c>
      <c r="O29">
        <v>5.5300000000000002E-3</v>
      </c>
    </row>
    <row r="30" spans="1:76" x14ac:dyDescent="0.25">
      <c r="B30" t="s">
        <v>26</v>
      </c>
      <c r="C30" s="29" t="s">
        <v>27</v>
      </c>
      <c r="D30" s="38">
        <f>$D$9</f>
        <v>208.33333333333334</v>
      </c>
      <c r="E30" s="32"/>
      <c r="F30" s="51">
        <v>5</v>
      </c>
      <c r="G30">
        <v>5.8199999999999997E-3</v>
      </c>
      <c r="J30" t="s">
        <v>26</v>
      </c>
      <c r="K30" s="29" t="s">
        <v>27</v>
      </c>
      <c r="L30" s="38">
        <f>$D$9</f>
        <v>208.33333333333334</v>
      </c>
      <c r="M30" s="32"/>
      <c r="N30" s="51">
        <v>5</v>
      </c>
      <c r="O30">
        <v>5.8199999999999997E-3</v>
      </c>
    </row>
    <row r="31" spans="1:76" x14ac:dyDescent="0.25">
      <c r="B31" t="s">
        <v>116</v>
      </c>
      <c r="C31" s="29" t="s">
        <v>27</v>
      </c>
      <c r="D31" s="38">
        <f>$D$10</f>
        <v>190</v>
      </c>
      <c r="E31" s="32"/>
      <c r="F31" s="52">
        <v>5.5</v>
      </c>
      <c r="G31">
        <v>6.1000000000000004E-3</v>
      </c>
      <c r="J31" t="s">
        <v>116</v>
      </c>
      <c r="K31" s="29" t="s">
        <v>27</v>
      </c>
      <c r="L31" s="38">
        <f>$D$10</f>
        <v>190</v>
      </c>
      <c r="M31" s="32"/>
      <c r="N31" s="52">
        <v>5.5</v>
      </c>
      <c r="O31">
        <v>6.1000000000000004E-3</v>
      </c>
    </row>
    <row r="32" spans="1:76" ht="30.75" thickBot="1" x14ac:dyDescent="0.3">
      <c r="B32" s="20" t="s">
        <v>55</v>
      </c>
      <c r="C32" s="29" t="s">
        <v>27</v>
      </c>
      <c r="D32" s="46"/>
      <c r="E32" s="32"/>
      <c r="F32" s="39">
        <v>6</v>
      </c>
      <c r="G32">
        <v>6.4000000000000003E-3</v>
      </c>
      <c r="J32" s="20" t="s">
        <v>54</v>
      </c>
      <c r="K32" s="29" t="s">
        <v>27</v>
      </c>
      <c r="L32" s="46"/>
      <c r="M32" s="32"/>
      <c r="N32" s="39">
        <v>6</v>
      </c>
      <c r="O32">
        <v>6.4000000000000003E-3</v>
      </c>
    </row>
    <row r="33" spans="1:15" ht="15.75" thickTop="1" x14ac:dyDescent="0.25">
      <c r="A33" s="35" t="s">
        <v>28</v>
      </c>
      <c r="C33" s="29"/>
      <c r="D33" s="42">
        <f>D27-SUM(D30:D32)</f>
        <v>1081.1610666666666</v>
      </c>
      <c r="E33" s="32"/>
      <c r="F33" s="41">
        <v>6.5</v>
      </c>
      <c r="G33">
        <v>6.7000000000000002E-3</v>
      </c>
      <c r="I33" s="35" t="s">
        <v>28</v>
      </c>
      <c r="K33" s="29"/>
      <c r="L33" s="42">
        <f>L27-SUM(L30:L32)</f>
        <v>713.29226666666671</v>
      </c>
      <c r="M33" s="32"/>
      <c r="N33" s="41">
        <v>6.5</v>
      </c>
      <c r="O33">
        <v>6.7000000000000002E-3</v>
      </c>
    </row>
    <row r="34" spans="1:15" x14ac:dyDescent="0.25">
      <c r="A34" s="35" t="s">
        <v>29</v>
      </c>
      <c r="C34" s="29"/>
      <c r="E34" s="32"/>
      <c r="F34" s="39">
        <v>7</v>
      </c>
      <c r="G34">
        <v>7.0000000000000001E-3</v>
      </c>
      <c r="I34" s="35" t="s">
        <v>29</v>
      </c>
      <c r="K34" s="29"/>
      <c r="M34" s="32"/>
      <c r="N34" s="39">
        <v>7</v>
      </c>
      <c r="O34">
        <v>7.0000000000000001E-3</v>
      </c>
    </row>
    <row r="35" spans="1:15" x14ac:dyDescent="0.25">
      <c r="A35" s="32"/>
      <c r="B35" s="32"/>
      <c r="C35" s="43"/>
      <c r="D35" s="32"/>
      <c r="E35" s="32"/>
      <c r="F35" s="44">
        <v>7.5</v>
      </c>
      <c r="G35" s="32">
        <v>7.3200000000000001E-3</v>
      </c>
      <c r="I35" s="32"/>
      <c r="J35" s="32"/>
      <c r="K35" s="43"/>
      <c r="L35" s="32"/>
      <c r="M35" s="32"/>
      <c r="N35" s="44">
        <v>7.5</v>
      </c>
      <c r="O35" s="32">
        <v>7.3200000000000001E-3</v>
      </c>
    </row>
    <row r="36" spans="1:15" ht="16.5" thickBot="1" x14ac:dyDescent="0.3">
      <c r="A36" t="s">
        <v>119</v>
      </c>
      <c r="C36" s="47" t="s">
        <v>30</v>
      </c>
      <c r="D36" s="53">
        <f>$D$15</f>
        <v>4.5</v>
      </c>
      <c r="E36" s="32"/>
      <c r="F36" s="39">
        <v>8</v>
      </c>
      <c r="G36">
        <v>7.6299999999999996E-3</v>
      </c>
      <c r="I36" t="s">
        <v>119</v>
      </c>
      <c r="K36" s="47" t="s">
        <v>30</v>
      </c>
      <c r="L36" s="53">
        <f>$D$15</f>
        <v>4.5</v>
      </c>
      <c r="M36" s="32"/>
      <c r="N36" s="39">
        <v>8</v>
      </c>
      <c r="O36">
        <v>7.6299999999999996E-3</v>
      </c>
    </row>
    <row r="37" spans="1:15" ht="15.75" thickTop="1" x14ac:dyDescent="0.25">
      <c r="A37" s="35" t="s">
        <v>101</v>
      </c>
      <c r="C37" s="29"/>
      <c r="D37" s="48">
        <f>D33/LOOKUP(D36,F25:F40,G25:G40)</f>
        <v>195508.33031946953</v>
      </c>
      <c r="E37" s="32"/>
      <c r="F37" s="45">
        <v>8.5</v>
      </c>
      <c r="G37">
        <v>7.9500000000000005E-3</v>
      </c>
      <c r="I37" s="35" t="s">
        <v>101</v>
      </c>
      <c r="K37" s="29"/>
      <c r="L37" s="48">
        <f>L33/LOOKUP(L36,N25:N40,O25:O40)</f>
        <v>128985.94333936107</v>
      </c>
      <c r="M37" s="32"/>
      <c r="N37" s="45">
        <v>8.5</v>
      </c>
      <c r="O37">
        <v>7.9500000000000005E-3</v>
      </c>
    </row>
    <row r="38" spans="1:15" x14ac:dyDescent="0.25">
      <c r="A38" s="35" t="s">
        <v>31</v>
      </c>
      <c r="C38" s="29"/>
      <c r="D38" s="49"/>
      <c r="E38" s="32"/>
      <c r="F38" s="39">
        <v>9</v>
      </c>
      <c r="G38">
        <v>8.2799999999999992E-3</v>
      </c>
      <c r="I38" s="35" t="s">
        <v>31</v>
      </c>
      <c r="K38" s="29"/>
      <c r="L38" s="49"/>
      <c r="M38" s="32"/>
      <c r="N38" s="39">
        <v>9</v>
      </c>
      <c r="O38">
        <v>8.2799999999999992E-3</v>
      </c>
    </row>
    <row r="39" spans="1:15" x14ac:dyDescent="0.25">
      <c r="C39" s="29"/>
      <c r="E39" s="32"/>
      <c r="F39" s="45">
        <v>9.5</v>
      </c>
      <c r="G39">
        <v>8.6099999999999996E-3</v>
      </c>
      <c r="K39" s="29"/>
      <c r="M39" s="32"/>
      <c r="N39" s="45">
        <v>9.5</v>
      </c>
      <c r="O39">
        <v>8.6099999999999996E-3</v>
      </c>
    </row>
    <row r="40" spans="1:15" ht="15.75" thickBot="1" x14ac:dyDescent="0.3">
      <c r="A40" t="s">
        <v>32</v>
      </c>
      <c r="C40" s="29" t="s">
        <v>33</v>
      </c>
      <c r="D40" s="50">
        <f>$D$19</f>
        <v>15000</v>
      </c>
      <c r="E40" s="32"/>
      <c r="F40" s="39">
        <v>10</v>
      </c>
      <c r="G40">
        <v>8.94E-3</v>
      </c>
      <c r="I40" t="s">
        <v>32</v>
      </c>
      <c r="K40" s="29" t="s">
        <v>33</v>
      </c>
      <c r="L40" s="50">
        <f>$D$19</f>
        <v>15000</v>
      </c>
      <c r="M40" s="32"/>
      <c r="N40" s="39">
        <v>10</v>
      </c>
      <c r="O40">
        <v>8.94E-3</v>
      </c>
    </row>
    <row r="41" spans="1:15" ht="15.75" thickTop="1" x14ac:dyDescent="0.25">
      <c r="A41" s="35" t="s">
        <v>106</v>
      </c>
      <c r="C41" s="29"/>
      <c r="D41" s="48">
        <f>D37+D40</f>
        <v>210508.33031946953</v>
      </c>
      <c r="E41" s="32"/>
      <c r="I41" s="35" t="s">
        <v>106</v>
      </c>
      <c r="K41" s="29"/>
      <c r="L41" s="48">
        <f>L37+L40</f>
        <v>143985.94333936105</v>
      </c>
      <c r="M41" s="32"/>
    </row>
    <row r="42" spans="1:15" ht="33" customHeight="1" x14ac:dyDescent="0.25"/>
    <row r="43" spans="1:15" ht="15.75" x14ac:dyDescent="0.25">
      <c r="A43" s="251" t="s">
        <v>93</v>
      </c>
      <c r="B43" s="251"/>
      <c r="C43" s="251"/>
      <c r="D43" s="251"/>
      <c r="E43" s="33"/>
      <c r="F43" s="34"/>
      <c r="G43" s="34"/>
      <c r="I43" s="251" t="s">
        <v>94</v>
      </c>
      <c r="J43" s="251"/>
      <c r="K43" s="251"/>
      <c r="L43" s="251"/>
      <c r="M43" s="33"/>
      <c r="N43" s="34"/>
      <c r="O43" s="34"/>
    </row>
    <row r="44" spans="1:15" ht="28.5" customHeight="1" x14ac:dyDescent="0.25">
      <c r="C44" s="29"/>
      <c r="E44" s="32"/>
      <c r="F44" s="252" t="s">
        <v>120</v>
      </c>
      <c r="G44" s="252"/>
      <c r="K44" s="29"/>
      <c r="M44" s="32"/>
      <c r="N44" s="252" t="s">
        <v>120</v>
      </c>
      <c r="O44" s="252"/>
    </row>
    <row r="45" spans="1:15" x14ac:dyDescent="0.25">
      <c r="A45" s="35" t="s">
        <v>20</v>
      </c>
      <c r="C45" s="29"/>
      <c r="D45" s="35"/>
      <c r="E45" s="32"/>
      <c r="F45" s="36" t="s">
        <v>18</v>
      </c>
      <c r="G45" s="37" t="s">
        <v>21</v>
      </c>
      <c r="I45" s="35" t="s">
        <v>20</v>
      </c>
      <c r="K45" s="29"/>
      <c r="L45" s="35"/>
      <c r="M45" s="32"/>
      <c r="N45" s="36" t="s">
        <v>18</v>
      </c>
      <c r="O45" s="37" t="s">
        <v>21</v>
      </c>
    </row>
    <row r="46" spans="1:15" x14ac:dyDescent="0.25">
      <c r="A46" t="s">
        <v>22</v>
      </c>
      <c r="C46" s="29"/>
      <c r="D46" s="38">
        <v>4458.08</v>
      </c>
      <c r="E46" s="32"/>
      <c r="F46" s="31">
        <v>2.5</v>
      </c>
      <c r="G46">
        <v>4.4799999999999996E-3</v>
      </c>
      <c r="I46" t="s">
        <v>22</v>
      </c>
      <c r="K46" s="29"/>
      <c r="L46" s="38">
        <v>5128.83</v>
      </c>
      <c r="M46" s="32"/>
      <c r="N46" s="31">
        <v>2.5</v>
      </c>
      <c r="O46">
        <v>4.4799999999999996E-3</v>
      </c>
    </row>
    <row r="47" spans="1:15" ht="15.75" thickBot="1" x14ac:dyDescent="0.3">
      <c r="A47" t="s">
        <v>121</v>
      </c>
      <c r="C47" s="29" t="s">
        <v>23</v>
      </c>
      <c r="D47" s="40">
        <v>0.32</v>
      </c>
      <c r="E47" s="32"/>
      <c r="F47" s="31">
        <v>3</v>
      </c>
      <c r="G47">
        <v>4.7299999999999998E-3</v>
      </c>
      <c r="I47" t="s">
        <v>117</v>
      </c>
      <c r="K47" s="29" t="s">
        <v>23</v>
      </c>
      <c r="L47" s="40">
        <v>0.32</v>
      </c>
      <c r="M47" s="32"/>
      <c r="N47" s="31">
        <v>3</v>
      </c>
      <c r="O47">
        <v>4.7299999999999998E-3</v>
      </c>
    </row>
    <row r="48" spans="1:15" ht="15.75" thickTop="1" x14ac:dyDescent="0.25">
      <c r="A48" t="s">
        <v>24</v>
      </c>
      <c r="C48" s="29"/>
      <c r="D48" s="42">
        <f>D46*D47</f>
        <v>1426.5856000000001</v>
      </c>
      <c r="E48" s="32"/>
      <c r="F48" s="31">
        <v>3.5</v>
      </c>
      <c r="G48">
        <v>0.499</v>
      </c>
      <c r="I48" t="s">
        <v>24</v>
      </c>
      <c r="K48" s="29"/>
      <c r="L48" s="42">
        <f>L46*L47</f>
        <v>1641.2256</v>
      </c>
      <c r="M48" s="32"/>
      <c r="N48" s="31">
        <v>3.5</v>
      </c>
      <c r="O48">
        <v>0.499</v>
      </c>
    </row>
    <row r="49" spans="1:15" x14ac:dyDescent="0.25">
      <c r="A49" s="32"/>
      <c r="B49" s="32"/>
      <c r="C49" s="43"/>
      <c r="D49" s="32"/>
      <c r="E49" s="32"/>
      <c r="F49" s="51">
        <v>4</v>
      </c>
      <c r="G49">
        <v>5.2599999999999999E-3</v>
      </c>
      <c r="I49" s="32"/>
      <c r="J49" s="32"/>
      <c r="K49" s="43"/>
      <c r="L49" s="32"/>
      <c r="M49" s="32"/>
      <c r="N49" s="51">
        <v>4</v>
      </c>
      <c r="O49">
        <v>5.2599999999999999E-3</v>
      </c>
    </row>
    <row r="50" spans="1:15" x14ac:dyDescent="0.25">
      <c r="A50" s="35" t="s">
        <v>25</v>
      </c>
      <c r="C50" s="29"/>
      <c r="E50" s="32"/>
      <c r="F50" s="51">
        <v>4.5</v>
      </c>
      <c r="G50">
        <v>5.5300000000000002E-3</v>
      </c>
      <c r="I50" s="35" t="s">
        <v>25</v>
      </c>
      <c r="K50" s="29"/>
      <c r="M50" s="32"/>
      <c r="N50" s="51">
        <v>4.5</v>
      </c>
      <c r="O50">
        <v>5.5300000000000002E-3</v>
      </c>
    </row>
    <row r="51" spans="1:15" x14ac:dyDescent="0.25">
      <c r="B51" t="s">
        <v>26</v>
      </c>
      <c r="C51" s="29" t="s">
        <v>27</v>
      </c>
      <c r="D51" s="38">
        <f>$D$9</f>
        <v>208.33333333333334</v>
      </c>
      <c r="E51" s="32"/>
      <c r="F51" s="51">
        <v>5</v>
      </c>
      <c r="G51">
        <v>5.8199999999999997E-3</v>
      </c>
      <c r="J51" t="s">
        <v>26</v>
      </c>
      <c r="K51" s="29" t="s">
        <v>27</v>
      </c>
      <c r="L51" s="38">
        <f>$D$9</f>
        <v>208.33333333333334</v>
      </c>
      <c r="M51" s="32"/>
      <c r="N51" s="51">
        <v>5</v>
      </c>
      <c r="O51">
        <v>5.8199999999999997E-3</v>
      </c>
    </row>
    <row r="52" spans="1:15" x14ac:dyDescent="0.25">
      <c r="B52" t="s">
        <v>116</v>
      </c>
      <c r="C52" s="29" t="s">
        <v>27</v>
      </c>
      <c r="D52" s="38">
        <f>$D$10</f>
        <v>190</v>
      </c>
      <c r="E52" s="32"/>
      <c r="F52" s="52">
        <v>5.5</v>
      </c>
      <c r="G52">
        <v>6.1000000000000004E-3</v>
      </c>
      <c r="J52" t="s">
        <v>116</v>
      </c>
      <c r="K52" s="29" t="s">
        <v>27</v>
      </c>
      <c r="L52" s="38">
        <f>$D$10</f>
        <v>190</v>
      </c>
      <c r="M52" s="32"/>
      <c r="N52" s="52">
        <v>5.5</v>
      </c>
      <c r="O52">
        <v>6.1000000000000004E-3</v>
      </c>
    </row>
    <row r="53" spans="1:15" ht="30.75" thickBot="1" x14ac:dyDescent="0.3">
      <c r="B53" s="20" t="s">
        <v>51</v>
      </c>
      <c r="C53" s="29" t="s">
        <v>27</v>
      </c>
      <c r="D53" s="46"/>
      <c r="E53" s="32"/>
      <c r="F53" s="39">
        <v>6</v>
      </c>
      <c r="G53">
        <v>6.4000000000000003E-3</v>
      </c>
      <c r="J53" s="20" t="s">
        <v>53</v>
      </c>
      <c r="K53" s="29" t="s">
        <v>27</v>
      </c>
      <c r="L53" s="46"/>
      <c r="M53" s="32"/>
      <c r="N53" s="39">
        <v>6</v>
      </c>
      <c r="O53">
        <v>6.4000000000000003E-3</v>
      </c>
    </row>
    <row r="54" spans="1:15" ht="15.75" thickTop="1" x14ac:dyDescent="0.25">
      <c r="A54" s="35" t="s">
        <v>28</v>
      </c>
      <c r="C54" s="29"/>
      <c r="D54" s="42">
        <f>D48-SUM(D51:D53)</f>
        <v>1028.2522666666669</v>
      </c>
      <c r="E54" s="32"/>
      <c r="F54" s="41">
        <v>6.5</v>
      </c>
      <c r="G54">
        <v>6.7000000000000002E-3</v>
      </c>
      <c r="I54" s="35" t="s">
        <v>28</v>
      </c>
      <c r="K54" s="29"/>
      <c r="L54" s="42">
        <f>L48-SUM(L51:L53)</f>
        <v>1242.8922666666667</v>
      </c>
      <c r="M54" s="32"/>
      <c r="N54" s="41">
        <v>6.5</v>
      </c>
      <c r="O54">
        <v>6.7000000000000002E-3</v>
      </c>
    </row>
    <row r="55" spans="1:15" x14ac:dyDescent="0.25">
      <c r="A55" s="35" t="s">
        <v>29</v>
      </c>
      <c r="C55" s="29"/>
      <c r="E55" s="32"/>
      <c r="F55" s="39">
        <v>7</v>
      </c>
      <c r="G55">
        <v>7.0000000000000001E-3</v>
      </c>
      <c r="I55" s="35" t="s">
        <v>29</v>
      </c>
      <c r="K55" s="29"/>
      <c r="M55" s="32"/>
      <c r="N55" s="39">
        <v>7</v>
      </c>
      <c r="O55">
        <v>7.0000000000000001E-3</v>
      </c>
    </row>
    <row r="56" spans="1:15" x14ac:dyDescent="0.25">
      <c r="A56" s="32"/>
      <c r="B56" s="32"/>
      <c r="C56" s="43"/>
      <c r="D56" s="32"/>
      <c r="E56" s="32"/>
      <c r="F56" s="44">
        <v>7.5</v>
      </c>
      <c r="G56" s="32">
        <v>7.3200000000000001E-3</v>
      </c>
      <c r="I56" s="32"/>
      <c r="J56" s="32"/>
      <c r="K56" s="43"/>
      <c r="L56" s="32"/>
      <c r="M56" s="32"/>
      <c r="N56" s="44">
        <v>7.5</v>
      </c>
      <c r="O56" s="32">
        <v>7.3200000000000001E-3</v>
      </c>
    </row>
    <row r="57" spans="1:15" ht="16.5" thickBot="1" x14ac:dyDescent="0.3">
      <c r="A57" t="s">
        <v>119</v>
      </c>
      <c r="C57" s="47" t="s">
        <v>30</v>
      </c>
      <c r="D57" s="53">
        <f>$D$15</f>
        <v>4.5</v>
      </c>
      <c r="E57" s="32"/>
      <c r="F57" s="39">
        <v>8</v>
      </c>
      <c r="G57">
        <v>7.6299999999999996E-3</v>
      </c>
      <c r="I57" t="s">
        <v>119</v>
      </c>
      <c r="K57" s="47" t="s">
        <v>30</v>
      </c>
      <c r="L57" s="53">
        <f>$D$15</f>
        <v>4.5</v>
      </c>
      <c r="M57" s="32"/>
      <c r="N57" s="39">
        <v>8</v>
      </c>
      <c r="O57">
        <v>7.6299999999999996E-3</v>
      </c>
    </row>
    <row r="58" spans="1:15" ht="15.75" thickTop="1" x14ac:dyDescent="0.25">
      <c r="A58" s="35" t="s">
        <v>101</v>
      </c>
      <c r="C58" s="29"/>
      <c r="D58" s="48">
        <f>D54/LOOKUP(D57,F46:F61,G46:G61)</f>
        <v>185940.73538276073</v>
      </c>
      <c r="E58" s="32"/>
      <c r="F58" s="45">
        <v>8.5</v>
      </c>
      <c r="G58">
        <v>7.9500000000000005E-3</v>
      </c>
      <c r="I58" s="35" t="s">
        <v>101</v>
      </c>
      <c r="K58" s="29"/>
      <c r="L58" s="48">
        <f>L54/LOOKUP(L57,N46:N61,O46:O61)</f>
        <v>224754.47860156721</v>
      </c>
      <c r="M58" s="32"/>
      <c r="N58" s="45">
        <v>8.5</v>
      </c>
      <c r="O58">
        <v>7.9500000000000005E-3</v>
      </c>
    </row>
    <row r="59" spans="1:15" x14ac:dyDescent="0.25">
      <c r="A59" s="35" t="s">
        <v>31</v>
      </c>
      <c r="C59" s="29"/>
      <c r="D59" s="49"/>
      <c r="E59" s="32"/>
      <c r="F59" s="39">
        <v>9</v>
      </c>
      <c r="G59">
        <v>8.2799999999999992E-3</v>
      </c>
      <c r="I59" s="35" t="s">
        <v>31</v>
      </c>
      <c r="K59" s="29"/>
      <c r="L59" s="49"/>
      <c r="M59" s="32"/>
      <c r="N59" s="39">
        <v>9</v>
      </c>
      <c r="O59">
        <v>8.2799999999999992E-3</v>
      </c>
    </row>
    <row r="60" spans="1:15" x14ac:dyDescent="0.25">
      <c r="C60" s="29"/>
      <c r="E60" s="32"/>
      <c r="F60" s="45">
        <v>9.5</v>
      </c>
      <c r="G60">
        <v>8.6099999999999996E-3</v>
      </c>
      <c r="K60" s="29"/>
      <c r="M60" s="32"/>
      <c r="N60" s="45">
        <v>9.5</v>
      </c>
      <c r="O60">
        <v>8.6099999999999996E-3</v>
      </c>
    </row>
    <row r="61" spans="1:15" ht="15.75" thickBot="1" x14ac:dyDescent="0.3">
      <c r="A61" t="s">
        <v>32</v>
      </c>
      <c r="C61" s="29" t="s">
        <v>33</v>
      </c>
      <c r="D61" s="50">
        <f>$D$19</f>
        <v>15000</v>
      </c>
      <c r="E61" s="32"/>
      <c r="F61" s="39">
        <v>10</v>
      </c>
      <c r="G61">
        <v>8.94E-3</v>
      </c>
      <c r="I61" t="s">
        <v>32</v>
      </c>
      <c r="K61" s="29" t="s">
        <v>33</v>
      </c>
      <c r="L61" s="50">
        <f>$D$19</f>
        <v>15000</v>
      </c>
      <c r="M61" s="32"/>
      <c r="N61" s="39">
        <v>10</v>
      </c>
      <c r="O61">
        <v>8.94E-3</v>
      </c>
    </row>
    <row r="62" spans="1:15" ht="15.75" thickTop="1" x14ac:dyDescent="0.25">
      <c r="A62" s="35" t="s">
        <v>106</v>
      </c>
      <c r="C62" s="29"/>
      <c r="D62" s="48">
        <f>D58+D61</f>
        <v>200940.73538276073</v>
      </c>
      <c r="E62" s="32"/>
      <c r="I62" s="35" t="s">
        <v>106</v>
      </c>
      <c r="K62" s="29"/>
      <c r="L62" s="48">
        <f>L58+L61</f>
        <v>239754.47860156721</v>
      </c>
      <c r="M62" s="32"/>
    </row>
    <row r="63" spans="1:15" x14ac:dyDescent="0.25">
      <c r="C63" s="29"/>
      <c r="E63" s="32"/>
    </row>
    <row r="64" spans="1:15" ht="15.75" x14ac:dyDescent="0.25">
      <c r="A64" s="255" t="s">
        <v>111</v>
      </c>
    </row>
  </sheetData>
  <mergeCells count="12">
    <mergeCell ref="A43:D43"/>
    <mergeCell ref="F44:G44"/>
    <mergeCell ref="I43:L43"/>
    <mergeCell ref="N44:O44"/>
    <mergeCell ref="I1:L1"/>
    <mergeCell ref="N2:O2"/>
    <mergeCell ref="A22:D22"/>
    <mergeCell ref="F23:G23"/>
    <mergeCell ref="I22:L22"/>
    <mergeCell ref="N23:O23"/>
    <mergeCell ref="A1:D1"/>
    <mergeCell ref="F2:G2"/>
  </mergeCells>
  <pageMargins left="0.7" right="0.7" top="0.75" bottom="0.75" header="0.3" footer="0.3"/>
  <pageSetup orientation="landscape" r:id="rId1"/>
  <headerFooter>
    <oddHeader>&amp;L&amp;A&amp;R12/09/2017</oddHeader>
  </headerFooter>
  <rowBreaks count="2" manualBreakCount="2">
    <brk id="21" max="16383" man="1"/>
    <brk id="4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4"/>
  <sheetViews>
    <sheetView view="pageBreakPreview" zoomScale="60" zoomScaleNormal="100" workbookViewId="0">
      <selection activeCell="J16" sqref="J16"/>
    </sheetView>
  </sheetViews>
  <sheetFormatPr baseColWidth="10" defaultColWidth="9.140625" defaultRowHeight="15" x14ac:dyDescent="0.25"/>
  <cols>
    <col min="1" max="1" width="11.5703125" customWidth="1"/>
    <col min="2" max="2" width="34.85546875" customWidth="1"/>
    <col min="3" max="3" width="3.7109375" customWidth="1"/>
    <col min="4" max="4" width="15" customWidth="1"/>
    <col min="5" max="5" width="3.140625" customWidth="1"/>
    <col min="8" max="8" width="2.85546875" customWidth="1"/>
    <col min="9" max="9" width="11.5703125" customWidth="1"/>
    <col min="10" max="10" width="34.85546875" customWidth="1"/>
    <col min="11" max="11" width="4.42578125" customWidth="1"/>
    <col min="12" max="12" width="14.85546875" customWidth="1"/>
    <col min="13" max="13" width="3.5703125" customWidth="1"/>
  </cols>
  <sheetData>
    <row r="1" spans="1:76" s="34" customFormat="1" ht="15.75" x14ac:dyDescent="0.25">
      <c r="A1" s="251" t="s">
        <v>4</v>
      </c>
      <c r="B1" s="251"/>
      <c r="C1" s="251"/>
      <c r="D1" s="251"/>
      <c r="E1" s="33"/>
      <c r="H1" s="33"/>
      <c r="I1" s="251" t="s">
        <v>110</v>
      </c>
      <c r="J1" s="251"/>
      <c r="K1" s="251"/>
      <c r="L1" s="251"/>
      <c r="M1" s="33"/>
      <c r="P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</row>
    <row r="2" spans="1:76" ht="25.5" customHeight="1" x14ac:dyDescent="0.25">
      <c r="C2" s="29"/>
      <c r="E2" s="32"/>
      <c r="F2" s="252" t="s">
        <v>120</v>
      </c>
      <c r="G2" s="252"/>
      <c r="H2" s="32"/>
      <c r="K2" s="29"/>
      <c r="M2" s="32"/>
      <c r="N2" s="252" t="s">
        <v>120</v>
      </c>
      <c r="O2" s="252"/>
      <c r="P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</row>
    <row r="3" spans="1:76" x14ac:dyDescent="0.25">
      <c r="A3" s="35" t="s">
        <v>20</v>
      </c>
      <c r="C3" s="29"/>
      <c r="D3" s="35"/>
      <c r="E3" s="32"/>
      <c r="F3" s="36" t="s">
        <v>18</v>
      </c>
      <c r="G3" s="37" t="s">
        <v>21</v>
      </c>
      <c r="H3" s="32"/>
      <c r="I3" s="35" t="s">
        <v>20</v>
      </c>
      <c r="K3" s="29"/>
      <c r="L3" s="35"/>
      <c r="M3" s="32"/>
      <c r="N3" s="36" t="s">
        <v>18</v>
      </c>
      <c r="O3" s="37" t="s">
        <v>21</v>
      </c>
      <c r="P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2"/>
      <c r="BG3" s="32"/>
      <c r="BH3" s="32"/>
      <c r="BI3" s="32"/>
      <c r="BJ3" s="32"/>
      <c r="BK3" s="32"/>
      <c r="BL3" s="32"/>
      <c r="BM3" s="32"/>
      <c r="BN3" s="32"/>
      <c r="BO3" s="32"/>
      <c r="BP3" s="32"/>
      <c r="BQ3" s="32"/>
      <c r="BR3" s="32"/>
      <c r="BS3" s="32"/>
      <c r="BT3" s="32"/>
      <c r="BU3" s="32"/>
      <c r="BV3" s="32"/>
      <c r="BW3" s="32"/>
      <c r="BX3" s="32"/>
    </row>
    <row r="4" spans="1:76" ht="13.5" customHeight="1" x14ac:dyDescent="0.25">
      <c r="A4" t="s">
        <v>22</v>
      </c>
      <c r="C4" s="29"/>
      <c r="D4" s="38">
        <v>3401.67</v>
      </c>
      <c r="E4" s="32"/>
      <c r="F4" s="31">
        <v>2.5</v>
      </c>
      <c r="G4">
        <v>4.4799999999999996E-3</v>
      </c>
      <c r="H4" s="32"/>
      <c r="I4" t="s">
        <v>22</v>
      </c>
      <c r="K4" s="29"/>
      <c r="L4" s="38">
        <v>3541.67</v>
      </c>
      <c r="M4" s="32"/>
      <c r="N4" s="31">
        <v>2.5</v>
      </c>
      <c r="O4">
        <v>4.4799999999999996E-3</v>
      </c>
      <c r="P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</row>
    <row r="5" spans="1:76" ht="13.5" customHeight="1" thickBot="1" x14ac:dyDescent="0.3">
      <c r="A5" t="s">
        <v>117</v>
      </c>
      <c r="C5" s="29" t="s">
        <v>23</v>
      </c>
      <c r="D5" s="40">
        <v>0.32</v>
      </c>
      <c r="E5" s="32"/>
      <c r="F5" s="31">
        <v>3</v>
      </c>
      <c r="G5">
        <v>4.7299999999999998E-3</v>
      </c>
      <c r="H5" s="32"/>
      <c r="I5" t="s">
        <v>117</v>
      </c>
      <c r="K5" s="29" t="s">
        <v>23</v>
      </c>
      <c r="L5" s="40">
        <v>0.32</v>
      </c>
      <c r="M5" s="32"/>
      <c r="N5" s="31">
        <v>3</v>
      </c>
      <c r="O5">
        <v>4.7299999999999998E-3</v>
      </c>
      <c r="P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</row>
    <row r="6" spans="1:76" ht="13.5" customHeight="1" thickTop="1" x14ac:dyDescent="0.25">
      <c r="A6" t="s">
        <v>24</v>
      </c>
      <c r="C6" s="29"/>
      <c r="D6" s="42">
        <f>D4*D5</f>
        <v>1088.5344</v>
      </c>
      <c r="E6" s="32"/>
      <c r="F6" s="31">
        <v>3.5</v>
      </c>
      <c r="G6">
        <v>0.499</v>
      </c>
      <c r="H6" s="32"/>
      <c r="I6" t="s">
        <v>24</v>
      </c>
      <c r="K6" s="29"/>
      <c r="L6" s="42">
        <f>L4*L5</f>
        <v>1133.3344</v>
      </c>
      <c r="M6" s="32"/>
      <c r="N6" s="31">
        <v>3.5</v>
      </c>
      <c r="O6">
        <v>0.499</v>
      </c>
      <c r="P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</row>
    <row r="7" spans="1:76" s="32" customFormat="1" ht="13.5" customHeight="1" x14ac:dyDescent="0.25">
      <c r="C7" s="43"/>
      <c r="F7" s="51">
        <v>4</v>
      </c>
      <c r="G7">
        <v>5.2599999999999999E-3</v>
      </c>
      <c r="K7" s="43"/>
      <c r="N7" s="51">
        <v>4</v>
      </c>
      <c r="O7">
        <v>5.2599999999999999E-3</v>
      </c>
    </row>
    <row r="8" spans="1:76" ht="13.5" customHeight="1" x14ac:dyDescent="0.25">
      <c r="A8" s="35" t="s">
        <v>25</v>
      </c>
      <c r="C8" s="29"/>
      <c r="E8" s="32"/>
      <c r="F8" s="51">
        <v>4.5</v>
      </c>
      <c r="G8">
        <v>5.5300000000000002E-3</v>
      </c>
      <c r="H8" s="32"/>
      <c r="I8" s="35" t="s">
        <v>25</v>
      </c>
      <c r="K8" s="29"/>
      <c r="M8" s="32"/>
      <c r="N8" s="51">
        <v>4.5</v>
      </c>
      <c r="O8">
        <v>5.5300000000000002E-3</v>
      </c>
      <c r="P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/>
      <c r="BL8" s="32"/>
      <c r="BM8" s="32"/>
      <c r="BN8" s="32"/>
      <c r="BO8" s="32"/>
      <c r="BP8" s="32"/>
      <c r="BQ8" s="32"/>
      <c r="BR8" s="32"/>
      <c r="BS8" s="32"/>
      <c r="BT8" s="32"/>
      <c r="BU8" s="32"/>
      <c r="BV8" s="32"/>
      <c r="BW8" s="32"/>
      <c r="BX8" s="32"/>
    </row>
    <row r="9" spans="1:76" ht="13.5" customHeight="1" x14ac:dyDescent="0.25">
      <c r="B9" t="s">
        <v>26</v>
      </c>
      <c r="C9" s="29" t="s">
        <v>27</v>
      </c>
      <c r="D9" s="38">
        <f>1250/12</f>
        <v>104.16666666666667</v>
      </c>
      <c r="E9" s="32"/>
      <c r="F9" s="51">
        <v>5</v>
      </c>
      <c r="G9">
        <v>5.8199999999999997E-3</v>
      </c>
      <c r="H9" s="32"/>
      <c r="J9" t="s">
        <v>26</v>
      </c>
      <c r="K9" s="29" t="s">
        <v>27</v>
      </c>
      <c r="L9" s="38">
        <f>$D$9</f>
        <v>104.16666666666667</v>
      </c>
      <c r="M9" s="32"/>
      <c r="N9" s="51">
        <v>5</v>
      </c>
      <c r="O9">
        <v>5.8199999999999997E-3</v>
      </c>
      <c r="P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</row>
    <row r="10" spans="1:76" ht="13.5" customHeight="1" x14ac:dyDescent="0.25">
      <c r="B10" t="s">
        <v>116</v>
      </c>
      <c r="C10" s="29" t="s">
        <v>27</v>
      </c>
      <c r="D10" s="38">
        <v>75</v>
      </c>
      <c r="E10" s="32"/>
      <c r="F10" s="52">
        <v>5.5</v>
      </c>
      <c r="G10">
        <v>6.1000000000000004E-3</v>
      </c>
      <c r="H10" s="32"/>
      <c r="J10" t="s">
        <v>116</v>
      </c>
      <c r="K10" s="29" t="s">
        <v>27</v>
      </c>
      <c r="L10" s="38">
        <f>$D$10</f>
        <v>75</v>
      </c>
      <c r="M10" s="32"/>
      <c r="N10" s="52">
        <v>5.5</v>
      </c>
      <c r="O10">
        <v>6.1000000000000004E-3</v>
      </c>
      <c r="P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</row>
    <row r="11" spans="1:76" ht="13.5" customHeight="1" thickBot="1" x14ac:dyDescent="0.3">
      <c r="B11" t="s">
        <v>56</v>
      </c>
      <c r="C11" s="29" t="s">
        <v>27</v>
      </c>
      <c r="D11" s="46">
        <f>250/2</f>
        <v>125</v>
      </c>
      <c r="E11" s="32"/>
      <c r="F11" s="39">
        <v>6</v>
      </c>
      <c r="G11">
        <v>6.4000000000000003E-3</v>
      </c>
      <c r="H11" s="32"/>
      <c r="J11" t="s">
        <v>56</v>
      </c>
      <c r="K11" s="29" t="s">
        <v>27</v>
      </c>
      <c r="L11" s="46">
        <f>$D$11</f>
        <v>125</v>
      </c>
      <c r="M11" s="32"/>
      <c r="N11" s="39">
        <v>6</v>
      </c>
      <c r="O11">
        <v>6.4000000000000003E-3</v>
      </c>
      <c r="P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</row>
    <row r="12" spans="1:76" ht="13.5" customHeight="1" thickTop="1" x14ac:dyDescent="0.25">
      <c r="A12" s="35" t="s">
        <v>28</v>
      </c>
      <c r="C12" s="29"/>
      <c r="D12" s="42">
        <f>D6-SUM(D9:D11)</f>
        <v>784.36773333333326</v>
      </c>
      <c r="E12" s="32"/>
      <c r="F12" s="41">
        <v>6.5</v>
      </c>
      <c r="G12">
        <v>6.7000000000000002E-3</v>
      </c>
      <c r="H12" s="32"/>
      <c r="I12" s="35" t="s">
        <v>28</v>
      </c>
      <c r="K12" s="29"/>
      <c r="L12" s="42">
        <f>L6-SUM(L9:L11)</f>
        <v>829.16773333333322</v>
      </c>
      <c r="M12" s="32"/>
      <c r="N12" s="41">
        <v>6.5</v>
      </c>
      <c r="O12">
        <v>6.7000000000000002E-3</v>
      </c>
      <c r="P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</row>
    <row r="13" spans="1:76" ht="13.5" customHeight="1" x14ac:dyDescent="0.25">
      <c r="A13" s="35" t="s">
        <v>29</v>
      </c>
      <c r="C13" s="29"/>
      <c r="E13" s="32"/>
      <c r="F13" s="39">
        <v>7</v>
      </c>
      <c r="G13">
        <v>7.0000000000000001E-3</v>
      </c>
      <c r="H13" s="32"/>
      <c r="I13" s="35" t="s">
        <v>29</v>
      </c>
      <c r="K13" s="29"/>
      <c r="M13" s="32"/>
      <c r="N13" s="39">
        <v>7</v>
      </c>
      <c r="O13">
        <v>7.0000000000000001E-3</v>
      </c>
      <c r="P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</row>
    <row r="14" spans="1:76" s="32" customFormat="1" ht="13.5" customHeight="1" x14ac:dyDescent="0.25">
      <c r="C14" s="43"/>
      <c r="F14" s="44">
        <v>7.5</v>
      </c>
      <c r="G14" s="32">
        <v>7.3200000000000001E-3</v>
      </c>
      <c r="K14" s="43"/>
      <c r="N14" s="44">
        <v>7.5</v>
      </c>
      <c r="O14" s="32">
        <v>7.3200000000000001E-3</v>
      </c>
    </row>
    <row r="15" spans="1:76" ht="13.5" customHeight="1" thickBot="1" x14ac:dyDescent="0.3">
      <c r="A15" t="s">
        <v>119</v>
      </c>
      <c r="C15" s="47" t="s">
        <v>30</v>
      </c>
      <c r="D15" s="53">
        <v>4.5</v>
      </c>
      <c r="E15" s="32"/>
      <c r="F15" s="39">
        <v>8</v>
      </c>
      <c r="G15">
        <v>7.6299999999999996E-3</v>
      </c>
      <c r="H15" s="32"/>
      <c r="I15" t="s">
        <v>119</v>
      </c>
      <c r="K15" s="47" t="s">
        <v>30</v>
      </c>
      <c r="L15" s="53">
        <f>$D$15</f>
        <v>4.5</v>
      </c>
      <c r="M15" s="32"/>
      <c r="N15" s="39">
        <v>8</v>
      </c>
      <c r="O15">
        <v>7.6299999999999996E-3</v>
      </c>
      <c r="P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</row>
    <row r="16" spans="1:76" ht="13.5" customHeight="1" thickTop="1" x14ac:dyDescent="0.25">
      <c r="A16" s="35" t="s">
        <v>101</v>
      </c>
      <c r="C16" s="29"/>
      <c r="D16" s="48">
        <f>D12/LOOKUP(D15,F4:F19,G4:G19)</f>
        <v>141838.64978902953</v>
      </c>
      <c r="E16" s="32"/>
      <c r="F16" s="45">
        <v>8.5</v>
      </c>
      <c r="G16">
        <v>7.9500000000000005E-3</v>
      </c>
      <c r="H16" s="32"/>
      <c r="I16" s="35" t="s">
        <v>101</v>
      </c>
      <c r="K16" s="29"/>
      <c r="L16" s="48">
        <f>L12/LOOKUP(L15,N4:N19,O4:O19)</f>
        <v>149939.91561181433</v>
      </c>
      <c r="M16" s="32"/>
      <c r="N16" s="45">
        <v>8.5</v>
      </c>
      <c r="O16">
        <v>7.9500000000000005E-3</v>
      </c>
      <c r="P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</row>
    <row r="17" spans="1:76" ht="13.5" customHeight="1" x14ac:dyDescent="0.25">
      <c r="A17" s="35" t="s">
        <v>31</v>
      </c>
      <c r="C17" s="29"/>
      <c r="D17" s="49"/>
      <c r="E17" s="32"/>
      <c r="F17" s="39">
        <v>9</v>
      </c>
      <c r="G17">
        <v>8.2799999999999992E-3</v>
      </c>
      <c r="H17" s="32"/>
      <c r="I17" s="35" t="s">
        <v>31</v>
      </c>
      <c r="K17" s="29"/>
      <c r="L17" s="49"/>
      <c r="M17" s="32"/>
      <c r="N17" s="39">
        <v>9</v>
      </c>
      <c r="O17">
        <v>8.2799999999999992E-3</v>
      </c>
      <c r="P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</row>
    <row r="18" spans="1:76" ht="13.5" customHeight="1" x14ac:dyDescent="0.25">
      <c r="C18" s="29"/>
      <c r="E18" s="32"/>
      <c r="F18" s="45">
        <v>9.5</v>
      </c>
      <c r="G18">
        <v>8.6099999999999996E-3</v>
      </c>
      <c r="H18" s="32"/>
      <c r="K18" s="29"/>
      <c r="M18" s="32"/>
      <c r="N18" s="45">
        <v>9.5</v>
      </c>
      <c r="O18">
        <v>8.6099999999999996E-3</v>
      </c>
      <c r="P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</row>
    <row r="19" spans="1:76" ht="13.5" customHeight="1" thickBot="1" x14ac:dyDescent="0.3">
      <c r="A19" t="s">
        <v>32</v>
      </c>
      <c r="C19" s="29" t="s">
        <v>33</v>
      </c>
      <c r="D19" s="50">
        <v>15000</v>
      </c>
      <c r="E19" s="32"/>
      <c r="F19" s="39">
        <v>10</v>
      </c>
      <c r="G19">
        <v>8.94E-3</v>
      </c>
      <c r="H19" s="32"/>
      <c r="I19" t="s">
        <v>32</v>
      </c>
      <c r="K19" s="29" t="s">
        <v>33</v>
      </c>
      <c r="L19" s="50">
        <f>$D$19</f>
        <v>15000</v>
      </c>
      <c r="M19" s="32"/>
      <c r="N19" s="39">
        <v>10</v>
      </c>
      <c r="O19">
        <v>8.94E-3</v>
      </c>
      <c r="P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</row>
    <row r="20" spans="1:76" ht="13.5" customHeight="1" thickTop="1" x14ac:dyDescent="0.25">
      <c r="A20" s="35" t="s">
        <v>106</v>
      </c>
      <c r="C20" s="29"/>
      <c r="D20" s="48">
        <f>D16+D19</f>
        <v>156838.64978902953</v>
      </c>
      <c r="E20" s="32"/>
      <c r="H20" s="32"/>
      <c r="I20" s="35" t="s">
        <v>106</v>
      </c>
      <c r="K20" s="29"/>
      <c r="L20" s="48">
        <f>L16+L19</f>
        <v>164939.91561181433</v>
      </c>
      <c r="M20" s="32"/>
      <c r="P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</row>
    <row r="21" spans="1:76" ht="33" customHeight="1" x14ac:dyDescent="0.25">
      <c r="C21" s="29"/>
      <c r="E21" s="32"/>
      <c r="H21" s="32"/>
      <c r="K21" s="29"/>
      <c r="M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</row>
    <row r="22" spans="1:76" ht="15.75" x14ac:dyDescent="0.25">
      <c r="A22" s="251" t="s">
        <v>102</v>
      </c>
      <c r="B22" s="251"/>
      <c r="C22" s="251"/>
      <c r="D22" s="251"/>
      <c r="E22" s="33"/>
      <c r="F22" s="34"/>
      <c r="G22" s="34"/>
      <c r="H22" s="32"/>
      <c r="I22" s="251" t="s">
        <v>5</v>
      </c>
      <c r="J22" s="251"/>
      <c r="K22" s="251"/>
      <c r="L22" s="251"/>
      <c r="M22" s="33"/>
      <c r="N22" s="34"/>
      <c r="O22" s="34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</row>
    <row r="23" spans="1:76" ht="48.75" customHeight="1" x14ac:dyDescent="0.25">
      <c r="C23" s="29"/>
      <c r="E23" s="32"/>
      <c r="F23" s="252" t="s">
        <v>120</v>
      </c>
      <c r="G23" s="252"/>
      <c r="H23" s="32"/>
      <c r="K23" s="29"/>
      <c r="M23" s="32"/>
      <c r="N23" s="252" t="s">
        <v>120</v>
      </c>
      <c r="O23" s="25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</row>
    <row r="24" spans="1:76" x14ac:dyDescent="0.25">
      <c r="A24" s="35" t="s">
        <v>20</v>
      </c>
      <c r="C24" s="29"/>
      <c r="D24" s="35"/>
      <c r="E24" s="32"/>
      <c r="F24" s="36" t="s">
        <v>18</v>
      </c>
      <c r="G24" s="37" t="s">
        <v>21</v>
      </c>
      <c r="I24" s="35" t="s">
        <v>20</v>
      </c>
      <c r="K24" s="29"/>
      <c r="L24" s="35"/>
      <c r="M24" s="32"/>
      <c r="N24" s="36" t="s">
        <v>18</v>
      </c>
      <c r="O24" s="37" t="s">
        <v>21</v>
      </c>
    </row>
    <row r="25" spans="1:76" x14ac:dyDescent="0.25">
      <c r="A25" t="s">
        <v>22</v>
      </c>
      <c r="C25" s="29"/>
      <c r="D25" s="38">
        <v>4623.42</v>
      </c>
      <c r="E25" s="32"/>
      <c r="F25" s="31">
        <v>2.5</v>
      </c>
      <c r="G25">
        <v>4.4799999999999996E-3</v>
      </c>
      <c r="I25" t="s">
        <v>22</v>
      </c>
      <c r="K25" s="29"/>
      <c r="L25" s="38">
        <v>3473.83</v>
      </c>
      <c r="M25" s="32"/>
      <c r="N25" s="31">
        <v>2.5</v>
      </c>
      <c r="O25">
        <v>4.4799999999999996E-3</v>
      </c>
    </row>
    <row r="26" spans="1:76" ht="15.75" thickBot="1" x14ac:dyDescent="0.3">
      <c r="A26" t="s">
        <v>117</v>
      </c>
      <c r="C26" s="29" t="s">
        <v>23</v>
      </c>
      <c r="D26" s="40">
        <v>0.32</v>
      </c>
      <c r="E26" s="32"/>
      <c r="F26" s="31">
        <v>3</v>
      </c>
      <c r="G26">
        <v>4.7299999999999998E-3</v>
      </c>
      <c r="I26" t="s">
        <v>117</v>
      </c>
      <c r="K26" s="29" t="s">
        <v>23</v>
      </c>
      <c r="L26" s="40">
        <v>0.32</v>
      </c>
      <c r="M26" s="32"/>
      <c r="N26" s="31">
        <v>3</v>
      </c>
      <c r="O26">
        <v>4.7299999999999998E-3</v>
      </c>
    </row>
    <row r="27" spans="1:76" ht="15.75" thickTop="1" x14ac:dyDescent="0.25">
      <c r="A27" t="s">
        <v>24</v>
      </c>
      <c r="C27" s="29"/>
      <c r="D27" s="42">
        <f>D25*D26</f>
        <v>1479.4944</v>
      </c>
      <c r="E27" s="32"/>
      <c r="F27" s="31">
        <v>3.5</v>
      </c>
      <c r="G27">
        <v>0.499</v>
      </c>
      <c r="I27" t="s">
        <v>24</v>
      </c>
      <c r="K27" s="29"/>
      <c r="L27" s="42">
        <f>L25*L26</f>
        <v>1111.6256000000001</v>
      </c>
      <c r="M27" s="32"/>
      <c r="N27" s="31">
        <v>3.5</v>
      </c>
      <c r="O27">
        <v>0.499</v>
      </c>
    </row>
    <row r="28" spans="1:76" x14ac:dyDescent="0.25">
      <c r="A28" s="32"/>
      <c r="B28" s="32"/>
      <c r="C28" s="43"/>
      <c r="D28" s="32"/>
      <c r="E28" s="32"/>
      <c r="F28" s="51">
        <v>4</v>
      </c>
      <c r="G28">
        <v>5.2599999999999999E-3</v>
      </c>
      <c r="I28" s="32"/>
      <c r="J28" s="32"/>
      <c r="K28" s="43"/>
      <c r="L28" s="32"/>
      <c r="M28" s="32"/>
      <c r="N28" s="51">
        <v>4</v>
      </c>
      <c r="O28">
        <v>5.2599999999999999E-3</v>
      </c>
    </row>
    <row r="29" spans="1:76" x14ac:dyDescent="0.25">
      <c r="A29" s="35" t="s">
        <v>25</v>
      </c>
      <c r="C29" s="29"/>
      <c r="E29" s="32"/>
      <c r="F29" s="51">
        <v>4.5</v>
      </c>
      <c r="G29">
        <v>5.5300000000000002E-3</v>
      </c>
      <c r="I29" s="35" t="s">
        <v>25</v>
      </c>
      <c r="K29" s="29"/>
      <c r="M29" s="32"/>
      <c r="N29" s="51">
        <v>4.5</v>
      </c>
      <c r="O29">
        <v>5.5300000000000002E-3</v>
      </c>
    </row>
    <row r="30" spans="1:76" x14ac:dyDescent="0.25">
      <c r="B30" t="s">
        <v>26</v>
      </c>
      <c r="C30" s="29" t="s">
        <v>27</v>
      </c>
      <c r="D30" s="38">
        <f>$D$9</f>
        <v>104.16666666666667</v>
      </c>
      <c r="E30" s="32"/>
      <c r="F30" s="51">
        <v>5</v>
      </c>
      <c r="G30">
        <v>5.8199999999999997E-3</v>
      </c>
      <c r="J30" t="s">
        <v>26</v>
      </c>
      <c r="K30" s="29" t="s">
        <v>27</v>
      </c>
      <c r="L30" s="38">
        <f>$D$9</f>
        <v>104.16666666666667</v>
      </c>
      <c r="M30" s="32"/>
      <c r="N30" s="51">
        <v>5</v>
      </c>
      <c r="O30">
        <v>5.8199999999999997E-3</v>
      </c>
    </row>
    <row r="31" spans="1:76" x14ac:dyDescent="0.25">
      <c r="B31" t="s">
        <v>116</v>
      </c>
      <c r="C31" s="29" t="s">
        <v>27</v>
      </c>
      <c r="D31" s="38">
        <f>$D$10</f>
        <v>75</v>
      </c>
      <c r="E31" s="32"/>
      <c r="F31" s="52">
        <v>5.5</v>
      </c>
      <c r="G31">
        <v>6.1000000000000004E-3</v>
      </c>
      <c r="J31" t="s">
        <v>116</v>
      </c>
      <c r="K31" s="29" t="s">
        <v>27</v>
      </c>
      <c r="L31" s="38">
        <f>$D$10</f>
        <v>75</v>
      </c>
      <c r="M31" s="32"/>
      <c r="N31" s="52">
        <v>5.5</v>
      </c>
      <c r="O31">
        <v>6.1000000000000004E-3</v>
      </c>
    </row>
    <row r="32" spans="1:76" ht="15.75" thickBot="1" x14ac:dyDescent="0.3">
      <c r="B32" t="s">
        <v>56</v>
      </c>
      <c r="C32" s="29" t="s">
        <v>27</v>
      </c>
      <c r="D32" s="46">
        <f>$D$11</f>
        <v>125</v>
      </c>
      <c r="E32" s="32"/>
      <c r="F32" s="39">
        <v>6</v>
      </c>
      <c r="G32">
        <v>6.4000000000000003E-3</v>
      </c>
      <c r="J32" t="s">
        <v>56</v>
      </c>
      <c r="K32" s="29" t="s">
        <v>27</v>
      </c>
      <c r="L32" s="46">
        <f>$D$11</f>
        <v>125</v>
      </c>
      <c r="M32" s="32"/>
      <c r="N32" s="39">
        <v>6</v>
      </c>
      <c r="O32">
        <v>6.4000000000000003E-3</v>
      </c>
    </row>
    <row r="33" spans="1:15" ht="15.75" thickTop="1" x14ac:dyDescent="0.25">
      <c r="A33" s="35" t="s">
        <v>28</v>
      </c>
      <c r="C33" s="29"/>
      <c r="D33" s="42">
        <f>D27-SUM(D30:D32)</f>
        <v>1175.3277333333333</v>
      </c>
      <c r="E33" s="32"/>
      <c r="F33" s="41">
        <v>6.5</v>
      </c>
      <c r="G33">
        <v>6.7000000000000002E-3</v>
      </c>
      <c r="I33" s="35" t="s">
        <v>28</v>
      </c>
      <c r="K33" s="29"/>
      <c r="L33" s="42">
        <f>L27-SUM(L30:L32)</f>
        <v>807.45893333333333</v>
      </c>
      <c r="M33" s="32"/>
      <c r="N33" s="41">
        <v>6.5</v>
      </c>
      <c r="O33">
        <v>6.7000000000000002E-3</v>
      </c>
    </row>
    <row r="34" spans="1:15" x14ac:dyDescent="0.25">
      <c r="A34" s="35" t="s">
        <v>29</v>
      </c>
      <c r="C34" s="29"/>
      <c r="E34" s="32"/>
      <c r="F34" s="39">
        <v>7</v>
      </c>
      <c r="G34">
        <v>7.0000000000000001E-3</v>
      </c>
      <c r="I34" s="35" t="s">
        <v>29</v>
      </c>
      <c r="K34" s="29"/>
      <c r="M34" s="32"/>
      <c r="N34" s="39">
        <v>7</v>
      </c>
      <c r="O34">
        <v>7.0000000000000001E-3</v>
      </c>
    </row>
    <row r="35" spans="1:15" x14ac:dyDescent="0.25">
      <c r="A35" s="32"/>
      <c r="B35" s="32"/>
      <c r="C35" s="43"/>
      <c r="D35" s="32"/>
      <c r="E35" s="32"/>
      <c r="F35" s="44">
        <v>7.5</v>
      </c>
      <c r="G35" s="32">
        <v>7.3200000000000001E-3</v>
      </c>
      <c r="I35" s="32"/>
      <c r="J35" s="32"/>
      <c r="K35" s="43"/>
      <c r="L35" s="32"/>
      <c r="M35" s="32"/>
      <c r="N35" s="44">
        <v>7.5</v>
      </c>
      <c r="O35" s="32">
        <v>7.3200000000000001E-3</v>
      </c>
    </row>
    <row r="36" spans="1:15" ht="16.5" thickBot="1" x14ac:dyDescent="0.3">
      <c r="A36" t="s">
        <v>119</v>
      </c>
      <c r="C36" s="47" t="s">
        <v>30</v>
      </c>
      <c r="D36" s="53">
        <f>$D$15</f>
        <v>4.5</v>
      </c>
      <c r="E36" s="32"/>
      <c r="F36" s="39">
        <v>8</v>
      </c>
      <c r="G36">
        <v>7.6299999999999996E-3</v>
      </c>
      <c r="I36" t="s">
        <v>119</v>
      </c>
      <c r="K36" s="47" t="s">
        <v>30</v>
      </c>
      <c r="L36" s="53">
        <f>$D$15</f>
        <v>4.5</v>
      </c>
      <c r="M36" s="32"/>
      <c r="N36" s="39">
        <v>8</v>
      </c>
      <c r="O36">
        <v>7.6299999999999996E-3</v>
      </c>
    </row>
    <row r="37" spans="1:15" ht="15.75" thickTop="1" x14ac:dyDescent="0.25">
      <c r="A37" s="35" t="s">
        <v>101</v>
      </c>
      <c r="C37" s="29"/>
      <c r="D37" s="48">
        <f>D33/LOOKUP(D36,F25:F40,G25:G40)</f>
        <v>212536.66063893909</v>
      </c>
      <c r="E37" s="32"/>
      <c r="F37" s="45">
        <v>8.5</v>
      </c>
      <c r="G37">
        <v>7.9500000000000005E-3</v>
      </c>
      <c r="I37" s="35" t="s">
        <v>101</v>
      </c>
      <c r="K37" s="29"/>
      <c r="L37" s="48">
        <f>L33/LOOKUP(L36,N25:N40,O25:O40)</f>
        <v>146014.27365883061</v>
      </c>
      <c r="M37" s="32"/>
      <c r="N37" s="45">
        <v>8.5</v>
      </c>
      <c r="O37">
        <v>7.9500000000000005E-3</v>
      </c>
    </row>
    <row r="38" spans="1:15" x14ac:dyDescent="0.25">
      <c r="A38" s="35" t="s">
        <v>31</v>
      </c>
      <c r="C38" s="29"/>
      <c r="D38" s="49"/>
      <c r="E38" s="32"/>
      <c r="F38" s="39">
        <v>9</v>
      </c>
      <c r="G38">
        <v>8.2799999999999992E-3</v>
      </c>
      <c r="I38" s="35" t="s">
        <v>31</v>
      </c>
      <c r="K38" s="29"/>
      <c r="L38" s="49"/>
      <c r="M38" s="32"/>
      <c r="N38" s="39">
        <v>9</v>
      </c>
      <c r="O38">
        <v>8.2799999999999992E-3</v>
      </c>
    </row>
    <row r="39" spans="1:15" x14ac:dyDescent="0.25">
      <c r="C39" s="29"/>
      <c r="E39" s="32"/>
      <c r="F39" s="45">
        <v>9.5</v>
      </c>
      <c r="G39">
        <v>8.6099999999999996E-3</v>
      </c>
      <c r="K39" s="29"/>
      <c r="M39" s="32"/>
      <c r="N39" s="45">
        <v>9.5</v>
      </c>
      <c r="O39">
        <v>8.6099999999999996E-3</v>
      </c>
    </row>
    <row r="40" spans="1:15" ht="15.75" thickBot="1" x14ac:dyDescent="0.3">
      <c r="A40" t="s">
        <v>32</v>
      </c>
      <c r="C40" s="29" t="s">
        <v>33</v>
      </c>
      <c r="D40" s="50">
        <f>$D$19</f>
        <v>15000</v>
      </c>
      <c r="E40" s="32"/>
      <c r="F40" s="39">
        <v>10</v>
      </c>
      <c r="G40">
        <v>8.94E-3</v>
      </c>
      <c r="I40" t="s">
        <v>32</v>
      </c>
      <c r="K40" s="29" t="s">
        <v>33</v>
      </c>
      <c r="L40" s="50">
        <f>$D$19</f>
        <v>15000</v>
      </c>
      <c r="M40" s="32"/>
      <c r="N40" s="39">
        <v>10</v>
      </c>
      <c r="O40">
        <v>8.94E-3</v>
      </c>
    </row>
    <row r="41" spans="1:15" ht="15.75" thickTop="1" x14ac:dyDescent="0.25">
      <c r="A41" s="35" t="s">
        <v>106</v>
      </c>
      <c r="C41" s="29"/>
      <c r="D41" s="48">
        <f>D37+D40</f>
        <v>227536.66063893909</v>
      </c>
      <c r="E41" s="32"/>
      <c r="I41" s="35" t="s">
        <v>106</v>
      </c>
      <c r="K41" s="29"/>
      <c r="L41" s="48">
        <f>L37+L40</f>
        <v>161014.27365883061</v>
      </c>
      <c r="M41" s="32"/>
    </row>
    <row r="42" spans="1:15" ht="33" customHeight="1" x14ac:dyDescent="0.25"/>
    <row r="43" spans="1:15" ht="15.75" x14ac:dyDescent="0.25">
      <c r="A43" s="251" t="s">
        <v>93</v>
      </c>
      <c r="B43" s="251"/>
      <c r="C43" s="251"/>
      <c r="D43" s="251"/>
      <c r="E43" s="33"/>
      <c r="F43" s="34"/>
      <c r="G43" s="34"/>
      <c r="I43" s="251" t="s">
        <v>94</v>
      </c>
      <c r="J43" s="251"/>
      <c r="K43" s="251"/>
      <c r="L43" s="251"/>
      <c r="M43" s="33"/>
      <c r="N43" s="34"/>
      <c r="O43" s="34"/>
    </row>
    <row r="44" spans="1:15" ht="39.75" customHeight="1" x14ac:dyDescent="0.25">
      <c r="C44" s="29"/>
      <c r="E44" s="32"/>
      <c r="F44" s="252" t="s">
        <v>120</v>
      </c>
      <c r="G44" s="252"/>
      <c r="K44" s="29"/>
      <c r="M44" s="32"/>
      <c r="N44" s="252" t="s">
        <v>120</v>
      </c>
      <c r="O44" s="252"/>
    </row>
    <row r="45" spans="1:15" x14ac:dyDescent="0.25">
      <c r="A45" s="35" t="s">
        <v>20</v>
      </c>
      <c r="C45" s="29"/>
      <c r="D45" s="35"/>
      <c r="E45" s="32"/>
      <c r="F45" s="36" t="s">
        <v>18</v>
      </c>
      <c r="G45" s="37" t="s">
        <v>21</v>
      </c>
      <c r="I45" s="35" t="s">
        <v>20</v>
      </c>
      <c r="K45" s="29"/>
      <c r="L45" s="35"/>
      <c r="M45" s="32"/>
      <c r="N45" s="36" t="s">
        <v>18</v>
      </c>
      <c r="O45" s="37" t="s">
        <v>21</v>
      </c>
    </row>
    <row r="46" spans="1:15" x14ac:dyDescent="0.25">
      <c r="A46" t="s">
        <v>22</v>
      </c>
      <c r="C46" s="29"/>
      <c r="D46" s="38">
        <v>4458.08</v>
      </c>
      <c r="E46" s="32"/>
      <c r="F46" s="31">
        <v>2.5</v>
      </c>
      <c r="G46">
        <v>4.4799999999999996E-3</v>
      </c>
      <c r="I46" t="s">
        <v>22</v>
      </c>
      <c r="K46" s="29"/>
      <c r="L46" s="38">
        <v>5128.83</v>
      </c>
      <c r="M46" s="32"/>
      <c r="N46" s="31">
        <v>2.5</v>
      </c>
      <c r="O46">
        <v>4.4799999999999996E-3</v>
      </c>
    </row>
    <row r="47" spans="1:15" ht="15.75" thickBot="1" x14ac:dyDescent="0.3">
      <c r="A47" t="s">
        <v>117</v>
      </c>
      <c r="C47" s="29" t="s">
        <v>23</v>
      </c>
      <c r="D47" s="40">
        <v>0.32</v>
      </c>
      <c r="E47" s="32"/>
      <c r="F47" s="31">
        <v>3</v>
      </c>
      <c r="G47">
        <v>4.7299999999999998E-3</v>
      </c>
      <c r="I47" t="s">
        <v>117</v>
      </c>
      <c r="K47" s="29" t="s">
        <v>23</v>
      </c>
      <c r="L47" s="40">
        <v>0.32</v>
      </c>
      <c r="M47" s="32"/>
      <c r="N47" s="31">
        <v>3</v>
      </c>
      <c r="O47">
        <v>4.7299999999999998E-3</v>
      </c>
    </row>
    <row r="48" spans="1:15" ht="15.75" thickTop="1" x14ac:dyDescent="0.25">
      <c r="A48" t="s">
        <v>24</v>
      </c>
      <c r="C48" s="29"/>
      <c r="D48" s="42">
        <f>D46*D47</f>
        <v>1426.5856000000001</v>
      </c>
      <c r="E48" s="32"/>
      <c r="F48" s="31">
        <v>3.5</v>
      </c>
      <c r="G48">
        <v>0.499</v>
      </c>
      <c r="I48" t="s">
        <v>24</v>
      </c>
      <c r="K48" s="29"/>
      <c r="L48" s="42">
        <f>L46*L47</f>
        <v>1641.2256</v>
      </c>
      <c r="M48" s="32"/>
      <c r="N48" s="31">
        <v>3.5</v>
      </c>
      <c r="O48">
        <v>0.499</v>
      </c>
    </row>
    <row r="49" spans="1:15" x14ac:dyDescent="0.25">
      <c r="A49" s="32"/>
      <c r="B49" s="32"/>
      <c r="C49" s="43"/>
      <c r="D49" s="32"/>
      <c r="E49" s="32"/>
      <c r="F49" s="51">
        <v>4</v>
      </c>
      <c r="G49">
        <v>5.2599999999999999E-3</v>
      </c>
      <c r="I49" s="32"/>
      <c r="J49" s="32"/>
      <c r="K49" s="43"/>
      <c r="L49" s="32"/>
      <c r="M49" s="32"/>
      <c r="N49" s="51">
        <v>4</v>
      </c>
      <c r="O49">
        <v>5.2599999999999999E-3</v>
      </c>
    </row>
    <row r="50" spans="1:15" x14ac:dyDescent="0.25">
      <c r="A50" s="35" t="s">
        <v>25</v>
      </c>
      <c r="C50" s="29"/>
      <c r="E50" s="32"/>
      <c r="F50" s="51">
        <v>4.5</v>
      </c>
      <c r="G50">
        <v>5.5300000000000002E-3</v>
      </c>
      <c r="I50" s="35" t="s">
        <v>25</v>
      </c>
      <c r="K50" s="29"/>
      <c r="M50" s="32"/>
      <c r="N50" s="51">
        <v>4.5</v>
      </c>
      <c r="O50">
        <v>5.5300000000000002E-3</v>
      </c>
    </row>
    <row r="51" spans="1:15" x14ac:dyDescent="0.25">
      <c r="B51" t="s">
        <v>26</v>
      </c>
      <c r="C51" s="29" t="s">
        <v>27</v>
      </c>
      <c r="D51" s="38">
        <f>$D$9</f>
        <v>104.16666666666667</v>
      </c>
      <c r="E51" s="32"/>
      <c r="F51" s="51">
        <v>5</v>
      </c>
      <c r="G51">
        <v>5.8199999999999997E-3</v>
      </c>
      <c r="J51" t="s">
        <v>26</v>
      </c>
      <c r="K51" s="29" t="s">
        <v>27</v>
      </c>
      <c r="L51" s="38">
        <f>$D$9</f>
        <v>104.16666666666667</v>
      </c>
      <c r="M51" s="32"/>
      <c r="N51" s="51">
        <v>5</v>
      </c>
      <c r="O51">
        <v>5.8199999999999997E-3</v>
      </c>
    </row>
    <row r="52" spans="1:15" x14ac:dyDescent="0.25">
      <c r="B52" t="s">
        <v>116</v>
      </c>
      <c r="C52" s="29" t="s">
        <v>27</v>
      </c>
      <c r="D52" s="38">
        <f>$D$10</f>
        <v>75</v>
      </c>
      <c r="E52" s="32"/>
      <c r="F52" s="52">
        <v>5.5</v>
      </c>
      <c r="G52">
        <v>6.1000000000000004E-3</v>
      </c>
      <c r="J52" t="s">
        <v>116</v>
      </c>
      <c r="K52" s="29" t="s">
        <v>27</v>
      </c>
      <c r="L52" s="38">
        <f>$D$10</f>
        <v>75</v>
      </c>
      <c r="M52" s="32"/>
      <c r="N52" s="52">
        <v>5.5</v>
      </c>
      <c r="O52">
        <v>6.1000000000000004E-3</v>
      </c>
    </row>
    <row r="53" spans="1:15" ht="15.75" thickBot="1" x14ac:dyDescent="0.3">
      <c r="B53" t="s">
        <v>56</v>
      </c>
      <c r="C53" s="29" t="s">
        <v>27</v>
      </c>
      <c r="D53" s="46">
        <f>$D$11</f>
        <v>125</v>
      </c>
      <c r="E53" s="32"/>
      <c r="F53" s="39">
        <v>6</v>
      </c>
      <c r="G53">
        <v>6.4000000000000003E-3</v>
      </c>
      <c r="J53" t="s">
        <v>56</v>
      </c>
      <c r="K53" s="29" t="s">
        <v>27</v>
      </c>
      <c r="L53" s="46">
        <f>$D$11</f>
        <v>125</v>
      </c>
      <c r="M53" s="32"/>
      <c r="N53" s="39">
        <v>6</v>
      </c>
      <c r="O53">
        <v>6.4000000000000003E-3</v>
      </c>
    </row>
    <row r="54" spans="1:15" ht="15.75" thickTop="1" x14ac:dyDescent="0.25">
      <c r="A54" s="35" t="s">
        <v>28</v>
      </c>
      <c r="C54" s="29"/>
      <c r="D54" s="42">
        <f>D48-SUM(D51:D53)</f>
        <v>1122.4189333333334</v>
      </c>
      <c r="E54" s="32"/>
      <c r="F54" s="41">
        <v>6.5</v>
      </c>
      <c r="G54">
        <v>6.7000000000000002E-3</v>
      </c>
      <c r="I54" s="35" t="s">
        <v>28</v>
      </c>
      <c r="K54" s="29"/>
      <c r="L54" s="42">
        <f>L48-SUM(L51:L53)</f>
        <v>1337.0589333333332</v>
      </c>
      <c r="M54" s="32"/>
      <c r="N54" s="41">
        <v>6.5</v>
      </c>
      <c r="O54">
        <v>6.7000000000000002E-3</v>
      </c>
    </row>
    <row r="55" spans="1:15" x14ac:dyDescent="0.25">
      <c r="A55" s="35" t="s">
        <v>29</v>
      </c>
      <c r="C55" s="29"/>
      <c r="E55" s="32"/>
      <c r="F55" s="39">
        <v>7</v>
      </c>
      <c r="G55">
        <v>7.0000000000000001E-3</v>
      </c>
      <c r="I55" s="35" t="s">
        <v>29</v>
      </c>
      <c r="K55" s="29"/>
      <c r="M55" s="32"/>
      <c r="N55" s="39">
        <v>7</v>
      </c>
      <c r="O55">
        <v>7.0000000000000001E-3</v>
      </c>
    </row>
    <row r="56" spans="1:15" x14ac:dyDescent="0.25">
      <c r="A56" s="32"/>
      <c r="B56" s="32"/>
      <c r="C56" s="43"/>
      <c r="D56" s="32"/>
      <c r="E56" s="32"/>
      <c r="F56" s="44">
        <v>7.5</v>
      </c>
      <c r="G56" s="32">
        <v>7.3200000000000001E-3</v>
      </c>
      <c r="I56" s="32"/>
      <c r="J56" s="32"/>
      <c r="K56" s="43"/>
      <c r="L56" s="32"/>
      <c r="M56" s="32"/>
      <c r="N56" s="44">
        <v>7.5</v>
      </c>
      <c r="O56" s="32">
        <v>7.3200000000000001E-3</v>
      </c>
    </row>
    <row r="57" spans="1:15" ht="16.5" thickBot="1" x14ac:dyDescent="0.3">
      <c r="A57" t="s">
        <v>119</v>
      </c>
      <c r="C57" s="47" t="s">
        <v>30</v>
      </c>
      <c r="D57" s="53">
        <f>$D$15</f>
        <v>4.5</v>
      </c>
      <c r="E57" s="32"/>
      <c r="F57" s="39">
        <v>8</v>
      </c>
      <c r="G57">
        <v>7.6299999999999996E-3</v>
      </c>
      <c r="I57" t="s">
        <v>119</v>
      </c>
      <c r="K57" s="47" t="s">
        <v>30</v>
      </c>
      <c r="L57" s="53">
        <f>$D$15</f>
        <v>4.5</v>
      </c>
      <c r="M57" s="32"/>
      <c r="N57" s="39">
        <v>8</v>
      </c>
      <c r="O57">
        <v>7.6299999999999996E-3</v>
      </c>
    </row>
    <row r="58" spans="1:15" ht="15.75" thickTop="1" x14ac:dyDescent="0.25">
      <c r="A58" s="35" t="s">
        <v>101</v>
      </c>
      <c r="C58" s="29"/>
      <c r="D58" s="48">
        <f>D54/LOOKUP(D57,F46:F61,G46:G61)</f>
        <v>202969.06570223026</v>
      </c>
      <c r="E58" s="32"/>
      <c r="F58" s="45">
        <v>8.5</v>
      </c>
      <c r="G58">
        <v>7.9500000000000005E-3</v>
      </c>
      <c r="I58" s="35" t="s">
        <v>101</v>
      </c>
      <c r="K58" s="29"/>
      <c r="L58" s="48">
        <f>L54/LOOKUP(L57,N46:N61,O46:O61)</f>
        <v>241782.80892103675</v>
      </c>
      <c r="M58" s="32"/>
      <c r="N58" s="45">
        <v>8.5</v>
      </c>
      <c r="O58">
        <v>7.9500000000000005E-3</v>
      </c>
    </row>
    <row r="59" spans="1:15" x14ac:dyDescent="0.25">
      <c r="A59" s="35" t="s">
        <v>31</v>
      </c>
      <c r="C59" s="29"/>
      <c r="D59" s="49"/>
      <c r="E59" s="32"/>
      <c r="F59" s="39">
        <v>9</v>
      </c>
      <c r="G59">
        <v>8.2799999999999992E-3</v>
      </c>
      <c r="I59" s="35" t="s">
        <v>31</v>
      </c>
      <c r="K59" s="29"/>
      <c r="L59" s="49"/>
      <c r="M59" s="32"/>
      <c r="N59" s="39">
        <v>9</v>
      </c>
      <c r="O59">
        <v>8.2799999999999992E-3</v>
      </c>
    </row>
    <row r="60" spans="1:15" x14ac:dyDescent="0.25">
      <c r="C60" s="29"/>
      <c r="E60" s="32"/>
      <c r="F60" s="45">
        <v>9.5</v>
      </c>
      <c r="G60">
        <v>8.6099999999999996E-3</v>
      </c>
      <c r="K60" s="29"/>
      <c r="M60" s="32"/>
      <c r="N60" s="45">
        <v>9.5</v>
      </c>
      <c r="O60">
        <v>8.6099999999999996E-3</v>
      </c>
    </row>
    <row r="61" spans="1:15" ht="15.75" thickBot="1" x14ac:dyDescent="0.3">
      <c r="A61" t="s">
        <v>32</v>
      </c>
      <c r="C61" s="29" t="s">
        <v>33</v>
      </c>
      <c r="D61" s="50">
        <f>$D$19</f>
        <v>15000</v>
      </c>
      <c r="E61" s="32"/>
      <c r="F61" s="39">
        <v>10</v>
      </c>
      <c r="G61">
        <v>8.94E-3</v>
      </c>
      <c r="I61" t="s">
        <v>32</v>
      </c>
      <c r="K61" s="29" t="s">
        <v>33</v>
      </c>
      <c r="L61" s="50">
        <f>$D$19</f>
        <v>15000</v>
      </c>
      <c r="M61" s="32"/>
      <c r="N61" s="39">
        <v>10</v>
      </c>
      <c r="O61">
        <v>8.94E-3</v>
      </c>
    </row>
    <row r="62" spans="1:15" ht="15.75" thickTop="1" x14ac:dyDescent="0.25">
      <c r="A62" s="35" t="s">
        <v>106</v>
      </c>
      <c r="C62" s="29"/>
      <c r="D62" s="48">
        <f>D58+D61</f>
        <v>217969.06570223026</v>
      </c>
      <c r="E62" s="32"/>
      <c r="I62" s="35" t="s">
        <v>106</v>
      </c>
      <c r="K62" s="29"/>
      <c r="L62" s="48">
        <f>L58+L61</f>
        <v>256782.80892103675</v>
      </c>
      <c r="M62" s="32"/>
    </row>
    <row r="63" spans="1:15" x14ac:dyDescent="0.25">
      <c r="C63" s="29"/>
      <c r="E63" s="32"/>
    </row>
    <row r="64" spans="1:15" ht="15.75" x14ac:dyDescent="0.25">
      <c r="A64" s="255" t="s">
        <v>111</v>
      </c>
    </row>
  </sheetData>
  <mergeCells count="12">
    <mergeCell ref="N2:O2"/>
    <mergeCell ref="N23:O23"/>
    <mergeCell ref="A43:D43"/>
    <mergeCell ref="I43:L43"/>
    <mergeCell ref="F44:G44"/>
    <mergeCell ref="N44:O44"/>
    <mergeCell ref="A1:D1"/>
    <mergeCell ref="A22:D22"/>
    <mergeCell ref="F2:G2"/>
    <mergeCell ref="F23:G23"/>
    <mergeCell ref="I1:L1"/>
    <mergeCell ref="I22:L22"/>
  </mergeCells>
  <pageMargins left="0.7" right="0.7" top="0.75" bottom="0.75" header="0.3" footer="0.3"/>
  <pageSetup orientation="portrait" r:id="rId1"/>
  <headerFooter>
    <oddHeader>&amp;L&amp;A&amp;R12/09/2017</oddHeader>
  </headerFooter>
  <rowBreaks count="2" manualBreakCount="2">
    <brk id="21" max="16383" man="1"/>
    <brk id="4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view="pageBreakPreview" zoomScale="60" zoomScaleNormal="100" workbookViewId="0">
      <selection activeCell="G35" sqref="G35"/>
    </sheetView>
  </sheetViews>
  <sheetFormatPr baseColWidth="10" defaultColWidth="11.42578125" defaultRowHeight="15" x14ac:dyDescent="0.25"/>
  <cols>
    <col min="1" max="1" width="22.140625" customWidth="1"/>
    <col min="3" max="3" width="18.140625" customWidth="1"/>
    <col min="4" max="4" width="6.7109375" customWidth="1"/>
    <col min="5" max="5" width="16.5703125" customWidth="1"/>
    <col min="6" max="6" width="5" customWidth="1"/>
    <col min="7" max="7" width="16.85546875" customWidth="1"/>
    <col min="8" max="8" width="5.28515625" customWidth="1"/>
    <col min="9" max="9" width="19.7109375" customWidth="1"/>
  </cols>
  <sheetData>
    <row r="1" spans="1:9" x14ac:dyDescent="0.25">
      <c r="C1" s="206" t="s">
        <v>59</v>
      </c>
      <c r="D1" s="77"/>
      <c r="E1" s="206" t="s">
        <v>71</v>
      </c>
      <c r="F1" s="77"/>
      <c r="G1" s="206" t="s">
        <v>48</v>
      </c>
      <c r="H1" s="77"/>
      <c r="I1" s="206" t="s">
        <v>49</v>
      </c>
    </row>
    <row r="3" spans="1:9" x14ac:dyDescent="0.25">
      <c r="C3" s="2">
        <v>139900</v>
      </c>
      <c r="E3" s="2">
        <v>282500</v>
      </c>
      <c r="G3" s="2">
        <v>309900</v>
      </c>
      <c r="I3" s="2">
        <v>179000</v>
      </c>
    </row>
    <row r="5" spans="1:9" x14ac:dyDescent="0.25">
      <c r="A5" t="s">
        <v>13</v>
      </c>
      <c r="B5" s="12">
        <v>0</v>
      </c>
      <c r="C5" s="13">
        <v>0</v>
      </c>
      <c r="D5" s="13"/>
      <c r="E5" s="13">
        <v>0</v>
      </c>
      <c r="F5" s="13"/>
      <c r="G5" s="13">
        <v>0</v>
      </c>
      <c r="H5" s="13"/>
      <c r="I5" s="13">
        <v>0</v>
      </c>
    </row>
    <row r="6" spans="1:9" x14ac:dyDescent="0.25">
      <c r="C6" s="13"/>
      <c r="D6" s="13"/>
      <c r="E6" s="13"/>
      <c r="F6" s="13"/>
      <c r="G6" s="13"/>
      <c r="H6" s="13"/>
      <c r="I6" s="13"/>
    </row>
    <row r="7" spans="1:9" x14ac:dyDescent="0.25">
      <c r="A7" t="s">
        <v>14</v>
      </c>
      <c r="B7" s="16">
        <v>5.0000000000000001E-3</v>
      </c>
      <c r="C7" s="13">
        <f>60000*$B$7</f>
        <v>300</v>
      </c>
      <c r="D7" s="13"/>
      <c r="E7" s="13">
        <f>60000*$B$7</f>
        <v>300</v>
      </c>
      <c r="F7" s="13"/>
      <c r="G7" s="13">
        <f>60000*$B$7</f>
        <v>300</v>
      </c>
      <c r="H7" s="13"/>
      <c r="I7" s="13">
        <f>60000*$B$7</f>
        <v>300</v>
      </c>
    </row>
    <row r="8" spans="1:9" x14ac:dyDescent="0.25">
      <c r="C8" s="13"/>
      <c r="D8" s="13"/>
      <c r="E8" s="13"/>
      <c r="F8" s="13"/>
      <c r="G8" s="13"/>
      <c r="H8" s="13"/>
      <c r="I8" s="13"/>
    </row>
    <row r="9" spans="1:9" x14ac:dyDescent="0.25">
      <c r="A9" t="s">
        <v>14</v>
      </c>
      <c r="B9" s="12">
        <v>0.01</v>
      </c>
      <c r="C9" s="13">
        <f>(C3-90000)*$B$9</f>
        <v>499</v>
      </c>
      <c r="D9" s="13"/>
      <c r="E9" s="13">
        <f>60000*$B$9</f>
        <v>600</v>
      </c>
      <c r="F9" s="13"/>
      <c r="G9" s="13">
        <f>60000*$B$9</f>
        <v>600</v>
      </c>
      <c r="H9" s="13"/>
      <c r="I9" s="13">
        <f>60000*$B$9</f>
        <v>600</v>
      </c>
    </row>
    <row r="10" spans="1:9" x14ac:dyDescent="0.25">
      <c r="C10" s="13"/>
      <c r="D10" s="13"/>
      <c r="E10" s="13"/>
      <c r="F10" s="13"/>
      <c r="G10" s="13"/>
      <c r="H10" s="13"/>
      <c r="I10" s="13"/>
    </row>
    <row r="11" spans="1:9" x14ac:dyDescent="0.25">
      <c r="A11" t="s">
        <v>11</v>
      </c>
      <c r="B11" s="16">
        <v>1.4999999999999999E-2</v>
      </c>
      <c r="C11" s="13"/>
      <c r="D11" s="13"/>
      <c r="E11" s="13">
        <f>50000*$B$11</f>
        <v>750</v>
      </c>
      <c r="F11" s="13"/>
      <c r="G11" s="13">
        <f>50000*$B$11</f>
        <v>750</v>
      </c>
      <c r="H11" s="13"/>
      <c r="I11" s="13">
        <f>(I3-150000)*$B$11</f>
        <v>435</v>
      </c>
    </row>
    <row r="12" spans="1:9" x14ac:dyDescent="0.25">
      <c r="C12" s="13"/>
      <c r="D12" s="13"/>
      <c r="E12" s="13"/>
      <c r="F12" s="13"/>
      <c r="G12" s="13"/>
      <c r="H12" s="13"/>
      <c r="I12" s="13"/>
    </row>
    <row r="13" spans="1:9" x14ac:dyDescent="0.25">
      <c r="A13" t="s">
        <v>12</v>
      </c>
      <c r="B13" s="12">
        <v>0.02</v>
      </c>
      <c r="C13" s="13"/>
      <c r="D13" s="13"/>
      <c r="E13" s="13">
        <f>(E3-200000)*$B$13</f>
        <v>1650</v>
      </c>
      <c r="F13" s="13"/>
      <c r="G13" s="13">
        <f>(G3-200000)*$B$13</f>
        <v>2198</v>
      </c>
      <c r="H13" s="13"/>
      <c r="I13" s="13"/>
    </row>
    <row r="14" spans="1:9" x14ac:dyDescent="0.25">
      <c r="C14" s="13"/>
      <c r="D14" s="13"/>
      <c r="E14" s="13"/>
      <c r="F14" s="13"/>
      <c r="G14" s="13"/>
      <c r="H14" s="13"/>
      <c r="I14" s="13"/>
    </row>
    <row r="15" spans="1:9" x14ac:dyDescent="0.25">
      <c r="B15" s="17" t="s">
        <v>9</v>
      </c>
      <c r="C15" s="18">
        <f>SUM(C5:C13)</f>
        <v>799</v>
      </c>
      <c r="D15" s="18"/>
      <c r="E15" s="18">
        <f>SUM(E5:E13)</f>
        <v>3300</v>
      </c>
      <c r="F15" s="18"/>
      <c r="G15" s="18">
        <f>SUM(G5:G13)</f>
        <v>3848</v>
      </c>
      <c r="H15" s="18"/>
      <c r="I15" s="18">
        <f>SUM(I5:I13)</f>
        <v>1335</v>
      </c>
    </row>
    <row r="17" spans="1:1" ht="15.75" x14ac:dyDescent="0.25">
      <c r="A17" s="255" t="s">
        <v>111</v>
      </c>
    </row>
  </sheetData>
  <pageMargins left="0.7" right="0.7" top="0.75" bottom="0.75" header="0.3" footer="0.3"/>
  <pageSetup orientation="landscape" r:id="rId1"/>
  <headerFooter>
    <oddHeader>&amp;L&amp;A&amp;R12/09/2017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60" zoomScaleNormal="100" workbookViewId="0">
      <selection activeCell="A2" sqref="A2"/>
    </sheetView>
  </sheetViews>
  <sheetFormatPr baseColWidth="10" defaultColWidth="11.42578125" defaultRowHeight="15" x14ac:dyDescent="0.25"/>
  <cols>
    <col min="1" max="1" width="20.5703125" customWidth="1"/>
    <col min="2" max="2" width="1.85546875" customWidth="1"/>
    <col min="3" max="3" width="17.28515625" customWidth="1"/>
    <col min="4" max="4" width="17.42578125" customWidth="1"/>
    <col min="5" max="5" width="14" customWidth="1"/>
    <col min="6" max="6" width="14.5703125" customWidth="1"/>
    <col min="7" max="7" width="15.140625" customWidth="1"/>
    <col min="8" max="8" width="17.85546875" customWidth="1"/>
    <col min="9" max="9" width="18.42578125" customWidth="1"/>
    <col min="10" max="10" width="18" customWidth="1"/>
  </cols>
  <sheetData>
    <row r="1" spans="1:10" s="3" customFormat="1" ht="15.75" thickBot="1" x14ac:dyDescent="0.3">
      <c r="C1" s="225" t="s">
        <v>59</v>
      </c>
      <c r="D1" s="256"/>
      <c r="E1" s="225" t="s">
        <v>71</v>
      </c>
      <c r="F1" s="256"/>
      <c r="G1" s="225" t="s">
        <v>48</v>
      </c>
      <c r="H1" s="256"/>
      <c r="I1" s="225" t="s">
        <v>49</v>
      </c>
      <c r="J1" s="256"/>
    </row>
    <row r="2" spans="1:10" x14ac:dyDescent="0.25">
      <c r="A2" s="20" t="s">
        <v>123</v>
      </c>
      <c r="C2" s="51">
        <v>100</v>
      </c>
      <c r="D2" s="51"/>
      <c r="E2" s="51">
        <v>60</v>
      </c>
      <c r="F2" s="51"/>
      <c r="G2" s="51">
        <v>50</v>
      </c>
      <c r="H2" s="51"/>
      <c r="I2" s="51">
        <v>60</v>
      </c>
      <c r="J2" s="51"/>
    </row>
    <row r="3" spans="1:10" x14ac:dyDescent="0.25">
      <c r="A3" s="20"/>
      <c r="C3" s="51" t="s">
        <v>10</v>
      </c>
      <c r="D3" s="51"/>
      <c r="E3" s="51"/>
      <c r="F3" s="51"/>
      <c r="G3" s="51"/>
      <c r="H3" s="51"/>
      <c r="I3" s="51"/>
      <c r="J3" s="51"/>
    </row>
    <row r="4" spans="1:10" x14ac:dyDescent="0.25">
      <c r="A4" s="20" t="s">
        <v>86</v>
      </c>
      <c r="C4" s="207">
        <v>139900</v>
      </c>
      <c r="D4" s="51"/>
      <c r="E4" s="207">
        <v>282.5</v>
      </c>
      <c r="F4" s="51"/>
      <c r="G4" s="207">
        <v>309900</v>
      </c>
      <c r="H4" s="51"/>
      <c r="I4" s="207">
        <v>179000</v>
      </c>
      <c r="J4" s="51"/>
    </row>
    <row r="5" spans="1:10" x14ac:dyDescent="0.25">
      <c r="A5" s="65"/>
      <c r="C5" s="51"/>
      <c r="D5" s="51"/>
      <c r="E5" s="51"/>
      <c r="F5" s="51"/>
      <c r="G5" s="51"/>
      <c r="H5" s="51"/>
      <c r="I5" s="51"/>
      <c r="J5" s="51"/>
    </row>
    <row r="6" spans="1:10" x14ac:dyDescent="0.25">
      <c r="A6" s="20" t="s">
        <v>87</v>
      </c>
      <c r="C6" s="202">
        <v>0.45</v>
      </c>
      <c r="D6" s="207">
        <f>C4*C6</f>
        <v>62955</v>
      </c>
      <c r="E6" s="202">
        <v>0.45</v>
      </c>
      <c r="F6" s="207">
        <f>E4*E6</f>
        <v>127.125</v>
      </c>
      <c r="G6" s="202">
        <v>0.45</v>
      </c>
      <c r="H6" s="207">
        <f>G4*G6</f>
        <v>139455</v>
      </c>
      <c r="I6" s="202">
        <v>0.45</v>
      </c>
      <c r="J6" s="207">
        <f>I4*I6</f>
        <v>80550</v>
      </c>
    </row>
    <row r="7" spans="1:10" x14ac:dyDescent="0.25">
      <c r="A7" s="20"/>
      <c r="C7" s="51"/>
      <c r="D7" s="51"/>
      <c r="E7" s="51"/>
      <c r="F7" s="51"/>
      <c r="G7" s="51"/>
      <c r="H7" s="51"/>
      <c r="I7" s="51"/>
      <c r="J7" s="51"/>
    </row>
    <row r="8" spans="1:10" ht="30" x14ac:dyDescent="0.25">
      <c r="A8" s="20" t="s">
        <v>122</v>
      </c>
      <c r="C8" s="208">
        <v>15.012</v>
      </c>
      <c r="D8" s="207">
        <f>D6*C8/1000</f>
        <v>945.08046000000013</v>
      </c>
      <c r="E8" s="208">
        <v>14.988</v>
      </c>
      <c r="F8" s="207">
        <f>F6*E8/1000</f>
        <v>1.9053495</v>
      </c>
      <c r="G8" s="208">
        <v>15.012</v>
      </c>
      <c r="H8" s="207">
        <f>H6*G8/1000</f>
        <v>2093.4984599999998</v>
      </c>
      <c r="I8" s="208">
        <v>19.63</v>
      </c>
      <c r="J8" s="207">
        <f>J6*I8/1000</f>
        <v>1581.1965</v>
      </c>
    </row>
    <row r="9" spans="1:10" x14ac:dyDescent="0.25">
      <c r="A9" s="20"/>
      <c r="C9" s="51"/>
      <c r="D9" s="51"/>
      <c r="E9" s="51"/>
      <c r="F9" s="51"/>
      <c r="G9" s="51"/>
      <c r="H9" s="51"/>
      <c r="I9" s="51"/>
      <c r="J9" s="51"/>
    </row>
    <row r="10" spans="1:10" x14ac:dyDescent="0.25">
      <c r="A10" s="20" t="s">
        <v>88</v>
      </c>
      <c r="C10" s="209">
        <v>13.5</v>
      </c>
      <c r="D10" s="207">
        <f>C10*$C$2*11%</f>
        <v>148.5</v>
      </c>
      <c r="E10" s="209">
        <v>13.5</v>
      </c>
      <c r="F10" s="207">
        <f>E10*E2</f>
        <v>810</v>
      </c>
      <c r="G10" s="209">
        <v>8.4</v>
      </c>
      <c r="H10" s="207">
        <f>G10*G2</f>
        <v>420</v>
      </c>
      <c r="I10" s="209">
        <v>12.65</v>
      </c>
      <c r="J10" s="207">
        <f>I10*I2</f>
        <v>759</v>
      </c>
    </row>
    <row r="11" spans="1:10" x14ac:dyDescent="0.25">
      <c r="A11" s="20"/>
      <c r="C11" s="209">
        <v>10</v>
      </c>
      <c r="D11" s="207">
        <f>C11*$C$2*11%</f>
        <v>110</v>
      </c>
      <c r="E11" s="209"/>
      <c r="F11" s="51"/>
      <c r="G11" s="209"/>
      <c r="H11" s="51"/>
      <c r="I11" s="209"/>
      <c r="J11" s="51"/>
    </row>
    <row r="12" spans="1:10" x14ac:dyDescent="0.25">
      <c r="A12" s="20"/>
      <c r="C12" s="209"/>
      <c r="D12" s="207"/>
      <c r="E12" s="209"/>
      <c r="F12" s="51"/>
      <c r="G12" s="209"/>
      <c r="H12" s="51"/>
      <c r="I12" s="209"/>
      <c r="J12" s="51"/>
    </row>
    <row r="13" spans="1:10" ht="30" x14ac:dyDescent="0.25">
      <c r="A13" s="20" t="s">
        <v>89</v>
      </c>
      <c r="C13" s="208">
        <v>14.717000000000001</v>
      </c>
      <c r="D13" s="207">
        <f>C13*D6/1000</f>
        <v>926.508735</v>
      </c>
      <c r="E13" s="208">
        <v>14.787000000000001</v>
      </c>
      <c r="F13" s="207">
        <f>E13*F6/1000</f>
        <v>1.8797973750000001</v>
      </c>
      <c r="G13" s="208">
        <v>14.717000000000001</v>
      </c>
      <c r="H13" s="207">
        <f>G13*H6/1000</f>
        <v>2052.3592349999999</v>
      </c>
      <c r="I13" s="208">
        <v>18.527999999999999</v>
      </c>
      <c r="J13" s="207">
        <f>I13*J6/1000</f>
        <v>1492.4304</v>
      </c>
    </row>
    <row r="14" spans="1:10" x14ac:dyDescent="0.25">
      <c r="A14" s="20"/>
      <c r="C14" s="51"/>
      <c r="D14" s="51"/>
      <c r="E14" s="51"/>
      <c r="F14" s="51"/>
      <c r="G14" s="51"/>
      <c r="H14" s="51"/>
      <c r="I14" s="51"/>
      <c r="J14" s="51"/>
    </row>
    <row r="15" spans="1:10" x14ac:dyDescent="0.25">
      <c r="A15" s="20" t="s">
        <v>90</v>
      </c>
      <c r="C15" s="210">
        <v>700</v>
      </c>
      <c r="D15" s="210">
        <f>0-C15</f>
        <v>-700</v>
      </c>
      <c r="E15" s="210">
        <v>700</v>
      </c>
      <c r="F15" s="210">
        <f>0-E15</f>
        <v>-700</v>
      </c>
      <c r="G15" s="210">
        <v>700</v>
      </c>
      <c r="H15" s="210">
        <f>0-G15</f>
        <v>-700</v>
      </c>
      <c r="I15" s="210">
        <v>700</v>
      </c>
      <c r="J15" s="210">
        <f>0-I15</f>
        <v>-700</v>
      </c>
    </row>
    <row r="16" spans="1:10" x14ac:dyDescent="0.25">
      <c r="C16" s="51"/>
      <c r="D16" s="51"/>
      <c r="E16" s="51"/>
      <c r="F16" s="51"/>
      <c r="G16" s="51"/>
      <c r="H16" s="51"/>
      <c r="I16" s="51"/>
      <c r="J16" s="51"/>
    </row>
    <row r="17" spans="1:10" s="3" customFormat="1" x14ac:dyDescent="0.25">
      <c r="A17" s="3" t="s">
        <v>91</v>
      </c>
      <c r="C17" s="77"/>
      <c r="D17" s="211">
        <f>SUM(D8:D15)</f>
        <v>1430.089195</v>
      </c>
      <c r="E17" s="77"/>
      <c r="F17" s="211">
        <f>SUM(F8:F15)</f>
        <v>113.78514687500001</v>
      </c>
      <c r="G17" s="77"/>
      <c r="H17" s="211">
        <f>SUM(H8:H15)</f>
        <v>3865.8576949999997</v>
      </c>
      <c r="I17" s="77"/>
      <c r="J17" s="211">
        <f>SUM(J8:J15)</f>
        <v>3132.6269000000002</v>
      </c>
    </row>
    <row r="18" spans="1:10" x14ac:dyDescent="0.25">
      <c r="C18" s="51"/>
      <c r="D18" s="51"/>
      <c r="E18" s="51"/>
      <c r="F18" s="51"/>
      <c r="G18" s="51"/>
      <c r="H18" s="51"/>
      <c r="I18" s="51"/>
      <c r="J18" s="51"/>
    </row>
    <row r="19" spans="1:10" ht="15.75" x14ac:dyDescent="0.25">
      <c r="A19" s="255" t="s">
        <v>111</v>
      </c>
      <c r="C19" s="197"/>
      <c r="D19" s="197"/>
      <c r="E19" s="197"/>
      <c r="F19" s="197"/>
      <c r="G19" s="197"/>
      <c r="H19" s="197"/>
      <c r="I19" s="197"/>
      <c r="J19" s="197"/>
    </row>
  </sheetData>
  <mergeCells count="4">
    <mergeCell ref="C1:D1"/>
    <mergeCell ref="E1:F1"/>
    <mergeCell ref="G1:H1"/>
    <mergeCell ref="I1:J1"/>
  </mergeCells>
  <pageMargins left="0.7" right="0.7" top="0.75" bottom="0.75" header="0.3" footer="0.3"/>
  <pageSetup orientation="landscape" r:id="rId1"/>
  <headerFooter>
    <oddHeader>&amp;L&amp;A&amp;R12/09/2017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Section 1</vt:lpstr>
      <vt:lpstr>Section 3</vt:lpstr>
      <vt:lpstr>Section 4</vt:lpstr>
      <vt:lpstr>Section 5 (Tâche A)</vt:lpstr>
      <vt:lpstr>Section 5 (Tâche A-partenaire)</vt:lpstr>
      <vt:lpstr>Section 5 (Tâche B)</vt:lpstr>
      <vt:lpstr>Section 5 (Tâche C)</vt:lpstr>
      <vt:lpstr>Section 6 (Tâche B)</vt:lpstr>
      <vt:lpstr>Section 7.2</vt:lpstr>
      <vt:lpstr>Section 7.3</vt:lpstr>
      <vt:lpstr>Section 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BEF</dc:creator>
  <cp:lastModifiedBy>Houle, Nathalie (MET)</cp:lastModifiedBy>
  <cp:lastPrinted>2018-11-17T19:46:57Z</cp:lastPrinted>
  <dcterms:created xsi:type="dcterms:W3CDTF">2017-02-25T20:44:50Z</dcterms:created>
  <dcterms:modified xsi:type="dcterms:W3CDTF">2018-11-17T19:56:54Z</dcterms:modified>
</cp:coreProperties>
</file>