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codeName="ThisWorkbook"/>
  <mc:AlternateContent xmlns:mc="http://schemas.openxmlformats.org/markup-compatibility/2006">
    <mc:Choice Requires="x15">
      <x15ac:absPath xmlns:x15ac="http://schemas.microsoft.com/office/spreadsheetml/2010/11/ac" url="O:\Edu_Internet_dev\dev_finance\finance\frame_report\"/>
    </mc:Choice>
  </mc:AlternateContent>
  <bookViews>
    <workbookView xWindow="1005" yWindow="-15" windowWidth="15330" windowHeight="4425" tabRatio="864"/>
  </bookViews>
  <sheets>
    <sheet name="README" sheetId="38671" r:id="rId1"/>
    <sheet name="- 3 -" sheetId="5" r:id="rId2"/>
    <sheet name="- 4 -" sheetId="6" r:id="rId3"/>
    <sheet name="- 6 -" sheetId="14" r:id="rId4"/>
    <sheet name="- 7 -" sheetId="15" r:id="rId5"/>
    <sheet name="- 8 -" sheetId="16" r:id="rId6"/>
    <sheet name="- 9 -" sheetId="17" r:id="rId7"/>
    <sheet name="- 10 -" sheetId="21" r:id="rId8"/>
    <sheet name="- 12 -" sheetId="22" r:id="rId9"/>
    <sheet name="- 13 -" sheetId="23" r:id="rId10"/>
    <sheet name="- 15 -" sheetId="18" r:id="rId11"/>
    <sheet name="- 16 -" sheetId="19" r:id="rId12"/>
    <sheet name="- 17 -" sheetId="20" r:id="rId13"/>
    <sheet name="- 18 -" sheetId="8" r:id="rId14"/>
    <sheet name="- 19 -" sheetId="9" r:id="rId15"/>
    <sheet name="- 20 -" sheetId="7" r:id="rId16"/>
    <sheet name="- 21 -" sheetId="10" r:id="rId17"/>
    <sheet name="- 22 -" sheetId="11" r:id="rId18"/>
    <sheet name="- 23 -" sheetId="82" r:id="rId19"/>
    <sheet name="- 24 -" sheetId="25" r:id="rId20"/>
    <sheet name="- 25 -" sheetId="26" r:id="rId21"/>
    <sheet name="- 26 -" sheetId="27" r:id="rId22"/>
    <sheet name="- 27 -" sheetId="38655" r:id="rId23"/>
    <sheet name="- 28 -" sheetId="38656" r:id="rId24"/>
    <sheet name="- 29 -" sheetId="34" r:id="rId25"/>
    <sheet name="- 30 -" sheetId="35" r:id="rId26"/>
    <sheet name="- 31 -" sheetId="36" r:id="rId27"/>
    <sheet name="- 32 -" sheetId="37" r:id="rId28"/>
    <sheet name="- 33 -" sheetId="38" r:id="rId29"/>
    <sheet name="- 34 -" sheetId="39" r:id="rId30"/>
    <sheet name="- 35 -" sheetId="40" r:id="rId31"/>
    <sheet name="- 36 -" sheetId="41" r:id="rId32"/>
    <sheet name="- 37 -" sheetId="54" r:id="rId33"/>
    <sheet name="- 38 -" sheetId="76" r:id="rId34"/>
    <sheet name="- 40 -" sheetId="42" r:id="rId35"/>
    <sheet name="- 41 -" sheetId="43" r:id="rId36"/>
    <sheet name="- 42 -" sheetId="44" r:id="rId37"/>
    <sheet name="- 43 -" sheetId="45" r:id="rId38"/>
    <sheet name="- 44 -" sheetId="70" r:id="rId39"/>
    <sheet name="- 45 -" sheetId="33" r:id="rId40"/>
    <sheet name="- 46 -" sheetId="32" r:id="rId41"/>
    <sheet name="- 47 -" sheetId="48" r:id="rId42"/>
    <sheet name="- 48 -" sheetId="38663" r:id="rId43"/>
    <sheet name="- 49 -" sheetId="38665" r:id="rId44"/>
    <sheet name="- 50 -" sheetId="38670" r:id="rId45"/>
    <sheet name="- 51 -" sheetId="38662" r:id="rId46"/>
    <sheet name="- 53 -" sheetId="38651" r:id="rId47"/>
    <sheet name="- 54 - " sheetId="38668" r:id="rId48"/>
    <sheet name="- 55 -" sheetId="38654" r:id="rId49"/>
    <sheet name="- 57 -" sheetId="81" r:id="rId50"/>
    <sheet name="- 58 -" sheetId="47" r:id="rId51"/>
    <sheet name="- 59 -" sheetId="46" r:id="rId52"/>
    <sheet name="- 60 -" sheetId="52" r:id="rId53"/>
    <sheet name="- 61 -" sheetId="78" r:id="rId54"/>
    <sheet name="- 62 -" sheetId="38658" r:id="rId55"/>
    <sheet name="- 63 -" sheetId="38659" r:id="rId56"/>
    <sheet name="- 64 -" sheetId="38666" r:id="rId57"/>
    <sheet name="- 65 -" sheetId="38667" r:id="rId58"/>
    <sheet name="- 66 -" sheetId="38648" r:id="rId59"/>
    <sheet name="Data" sheetId="3188" state="hidden" r:id="rId60"/>
  </sheets>
  <externalReferences>
    <externalReference r:id="rId61"/>
    <externalReference r:id="rId62"/>
    <externalReference r:id="rId63"/>
    <externalReference r:id="rId64"/>
  </externalReferences>
  <definedNames>
    <definedName name="_Fill" localSheetId="44" hidden="1">#REF!</definedName>
    <definedName name="_Fill" localSheetId="56" hidden="1">#REF!</definedName>
    <definedName name="_Fill" localSheetId="0" hidden="1">#REF!</definedName>
    <definedName name="_Fill" hidden="1">#REF!</definedName>
    <definedName name="_Order1" hidden="1">0</definedName>
    <definedName name="capyear" localSheetId="42">'- 48 -'!$B$3</definedName>
    <definedName name="capyear" localSheetId="47">#REF!</definedName>
    <definedName name="capyear" localSheetId="56">#REF!</definedName>
    <definedName name="capyear" localSheetId="57">#REF!</definedName>
    <definedName name="capyear">'- 46 -'!$B$3</definedName>
    <definedName name="CurrY" localSheetId="0">[1]Data!$B$5</definedName>
    <definedName name="CurrY">Data!$B$5</definedName>
    <definedName name="DATE_ENTRY" localSheetId="44">#REF!</definedName>
    <definedName name="DATE_ENTRY" localSheetId="0">#REF!</definedName>
    <definedName name="DATE_ENTRY">#REF!</definedName>
    <definedName name="DIV">[2]Data!$A$9:$A$696</definedName>
    <definedName name="DIVNUM">[3]DATA!$B$1</definedName>
    <definedName name="FALLYR" localSheetId="0">[1]Data!$B$6</definedName>
    <definedName name="FALLYR">Data!$B$6</definedName>
    <definedName name="HTML_CodePage" hidden="1">1252</definedName>
    <definedName name="HTML_Control" localSheetId="18" hidden="1">{"'- 4 -'!$A$1:$G$76","'-3 -'!$A$1:$G$77"}</definedName>
    <definedName name="HTML_Control" localSheetId="42" hidden="1">{"'- 4 -'!$A$1:$G$76","'-3 -'!$A$1:$G$77"}</definedName>
    <definedName name="HTML_Control" localSheetId="43" hidden="1">{"'- 4 -'!$A$1:$G$76","'-3 -'!$A$1:$G$77"}</definedName>
    <definedName name="HTML_Control" localSheetId="45" hidden="1">{"'- 4 -'!$A$1:$G$76","'-3 -'!$A$1:$G$77"}</definedName>
    <definedName name="HTML_Control" localSheetId="47" hidden="1">{"'- 4 -'!$A$1:$G$76","'-3 -'!$A$1:$G$77"}</definedName>
    <definedName name="HTML_Control" localSheetId="50" hidden="1">{"'- 4 -'!$A$1:$G$76","'-3 -'!$A$1:$G$77"}</definedName>
    <definedName name="HTML_Control" localSheetId="54" hidden="1">{"'- 4 -'!$A$1:$G$76","'-3 -'!$A$1:$G$77"}</definedName>
    <definedName name="HTML_Control" localSheetId="55" hidden="1">{"'- 4 -'!$A$1:$G$76","'-3 -'!$A$1:$G$77"}</definedName>
    <definedName name="HTML_Control" localSheetId="56" hidden="1">{"'- 4 -'!$A$1:$G$76","'-3 -'!$A$1:$G$77"}</definedName>
    <definedName name="HTML_Control" localSheetId="57" hidden="1">{"'- 4 -'!$A$1:$G$76","'-3 -'!$A$1:$G$77"}</definedName>
    <definedName name="HTML_Control" localSheetId="58" hidden="1">{"'- 4 -'!$A$1:$G$76","'-3 -'!$A$1:$G$77"}</definedName>
    <definedName name="HTML_Control" localSheetId="0" hidden="1">{"'- 4 -'!$A$1:$G$76","'-3 -'!$A$1:$G$77"}</definedName>
    <definedName name="HTML_Control" hidden="1">{"'- 4 -'!$A$1:$G$76","'-3 -'!$A$1:$G$77"}</definedName>
    <definedName name="HTML_Description" hidden="1">""</definedName>
    <definedName name="HTML_Email" hidden="1">""</definedName>
    <definedName name="HTML_Header" hidden="1">"- 8 -"</definedName>
    <definedName name="HTML_LastUpdate" hidden="1">"1999-01-20"</definedName>
    <definedName name="HTML_LineAfter" hidden="1">FALSE</definedName>
    <definedName name="HTML_LineBefore" hidden="1">FALSE</definedName>
    <definedName name="HTML_Name" hidden="1">"Chris J. Anderson"</definedName>
    <definedName name="HTML_OBDlg2" hidden="1">TRUE</definedName>
    <definedName name="HTML_OBDlg4" hidden="1">TRUE</definedName>
    <definedName name="HTML_OS" hidden="1">0</definedName>
    <definedName name="HTML_PathFile" hidden="1">"C:\frame\FIN98\MyHTML.htm"</definedName>
    <definedName name="HTML_Title" hidden="1">"98AFRAME"</definedName>
    <definedName name="LIST">[3]DATA!$D$1:$D$39</definedName>
    <definedName name="LOADED1" localSheetId="44">#REF!</definedName>
    <definedName name="LOADED1" localSheetId="0">#REF!</definedName>
    <definedName name="LOADED1">#REF!</definedName>
    <definedName name="LOADED2" localSheetId="44">#REF!</definedName>
    <definedName name="LOADED2" localSheetId="0">#REF!</definedName>
    <definedName name="LOADED2">#REF!</definedName>
    <definedName name="LOADED3" localSheetId="44">#REF!</definedName>
    <definedName name="LOADED3" localSheetId="0">#REF!</definedName>
    <definedName name="LOADED3">#REF!</definedName>
    <definedName name="NOW" localSheetId="44">#REF!</definedName>
    <definedName name="NOW" localSheetId="0">#REF!</definedName>
    <definedName name="NOW">#REF!</definedName>
    <definedName name="OD_FINISH" localSheetId="44">#REF!</definedName>
    <definedName name="OD_FINISH" localSheetId="0">#REF!</definedName>
    <definedName name="OD_FINISH">#REF!</definedName>
    <definedName name="OD_FIRST" localSheetId="44">#REF!</definedName>
    <definedName name="OD_FIRST" localSheetId="0">#REF!</definedName>
    <definedName name="OD_FIRST">#REF!</definedName>
    <definedName name="OD_LAST" localSheetId="44">#REF!</definedName>
    <definedName name="OD_LAST" localSheetId="0">#REF!</definedName>
    <definedName name="OD_LAST">#REF!</definedName>
    <definedName name="OD_START" localSheetId="44">#REF!</definedName>
    <definedName name="OD_START" localSheetId="0">#REF!</definedName>
    <definedName name="OD_START">#REF!</definedName>
    <definedName name="ONE_AM" localSheetId="44">#REF!</definedName>
    <definedName name="ONE_AM" localSheetId="0">#REF!</definedName>
    <definedName name="ONE_AM">#REF!</definedName>
    <definedName name="ONE_PM" localSheetId="44">#REF!</definedName>
    <definedName name="ONE_PM" localSheetId="0">#REF!</definedName>
    <definedName name="ONE_PM">#REF!</definedName>
    <definedName name="OPYEAR" localSheetId="0">'[1]- 3 -'!$A$3</definedName>
    <definedName name="OPYEAR">'- 3 -'!$A$3</definedName>
    <definedName name="PrevY" localSheetId="0">[1]Data!$B$4</definedName>
    <definedName name="PrevY">Data!$B$4</definedName>
    <definedName name="_xlnm.Print_Area" localSheetId="7">'- 10 -'!$A$2:$L$28</definedName>
    <definedName name="_xlnm.Print_Area" localSheetId="8">'- 12 -'!$A$2:$L$52</definedName>
    <definedName name="_xlnm.Print_Area" localSheetId="9">'- 13 -'!$A$2:$L$54</definedName>
    <definedName name="_xlnm.Print_Area" localSheetId="10">'- 15 -'!$A$1:$I$52</definedName>
    <definedName name="_xlnm.Print_Area" localSheetId="11">'- 16 -'!$A$1:$I$52</definedName>
    <definedName name="_xlnm.Print_Area" localSheetId="12">'- 17 -'!$A$1:$J$52</definedName>
    <definedName name="_xlnm.Print_Area" localSheetId="13">'- 18 -'!$A$1:$G$52</definedName>
    <definedName name="_xlnm.Print_Area" localSheetId="14">'- 19 -'!$A$1:$J$53</definedName>
    <definedName name="_xlnm.Print_Area" localSheetId="15">'- 20 -'!$A$1:$I$53</definedName>
    <definedName name="_xlnm.Print_Area" localSheetId="16">'- 21 -'!$A$1:$I$55</definedName>
    <definedName name="_xlnm.Print_Area" localSheetId="17">'- 22 -'!$A$1:$J$54</definedName>
    <definedName name="_xlnm.Print_Area" localSheetId="18">'- 23 -'!$A$1:$F$52</definedName>
    <definedName name="_xlnm.Print_Area" localSheetId="19">'- 24 -'!$A$1:$I$52</definedName>
    <definedName name="_xlnm.Print_Area" localSheetId="20">'- 25 -'!$A$1:$J$52</definedName>
    <definedName name="_xlnm.Print_Area" localSheetId="21">'- 26 -'!$A$1:$E$52</definedName>
    <definedName name="_xlnm.Print_Area" localSheetId="22">'- 27 -'!$A$1:$J$52</definedName>
    <definedName name="_xlnm.Print_Area" localSheetId="23">'- 28 -'!$A$1:$J$53</definedName>
    <definedName name="_xlnm.Print_Area" localSheetId="24">'- 29 -'!$A$1:$G$52</definedName>
    <definedName name="_xlnm.Print_Area" localSheetId="1">'- 3 -'!$A$2:$F$58</definedName>
    <definedName name="_xlnm.Print_Area" localSheetId="25">'- 30 -'!$A$1:$G$52</definedName>
    <definedName name="_xlnm.Print_Area" localSheetId="26">'- 31 -'!$A$1:$G$52</definedName>
    <definedName name="_xlnm.Print_Area" localSheetId="27">'- 32 -'!$A$1:$F$52</definedName>
    <definedName name="_xlnm.Print_Area" localSheetId="28">'- 33 -'!$A$1:$G$52</definedName>
    <definedName name="_xlnm.Print_Area" localSheetId="29">'- 34 -'!$A$1:$H$52</definedName>
    <definedName name="_xlnm.Print_Area" localSheetId="30">'- 35 -'!$A$1:$E$52</definedName>
    <definedName name="_xlnm.Print_Area" localSheetId="31">'- 36 -'!$A$1:$G$54</definedName>
    <definedName name="_xlnm.Print_Area" localSheetId="32">'- 37 -'!$A$1:$J$56</definedName>
    <definedName name="_xlnm.Print_Area" localSheetId="33">'- 38 -'!$A$1:$H$54</definedName>
    <definedName name="_xlnm.Print_Area" localSheetId="2">'- 4 -'!$A$1:$E$56</definedName>
    <definedName name="_xlnm.Print_Area" localSheetId="34">'- 40 -'!$A$1:$H$55</definedName>
    <definedName name="_xlnm.Print_Area" localSheetId="35">'- 41 -'!$A$1:$I$62</definedName>
    <definedName name="_xlnm.Print_Area" localSheetId="36">'- 42 -'!$A$1:$I$57</definedName>
    <definedName name="_xlnm.Print_Area" localSheetId="37">'- 43 -'!$A$1:$I$52</definedName>
    <definedName name="_xlnm.Print_Area" localSheetId="38">'- 44 -'!$A$2:$E$60</definedName>
    <definedName name="_xlnm.Print_Area" localSheetId="39">'- 45 -'!$A$1:$F$56</definedName>
    <definedName name="_xlnm.Print_Area" localSheetId="40">'- 46 -'!$A$1:$F$54</definedName>
    <definedName name="_xlnm.Print_Area" localSheetId="41">'- 47 -'!$A$1:$E$59</definedName>
    <definedName name="_xlnm.Print_Area" localSheetId="42">'- 48 -'!$A$1:$G$57</definedName>
    <definedName name="_xlnm.Print_Area" localSheetId="43">'- 49 -'!$A$1:$H$55</definedName>
    <definedName name="_xlnm.Print_Area" localSheetId="44">'- 50 -'!$A$1:$E$59</definedName>
    <definedName name="_xlnm.Print_Area" localSheetId="45">'- 51 -'!$A$1:$D$58</definedName>
    <definedName name="_xlnm.Print_Area" localSheetId="46">'- 53 -'!$A$1:$G$57</definedName>
    <definedName name="_xlnm.Print_Area" localSheetId="47">'- 54 - '!$A$1:$F$53</definedName>
    <definedName name="_xlnm.Print_Area" localSheetId="48">'- 55 -'!$A$1:$F$52</definedName>
    <definedName name="_xlnm.Print_Area" localSheetId="49">'- 57 -'!$A$1:$G$54</definedName>
    <definedName name="_xlnm.Print_Area" localSheetId="50">'- 58 -'!$A$1:$G$54</definedName>
    <definedName name="_xlnm.Print_Area" localSheetId="51">'- 59 -'!$A$1:$F$55</definedName>
    <definedName name="_xlnm.Print_Area" localSheetId="3">'- 6 -'!$A$1:$H$54</definedName>
    <definedName name="_xlnm.Print_Area" localSheetId="52">'- 60 -'!$A$1:$F$53</definedName>
    <definedName name="_xlnm.Print_Area" localSheetId="53">'- 61 -'!$A$1:$F$59</definedName>
    <definedName name="_xlnm.Print_Area" localSheetId="54">'- 62 -'!$A$1:$F$62</definedName>
    <definedName name="_xlnm.Print_Area" localSheetId="55">'- 63 -'!$A$2:$H$55</definedName>
    <definedName name="_xlnm.Print_Area" localSheetId="56">'- 64 -'!$A$1:$I$57</definedName>
    <definedName name="_xlnm.Print_Area" localSheetId="57">'- 65 -'!$A$2:$G$54</definedName>
    <definedName name="_xlnm.Print_Area" localSheetId="58">'- 66 -'!$A$1:$I$58</definedName>
    <definedName name="_xlnm.Print_Area" localSheetId="4">'- 7 -'!$A$1:$G$56</definedName>
    <definedName name="_xlnm.Print_Area" localSheetId="5">'- 8 -'!$A$1:$G$59</definedName>
    <definedName name="_xlnm.Print_Area" localSheetId="6">'- 9 -'!$A$1:$D$58</definedName>
    <definedName name="_xlnm.Print_Area" localSheetId="0">README!$B$1:$B$18</definedName>
    <definedName name="REVYEAR" localSheetId="0">'[1]- 42 -'!$B$1</definedName>
    <definedName name="REVYEAR">'- 41 -'!$B$1</definedName>
    <definedName name="SPRINGYR" localSheetId="0">[1]Data!$B$7</definedName>
    <definedName name="SPRINGYR">Data!$B$7</definedName>
    <definedName name="STAMP" localSheetId="44">#REF!</definedName>
    <definedName name="STAMP" localSheetId="0">#REF!</definedName>
    <definedName name="STAMP">#REF!</definedName>
    <definedName name="STATDATE" localSheetId="0">'[1]- 6 -'!$B$3</definedName>
    <definedName name="STATDATE">'- 6 -'!$B$3</definedName>
    <definedName name="TAXYEAR" localSheetId="47">'[4]- 46 -'!$B$3</definedName>
    <definedName name="TAXYEAR" localSheetId="0">'[1]- 52 -'!$B$3</definedName>
    <definedName name="TAXYEAR">'- 51 -'!$B$3</definedName>
    <definedName name="TOTAL1" localSheetId="44">#REF!</definedName>
    <definedName name="TOTAL1" localSheetId="0">#REF!</definedName>
    <definedName name="TOTAL1">#REF!</definedName>
    <definedName name="TOTAL2" localSheetId="44">#REF!</definedName>
    <definedName name="TOTAL2" localSheetId="0">#REF!</definedName>
    <definedName name="TOTAL2">#REF!</definedName>
    <definedName name="TOTAL3" localSheetId="44">#REF!</definedName>
    <definedName name="TOTAL3" localSheetId="0">#REF!</definedName>
    <definedName name="TOTAL3">#REF!</definedName>
    <definedName name="TWO" localSheetId="44">#REF!</definedName>
    <definedName name="TWO" localSheetId="0">#REF!</definedName>
    <definedName name="TWO">#REF!</definedName>
  </definedNames>
  <calcPr calcId="162913"/>
</workbook>
</file>

<file path=xl/calcChain.xml><?xml version="1.0" encoding="utf-8"?>
<calcChain xmlns="http://schemas.openxmlformats.org/spreadsheetml/2006/main">
  <c r="C48" i="38668" l="1"/>
  <c r="G48" i="16" l="1"/>
  <c r="A57" i="78" l="1"/>
  <c r="D11" i="16" l="1"/>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H48" i="38659" l="1"/>
  <c r="H47" i="38659"/>
  <c r="H46" i="38659"/>
  <c r="H45" i="38659"/>
  <c r="H44" i="38659"/>
  <c r="H43" i="38659"/>
  <c r="H42" i="38659"/>
  <c r="H41" i="38659"/>
  <c r="H40" i="38659"/>
  <c r="H39" i="38659"/>
  <c r="H38" i="38659"/>
  <c r="H37" i="38659"/>
  <c r="H36" i="38659"/>
  <c r="H35" i="38659"/>
  <c r="H34" i="38659"/>
  <c r="H33" i="38659"/>
  <c r="H32" i="38659"/>
  <c r="H31" i="38659"/>
  <c r="H30" i="38659"/>
  <c r="H29" i="38659"/>
  <c r="H28" i="38659"/>
  <c r="H27" i="38659"/>
  <c r="H26" i="38659"/>
  <c r="H25" i="38659"/>
  <c r="H24" i="38659"/>
  <c r="H23" i="38659"/>
  <c r="H22" i="38659"/>
  <c r="H21" i="38659"/>
  <c r="H19" i="38659"/>
  <c r="H18" i="38659"/>
  <c r="H17" i="38659"/>
  <c r="H15" i="38659"/>
  <c r="H14" i="38659"/>
  <c r="H13" i="38659"/>
  <c r="P48" i="3188" l="1"/>
  <c r="O48" i="3188" l="1"/>
  <c r="N48" i="3188"/>
  <c r="D2" i="38658"/>
  <c r="D48" i="25" l="1"/>
  <c r="B57" i="3188" l="1"/>
  <c r="B58" i="3188" s="1"/>
  <c r="B59" i="3188" s="1"/>
  <c r="B60" i="3188" s="1"/>
  <c r="B61" i="3188" s="1"/>
  <c r="B62" i="3188" s="1"/>
  <c r="B63" i="3188" s="1"/>
  <c r="B64" i="3188" s="1"/>
  <c r="B65" i="3188" s="1"/>
  <c r="B66" i="3188" s="1"/>
  <c r="B67" i="3188" s="1"/>
  <c r="B68" i="3188" s="1"/>
  <c r="B69" i="3188" s="1"/>
  <c r="B70" i="3188" s="1"/>
  <c r="B71" i="3188" s="1"/>
  <c r="E48" i="26" l="1"/>
  <c r="B48" i="82" l="1"/>
  <c r="D48" i="48" l="1"/>
  <c r="C48" i="48"/>
  <c r="B48" i="48"/>
  <c r="F48" i="32"/>
  <c r="B48" i="35" l="1"/>
  <c r="B48" i="33"/>
  <c r="F48" i="34"/>
  <c r="D48" i="35"/>
  <c r="D48" i="33"/>
  <c r="B48" i="34"/>
  <c r="C48" i="33"/>
  <c r="D48" i="34"/>
  <c r="H48" i="26"/>
  <c r="B48" i="27" l="1"/>
  <c r="E48" i="38655"/>
  <c r="B48" i="38656"/>
  <c r="E48" i="8"/>
  <c r="E48" i="9"/>
  <c r="B48" i="7"/>
  <c r="E48" i="10"/>
  <c r="B48" i="11"/>
  <c r="H48" i="11"/>
  <c r="D48" i="82"/>
  <c r="H48" i="25"/>
  <c r="B48" i="9"/>
  <c r="H48" i="9"/>
  <c r="H48" i="10"/>
  <c r="B48" i="25"/>
  <c r="F48" i="25"/>
  <c r="H48" i="38655"/>
  <c r="E48" i="38656"/>
  <c r="B48" i="38655"/>
  <c r="B48" i="26"/>
  <c r="E48" i="11"/>
  <c r="B48" i="10"/>
  <c r="B48" i="8"/>
  <c r="B48" i="5" l="1"/>
  <c r="C13" i="46" l="1"/>
  <c r="C20" i="46"/>
  <c r="C12" i="46"/>
  <c r="C17" i="46"/>
  <c r="C21" i="46"/>
  <c r="C25" i="46"/>
  <c r="C28" i="46"/>
  <c r="C29" i="46"/>
  <c r="C32" i="46"/>
  <c r="C33" i="46"/>
  <c r="C36" i="46"/>
  <c r="C37" i="46"/>
  <c r="C40" i="46"/>
  <c r="C41" i="46"/>
  <c r="C44" i="46"/>
  <c r="C45" i="46"/>
  <c r="C51" i="46"/>
  <c r="C16" i="46"/>
  <c r="C24" i="46"/>
  <c r="F48" i="47"/>
  <c r="C48" i="81"/>
  <c r="E48" i="81"/>
  <c r="G48" i="81"/>
  <c r="E48" i="38665"/>
  <c r="G48" i="38665"/>
  <c r="C48" i="70"/>
  <c r="B48" i="45"/>
  <c r="F48" i="44"/>
  <c r="B48" i="44"/>
  <c r="D48" i="43"/>
  <c r="D48" i="37"/>
  <c r="B48" i="36"/>
  <c r="C14" i="46"/>
  <c r="C18" i="46"/>
  <c r="C22" i="46"/>
  <c r="C26" i="46"/>
  <c r="C30" i="46"/>
  <c r="C34" i="46"/>
  <c r="C38" i="46"/>
  <c r="C42" i="46"/>
  <c r="C46" i="46"/>
  <c r="C15" i="46"/>
  <c r="C19" i="46"/>
  <c r="C23" i="46"/>
  <c r="C27" i="46"/>
  <c r="C31" i="46"/>
  <c r="C35" i="46"/>
  <c r="C39" i="46"/>
  <c r="C43" i="46"/>
  <c r="C50" i="46"/>
  <c r="S48" i="3188"/>
  <c r="U48" i="3188"/>
  <c r="T48" i="3188"/>
  <c r="C48" i="47"/>
  <c r="D48" i="47"/>
  <c r="E48" i="47"/>
  <c r="B48" i="81"/>
  <c r="D48" i="81"/>
  <c r="F48" i="81"/>
  <c r="C48" i="38665"/>
  <c r="F48" i="38665"/>
  <c r="B48" i="70"/>
  <c r="D48" i="44"/>
  <c r="G48" i="43"/>
  <c r="C48" i="43"/>
  <c r="A53" i="44" s="1"/>
  <c r="D48" i="36"/>
  <c r="C11" i="46"/>
  <c r="F48" i="36"/>
  <c r="B48" i="37"/>
  <c r="H48" i="44"/>
  <c r="D48" i="45"/>
  <c r="B48" i="38665"/>
  <c r="B48" i="47"/>
  <c r="E48" i="43" l="1"/>
  <c r="R48" i="3188"/>
  <c r="F48" i="46"/>
  <c r="B48" i="52"/>
  <c r="D48" i="52"/>
  <c r="B48" i="46"/>
  <c r="E48" i="46"/>
  <c r="C48" i="78"/>
  <c r="D48" i="46"/>
  <c r="E48" i="78"/>
  <c r="D48" i="78"/>
  <c r="Q48" i="3188"/>
  <c r="C48" i="52"/>
  <c r="J48" i="3188"/>
  <c r="E48" i="3188"/>
  <c r="I48" i="3188"/>
  <c r="H48" i="3188"/>
  <c r="C48" i="3188"/>
  <c r="B48" i="78"/>
  <c r="D48" i="3188"/>
  <c r="F48" i="3188"/>
  <c r="G48" i="3188"/>
  <c r="I28" i="41" l="1"/>
  <c r="A3" i="38666" l="1"/>
  <c r="A3" i="38651"/>
  <c r="A3" i="38668" s="1"/>
  <c r="C48" i="38654" l="1"/>
  <c r="C46" i="38654"/>
  <c r="C45" i="38654"/>
  <c r="C44" i="38654"/>
  <c r="C43" i="38654"/>
  <c r="C42" i="38654"/>
  <c r="C41" i="38654"/>
  <c r="C40" i="38654"/>
  <c r="C39" i="38654"/>
  <c r="C38" i="38654"/>
  <c r="C37" i="38654"/>
  <c r="C36" i="38654"/>
  <c r="C35" i="38654"/>
  <c r="C34" i="38654"/>
  <c r="C33" i="38654"/>
  <c r="C32" i="38654"/>
  <c r="C31" i="38654"/>
  <c r="C30" i="38654"/>
  <c r="C29" i="38654"/>
  <c r="C28" i="38654"/>
  <c r="C27" i="38654"/>
  <c r="C26" i="38654"/>
  <c r="C25" i="38654"/>
  <c r="C24" i="38654"/>
  <c r="C23" i="38654"/>
  <c r="C22" i="38654"/>
  <c r="C21" i="38654"/>
  <c r="C20" i="38654"/>
  <c r="C19" i="38654"/>
  <c r="C18" i="38654"/>
  <c r="C17" i="38654"/>
  <c r="C16" i="38654"/>
  <c r="C15" i="38654"/>
  <c r="C14" i="38654"/>
  <c r="C13" i="38654"/>
  <c r="C12" i="38654"/>
  <c r="C11" i="38654"/>
  <c r="F48" i="38654"/>
  <c r="F46" i="38654"/>
  <c r="F45" i="38654"/>
  <c r="F44" i="38654"/>
  <c r="F43" i="38654"/>
  <c r="F42" i="38654"/>
  <c r="F41" i="38654"/>
  <c r="F40" i="38654"/>
  <c r="F39" i="38654"/>
  <c r="F38" i="38654"/>
  <c r="F37" i="38654"/>
  <c r="F36" i="38654"/>
  <c r="F35" i="38654"/>
  <c r="F34" i="38654"/>
  <c r="F33" i="38654"/>
  <c r="F32" i="38654"/>
  <c r="F31" i="38654"/>
  <c r="F30" i="38654"/>
  <c r="F29" i="38654"/>
  <c r="F28" i="38654"/>
  <c r="F27" i="38654"/>
  <c r="F26" i="38654"/>
  <c r="F25" i="38654"/>
  <c r="F24" i="38654"/>
  <c r="F23" i="38654"/>
  <c r="F22" i="38654"/>
  <c r="F21" i="38654"/>
  <c r="F20" i="38654"/>
  <c r="F19" i="38654"/>
  <c r="F18" i="38654"/>
  <c r="F17" i="38654"/>
  <c r="F16" i="38654"/>
  <c r="F15" i="38654"/>
  <c r="F14" i="38654"/>
  <c r="F13" i="38654"/>
  <c r="F12" i="38654"/>
  <c r="F11" i="38654"/>
  <c r="H47" i="23" l="1"/>
  <c r="I16" i="21"/>
  <c r="H48" i="22"/>
  <c r="I48" i="41" l="1"/>
  <c r="I50" i="41"/>
  <c r="I46" i="41"/>
  <c r="I45" i="41"/>
  <c r="I44" i="41"/>
  <c r="I43" i="41"/>
  <c r="I42" i="41"/>
  <c r="I41" i="41"/>
  <c r="I40" i="41"/>
  <c r="I39" i="41"/>
  <c r="I38" i="41"/>
  <c r="I37" i="41"/>
  <c r="I36" i="41"/>
  <c r="I35" i="41"/>
  <c r="I34" i="41"/>
  <c r="I33" i="41"/>
  <c r="I32" i="41"/>
  <c r="I31" i="41"/>
  <c r="I30" i="41"/>
  <c r="I29" i="41"/>
  <c r="I27" i="41"/>
  <c r="I26" i="41"/>
  <c r="I25" i="41"/>
  <c r="I24" i="41"/>
  <c r="I23" i="41"/>
  <c r="I22" i="41"/>
  <c r="I21" i="41"/>
  <c r="I20" i="41"/>
  <c r="I19" i="41"/>
  <c r="I18" i="41"/>
  <c r="I17" i="41"/>
  <c r="I16" i="41"/>
  <c r="I15" i="41"/>
  <c r="I14" i="41"/>
  <c r="I13" i="41"/>
  <c r="I12" i="41"/>
  <c r="I11" i="41"/>
  <c r="I9" i="41"/>
  <c r="B46" i="38668"/>
  <c r="B45" i="38668"/>
  <c r="B44" i="38668"/>
  <c r="B43" i="38668"/>
  <c r="B42" i="38668"/>
  <c r="B41" i="38668"/>
  <c r="B40" i="38668"/>
  <c r="B39" i="38668"/>
  <c r="B38" i="38668"/>
  <c r="B37" i="38668"/>
  <c r="B36" i="38668"/>
  <c r="B35" i="38668"/>
  <c r="B34" i="38668"/>
  <c r="B33" i="38668"/>
  <c r="B32" i="38668"/>
  <c r="B31" i="38668"/>
  <c r="B30" i="38668"/>
  <c r="B29" i="38668"/>
  <c r="B28" i="38668"/>
  <c r="B27" i="38668"/>
  <c r="B26" i="38668"/>
  <c r="B25" i="38668"/>
  <c r="B24" i="38668"/>
  <c r="B23" i="38668"/>
  <c r="B22" i="38668"/>
  <c r="B21" i="38668"/>
  <c r="B20" i="38668"/>
  <c r="B19" i="38668"/>
  <c r="B18" i="38668"/>
  <c r="B17" i="38668"/>
  <c r="B16" i="38668"/>
  <c r="B15" i="38668"/>
  <c r="B14" i="38668"/>
  <c r="B13" i="38668"/>
  <c r="B12" i="38668"/>
  <c r="D46" i="38668"/>
  <c r="D45" i="38668"/>
  <c r="D44" i="38668"/>
  <c r="D43" i="38668"/>
  <c r="D42" i="38668"/>
  <c r="D41" i="38668"/>
  <c r="D40" i="38668"/>
  <c r="D39" i="38668"/>
  <c r="D38" i="38668"/>
  <c r="D37" i="38668"/>
  <c r="D36" i="38668"/>
  <c r="D35" i="38668"/>
  <c r="D34" i="38668"/>
  <c r="D33" i="38668"/>
  <c r="D32" i="38668"/>
  <c r="D31" i="38668"/>
  <c r="D30" i="38668"/>
  <c r="D29" i="38668"/>
  <c r="D28" i="38668"/>
  <c r="D27" i="38668"/>
  <c r="D26" i="38668"/>
  <c r="D25" i="38668"/>
  <c r="D24" i="38668"/>
  <c r="D23" i="38668"/>
  <c r="D22" i="38668"/>
  <c r="D21" i="38668"/>
  <c r="D20" i="38668"/>
  <c r="D19" i="38668"/>
  <c r="D18" i="38668"/>
  <c r="D17" i="38668"/>
  <c r="D16" i="38668"/>
  <c r="D15" i="38668"/>
  <c r="D14" i="38668"/>
  <c r="D13" i="38668"/>
  <c r="D12" i="38668"/>
  <c r="D11" i="38668"/>
  <c r="B11" i="38668"/>
  <c r="I51" i="38648"/>
  <c r="I50" i="38648"/>
  <c r="I14" i="38648"/>
  <c r="I21" i="21"/>
  <c r="F45" i="23"/>
  <c r="F21" i="21" s="1"/>
  <c r="B45" i="23"/>
  <c r="F19" i="21" s="1"/>
  <c r="J28" i="23"/>
  <c r="D21" i="21"/>
  <c r="D19" i="21"/>
  <c r="B21" i="23"/>
  <c r="C19" i="21" s="1"/>
  <c r="J48" i="22"/>
  <c r="H45" i="22"/>
  <c r="F16" i="21" s="1"/>
  <c r="D45" i="22"/>
  <c r="F14" i="21" s="1"/>
  <c r="J34" i="23"/>
  <c r="F39" i="22"/>
  <c r="E15" i="21" s="1"/>
  <c r="D17" i="21"/>
  <c r="D16" i="21"/>
  <c r="D15" i="21"/>
  <c r="D14" i="21"/>
  <c r="D13" i="21"/>
  <c r="H21" i="22"/>
  <c r="C16" i="21" s="1"/>
  <c r="H50" i="23"/>
  <c r="J50" i="23" s="1"/>
  <c r="B7" i="3188"/>
  <c r="C52" i="38658"/>
  <c r="B89" i="3188"/>
  <c r="A53" i="81" s="1"/>
  <c r="B9" i="38648"/>
  <c r="C9" i="38648"/>
  <c r="D9" i="38667" s="1"/>
  <c r="G9" i="38667" s="1"/>
  <c r="H9" i="38648"/>
  <c r="K6" i="38667"/>
  <c r="L6" i="38667"/>
  <c r="J7" i="38667"/>
  <c r="K7" i="38667"/>
  <c r="L7" i="38667"/>
  <c r="J47" i="38667"/>
  <c r="K47" i="38667"/>
  <c r="L47" i="38667"/>
  <c r="K20" i="38659"/>
  <c r="I16" i="38658"/>
  <c r="I20" i="38658"/>
  <c r="H51" i="38658"/>
  <c r="B3" i="38654"/>
  <c r="G11" i="38648"/>
  <c r="G12" i="38648"/>
  <c r="F12" i="38651"/>
  <c r="G13" i="38648"/>
  <c r="F13" i="38651"/>
  <c r="G14" i="38648"/>
  <c r="G15" i="38648"/>
  <c r="F15" i="38651"/>
  <c r="G16" i="38648"/>
  <c r="F16" i="38651"/>
  <c r="G17" i="38648"/>
  <c r="F17" i="38651"/>
  <c r="G18" i="38648"/>
  <c r="F18" i="38651"/>
  <c r="G19" i="38648"/>
  <c r="F19" i="38651"/>
  <c r="G20" i="38648"/>
  <c r="F20" i="38651"/>
  <c r="G21" i="38648"/>
  <c r="F21" i="38651"/>
  <c r="G22" i="38648"/>
  <c r="F22" i="38651"/>
  <c r="G23" i="38648"/>
  <c r="F23" i="38651"/>
  <c r="G24" i="38648"/>
  <c r="F24" i="38651"/>
  <c r="G25" i="38648"/>
  <c r="F25" i="38651"/>
  <c r="G26" i="38648"/>
  <c r="F26" i="38651"/>
  <c r="G27" i="38648"/>
  <c r="F27" i="38651"/>
  <c r="G28" i="38648"/>
  <c r="F28" i="38651"/>
  <c r="G29" i="38648"/>
  <c r="F29" i="38651"/>
  <c r="G30" i="38648"/>
  <c r="F30" i="38651"/>
  <c r="G31" i="38648"/>
  <c r="F31" i="38651"/>
  <c r="G32" i="38648"/>
  <c r="F32" i="38651"/>
  <c r="G33" i="38648"/>
  <c r="F33" i="38651"/>
  <c r="G34" i="38648"/>
  <c r="F34" i="38651"/>
  <c r="G35" i="38648"/>
  <c r="F35" i="38651"/>
  <c r="G36" i="38648"/>
  <c r="F36" i="38651"/>
  <c r="G37" i="38648"/>
  <c r="F37" i="38651"/>
  <c r="G38" i="38648"/>
  <c r="F38" i="38651"/>
  <c r="G39" i="38648"/>
  <c r="F39" i="38651"/>
  <c r="G40" i="38648"/>
  <c r="F40" i="38651"/>
  <c r="G41" i="38648"/>
  <c r="F41" i="38651"/>
  <c r="G42" i="38648"/>
  <c r="F42" i="38651"/>
  <c r="G43" i="38648"/>
  <c r="F43" i="38651"/>
  <c r="G44" i="38648"/>
  <c r="F44" i="38651"/>
  <c r="G45" i="38648"/>
  <c r="F45" i="38651"/>
  <c r="G46" i="38648"/>
  <c r="F46" i="38651"/>
  <c r="G48" i="38648"/>
  <c r="E11" i="38651"/>
  <c r="I11" i="38651"/>
  <c r="E12" i="38651"/>
  <c r="I12" i="38651"/>
  <c r="E13" i="38651"/>
  <c r="I13" i="38651"/>
  <c r="E14" i="38651"/>
  <c r="I14" i="38651"/>
  <c r="E15" i="38651"/>
  <c r="I15" i="38651"/>
  <c r="E16" i="38651"/>
  <c r="I16" i="38651"/>
  <c r="E17" i="38651"/>
  <c r="I17" i="38651"/>
  <c r="E18" i="38651"/>
  <c r="I18" i="38651"/>
  <c r="E19" i="38651"/>
  <c r="G19" i="38651" s="1"/>
  <c r="I19" i="38648" s="1"/>
  <c r="I19" i="38651"/>
  <c r="E20" i="38651"/>
  <c r="I20" i="38651"/>
  <c r="E21" i="38651"/>
  <c r="I21" i="38651"/>
  <c r="E22" i="38651"/>
  <c r="I22" i="38651"/>
  <c r="E23" i="38651"/>
  <c r="G23" i="38651" s="1"/>
  <c r="I23" i="38648" s="1"/>
  <c r="I23" i="38651"/>
  <c r="E24" i="38651"/>
  <c r="I24" i="38651"/>
  <c r="E25" i="38651"/>
  <c r="I25" i="38651"/>
  <c r="E26" i="38651"/>
  <c r="G26" i="38651" s="1"/>
  <c r="I26" i="38648" s="1"/>
  <c r="I26" i="38651"/>
  <c r="E27" i="38651"/>
  <c r="I27" i="38651"/>
  <c r="E28" i="38651"/>
  <c r="I28" i="38651"/>
  <c r="E29" i="38651"/>
  <c r="I29" i="38651"/>
  <c r="E30" i="38651"/>
  <c r="I30" i="38651"/>
  <c r="E31" i="38651"/>
  <c r="I31" i="38651"/>
  <c r="E32" i="38651"/>
  <c r="G32" i="38651" s="1"/>
  <c r="J31" i="38651" s="1"/>
  <c r="I32" i="38651"/>
  <c r="E33" i="38651"/>
  <c r="I33" i="38651"/>
  <c r="E34" i="38651"/>
  <c r="G34" i="38651" s="1"/>
  <c r="J33" i="38651" s="1"/>
  <c r="I34" i="38651"/>
  <c r="E35" i="38651"/>
  <c r="I35" i="38651"/>
  <c r="E36" i="38651"/>
  <c r="I36" i="38651"/>
  <c r="E37" i="38651"/>
  <c r="I37" i="38651"/>
  <c r="E38" i="38651"/>
  <c r="I38" i="38651"/>
  <c r="E39" i="38651"/>
  <c r="I39" i="38651"/>
  <c r="E40" i="38651"/>
  <c r="I40" i="38651"/>
  <c r="E41" i="38651"/>
  <c r="I41" i="38651"/>
  <c r="E42" i="38651"/>
  <c r="I42" i="38651"/>
  <c r="E43" i="38651"/>
  <c r="I43" i="38651"/>
  <c r="E44" i="38651"/>
  <c r="I44" i="38651"/>
  <c r="E45" i="38651"/>
  <c r="I45" i="38651"/>
  <c r="E46" i="38651"/>
  <c r="B48" i="38651"/>
  <c r="B53" i="38651" s="1"/>
  <c r="C48" i="38651"/>
  <c r="C53" i="38651" s="1"/>
  <c r="D48" i="38651"/>
  <c r="D53" i="38651" s="1"/>
  <c r="E50" i="38651"/>
  <c r="E51" i="38651"/>
  <c r="A5" i="38662"/>
  <c r="B11" i="38662"/>
  <c r="C11" i="38662" s="1"/>
  <c r="B12" i="38662"/>
  <c r="C12" i="38662" s="1"/>
  <c r="B12" i="38654" s="1"/>
  <c r="D12" i="38654" s="1"/>
  <c r="B13" i="38662"/>
  <c r="C13" i="38662" s="1"/>
  <c r="B13" i="38654" s="1"/>
  <c r="D13" i="38654" s="1"/>
  <c r="B14" i="38662"/>
  <c r="C14" i="38662" s="1"/>
  <c r="B14" i="38654" s="1"/>
  <c r="D14" i="38654" s="1"/>
  <c r="B15" i="38662"/>
  <c r="C15" i="38662" s="1"/>
  <c r="B15" i="38654" s="1"/>
  <c r="D15" i="38654" s="1"/>
  <c r="B16" i="38662"/>
  <c r="C16" i="38662" s="1"/>
  <c r="B16" i="38654" s="1"/>
  <c r="D16" i="38654" s="1"/>
  <c r="B17" i="38662"/>
  <c r="C17" i="38662" s="1"/>
  <c r="B17" i="38654" s="1"/>
  <c r="D17" i="38654" s="1"/>
  <c r="B18" i="38662"/>
  <c r="C18" i="38662" s="1"/>
  <c r="B18" i="38654" s="1"/>
  <c r="D18" i="38654" s="1"/>
  <c r="B19" i="38662"/>
  <c r="C19" i="38662" s="1"/>
  <c r="B19" i="38654" s="1"/>
  <c r="D19" i="38654" s="1"/>
  <c r="B20" i="38662"/>
  <c r="C20" i="38662" s="1"/>
  <c r="B20" i="38654" s="1"/>
  <c r="D20" i="38654" s="1"/>
  <c r="B21" i="38662"/>
  <c r="C21" i="38662" s="1"/>
  <c r="B21" i="38654" s="1"/>
  <c r="D21" i="38654" s="1"/>
  <c r="B22" i="38662"/>
  <c r="C22" i="38662" s="1"/>
  <c r="B22" i="38654" s="1"/>
  <c r="D22" i="38654" s="1"/>
  <c r="B23" i="38662"/>
  <c r="C23" i="38662" s="1"/>
  <c r="B23" i="38654" s="1"/>
  <c r="D23" i="38654" s="1"/>
  <c r="B24" i="38662"/>
  <c r="C24" i="38662" s="1"/>
  <c r="B24" i="38654" s="1"/>
  <c r="D24" i="38654" s="1"/>
  <c r="B25" i="38662"/>
  <c r="C25" i="38662" s="1"/>
  <c r="B25" i="38654" s="1"/>
  <c r="D25" i="38654" s="1"/>
  <c r="B26" i="38662"/>
  <c r="C26" i="38662" s="1"/>
  <c r="B26" i="38654" s="1"/>
  <c r="D26" i="38654" s="1"/>
  <c r="B27" i="38662"/>
  <c r="C27" i="38662" s="1"/>
  <c r="B27" i="38654" s="1"/>
  <c r="D27" i="38654" s="1"/>
  <c r="B28" i="38662"/>
  <c r="C28" i="38662" s="1"/>
  <c r="B28" i="38654" s="1"/>
  <c r="D28" i="38654" s="1"/>
  <c r="B29" i="38662"/>
  <c r="C29" i="38662" s="1"/>
  <c r="B29" i="38654" s="1"/>
  <c r="D29" i="38654" s="1"/>
  <c r="B30" i="38662"/>
  <c r="C30" i="38662" s="1"/>
  <c r="B30" i="38654" s="1"/>
  <c r="D30" i="38654" s="1"/>
  <c r="B31" i="38662"/>
  <c r="C31" i="38662" s="1"/>
  <c r="B31" i="38654" s="1"/>
  <c r="D31" i="38654" s="1"/>
  <c r="B32" i="38662"/>
  <c r="C32" i="38662" s="1"/>
  <c r="B32" i="38654" s="1"/>
  <c r="D32" i="38654" s="1"/>
  <c r="B33" i="38662"/>
  <c r="C33" i="38662" s="1"/>
  <c r="B33" i="38654" s="1"/>
  <c r="D33" i="38654" s="1"/>
  <c r="B34" i="38662"/>
  <c r="C34" i="38662" s="1"/>
  <c r="B34" i="38654" s="1"/>
  <c r="D34" i="38654" s="1"/>
  <c r="B35" i="38662"/>
  <c r="C35" i="38662" s="1"/>
  <c r="B35" i="38654" s="1"/>
  <c r="D35" i="38654" s="1"/>
  <c r="B36" i="38662"/>
  <c r="C36" i="38662" s="1"/>
  <c r="B36" i="38654" s="1"/>
  <c r="D36" i="38654" s="1"/>
  <c r="B37" i="38662"/>
  <c r="C37" i="38662" s="1"/>
  <c r="B37" i="38654" s="1"/>
  <c r="D37" i="38654" s="1"/>
  <c r="B38" i="38662"/>
  <c r="C38" i="38662" s="1"/>
  <c r="B38" i="38654" s="1"/>
  <c r="D38" i="38654" s="1"/>
  <c r="B39" i="38662"/>
  <c r="C39" i="38662" s="1"/>
  <c r="B39" i="38654" s="1"/>
  <c r="D39" i="38654" s="1"/>
  <c r="B40" i="38662"/>
  <c r="C40" i="38662" s="1"/>
  <c r="B40" i="38654" s="1"/>
  <c r="D40" i="38654" s="1"/>
  <c r="B41" i="38662"/>
  <c r="C41" i="38662" s="1"/>
  <c r="B41" i="38654" s="1"/>
  <c r="D41" i="38654" s="1"/>
  <c r="B42" i="38662"/>
  <c r="C42" i="38662" s="1"/>
  <c r="B42" i="38654" s="1"/>
  <c r="D42" i="38654" s="1"/>
  <c r="B43" i="38662"/>
  <c r="C43" i="38662" s="1"/>
  <c r="B43" i="38654" s="1"/>
  <c r="D43" i="38654" s="1"/>
  <c r="B44" i="38662"/>
  <c r="C44" i="38662" s="1"/>
  <c r="B44" i="38654" s="1"/>
  <c r="D44" i="38654" s="1"/>
  <c r="B45" i="38662"/>
  <c r="C45" i="38662" s="1"/>
  <c r="B45" i="38654" s="1"/>
  <c r="D45" i="38654" s="1"/>
  <c r="B46" i="38662"/>
  <c r="C46" i="38662" s="1"/>
  <c r="B46" i="38654" s="1"/>
  <c r="D46" i="38654" s="1"/>
  <c r="B50" i="38662"/>
  <c r="B51" i="38662"/>
  <c r="C51" i="38662" s="1"/>
  <c r="A2" i="38665"/>
  <c r="A2" i="38670" s="1"/>
  <c r="D14" i="40"/>
  <c r="D27" i="40"/>
  <c r="D50" i="40"/>
  <c r="D50" i="39"/>
  <c r="F50" i="39"/>
  <c r="H50" i="39"/>
  <c r="B48" i="16"/>
  <c r="C48" i="16"/>
  <c r="F48" i="16"/>
  <c r="D50" i="16"/>
  <c r="D51" i="16"/>
  <c r="B3" i="14"/>
  <c r="B3" i="17" s="1"/>
  <c r="F11" i="38651"/>
  <c r="J44" i="23"/>
  <c r="I17" i="21"/>
  <c r="J41" i="23"/>
  <c r="J13" i="23"/>
  <c r="F51" i="23"/>
  <c r="J45" i="22"/>
  <c r="F17" i="21" s="1"/>
  <c r="D21" i="23"/>
  <c r="J15" i="23"/>
  <c r="F39" i="23"/>
  <c r="E21" i="21" s="1"/>
  <c r="K22" i="21"/>
  <c r="J19" i="23"/>
  <c r="J37" i="23"/>
  <c r="J42" i="23"/>
  <c r="J43" i="23"/>
  <c r="D20" i="21"/>
  <c r="J22" i="23"/>
  <c r="J24" i="23"/>
  <c r="J38" i="23"/>
  <c r="H48" i="23"/>
  <c r="J48" i="23" s="1"/>
  <c r="G25" i="21"/>
  <c r="B39" i="23"/>
  <c r="E19" i="21" s="1"/>
  <c r="J21" i="22"/>
  <c r="D21" i="22"/>
  <c r="C14" i="21" s="1"/>
  <c r="F21" i="22"/>
  <c r="C15" i="21" s="1"/>
  <c r="B45" i="22"/>
  <c r="D39" i="23"/>
  <c r="E20" i="21" s="1"/>
  <c r="J27" i="23"/>
  <c r="D45" i="23"/>
  <c r="F20" i="21" s="1"/>
  <c r="I15" i="21"/>
  <c r="F48" i="22"/>
  <c r="J14" i="23"/>
  <c r="F21" i="23"/>
  <c r="C21" i="21" s="1"/>
  <c r="J29" i="23"/>
  <c r="J17" i="23"/>
  <c r="J30" i="23"/>
  <c r="J31" i="23"/>
  <c r="J32" i="23"/>
  <c r="J33" i="23"/>
  <c r="J35" i="23"/>
  <c r="H25" i="21"/>
  <c r="H49" i="23"/>
  <c r="J49" i="23" s="1"/>
  <c r="B39" i="22"/>
  <c r="E13" i="21" s="1"/>
  <c r="J20" i="23"/>
  <c r="J26" i="23"/>
  <c r="J25" i="23"/>
  <c r="J18" i="23"/>
  <c r="C24" i="38658" l="1"/>
  <c r="G18" i="38651"/>
  <c r="I18" i="38648" s="1"/>
  <c r="C47" i="38658"/>
  <c r="C45" i="38658"/>
  <c r="C43" i="38658"/>
  <c r="C41" i="38658"/>
  <c r="C39" i="38658"/>
  <c r="C37" i="38658"/>
  <c r="C35" i="38658"/>
  <c r="C33" i="38658"/>
  <c r="C31" i="38658"/>
  <c r="C29" i="38658"/>
  <c r="C27" i="38658"/>
  <c r="C25" i="38658"/>
  <c r="C23" i="38658"/>
  <c r="C21" i="38658"/>
  <c r="C19" i="38658"/>
  <c r="C17" i="38658"/>
  <c r="C15" i="38658"/>
  <c r="C48" i="38658"/>
  <c r="C46" i="38658"/>
  <c r="C44" i="38658"/>
  <c r="C42" i="38658"/>
  <c r="C40" i="38658"/>
  <c r="C38" i="38658"/>
  <c r="C36" i="38658"/>
  <c r="C34" i="38658"/>
  <c r="C32" i="38658"/>
  <c r="C30" i="38658"/>
  <c r="C28" i="38658"/>
  <c r="C26" i="38658"/>
  <c r="C22" i="38658"/>
  <c r="C18" i="38658"/>
  <c r="C14" i="38658"/>
  <c r="C13" i="38658"/>
  <c r="G43" i="38651"/>
  <c r="I43" i="38648" s="1"/>
  <c r="G39" i="38651"/>
  <c r="I39" i="38648" s="1"/>
  <c r="G33" i="38651"/>
  <c r="I33" i="38648" s="1"/>
  <c r="G12" i="38651"/>
  <c r="J12" i="38651" s="1"/>
  <c r="G27" i="38651"/>
  <c r="I27" i="38648" s="1"/>
  <c r="G41" i="38651"/>
  <c r="I41" i="38648" s="1"/>
  <c r="G35" i="38651"/>
  <c r="I35" i="38648" s="1"/>
  <c r="G31" i="38651"/>
  <c r="I31" i="38648" s="1"/>
  <c r="G15" i="38651"/>
  <c r="I15" i="38648" s="1"/>
  <c r="G11" i="38651"/>
  <c r="I11" i="38648" s="1"/>
  <c r="B2" i="32"/>
  <c r="B2" i="33" s="1"/>
  <c r="E7" i="70"/>
  <c r="C3" i="70"/>
  <c r="B48" i="38668"/>
  <c r="D48" i="38668"/>
  <c r="J22" i="38651"/>
  <c r="B2" i="38659"/>
  <c r="A3" i="5"/>
  <c r="B3" i="36" s="1"/>
  <c r="B2" i="38663"/>
  <c r="B1" i="43"/>
  <c r="B2" i="48"/>
  <c r="G42" i="38651"/>
  <c r="I42" i="38648" s="1"/>
  <c r="G40" i="38651"/>
  <c r="J39" i="38651" s="1"/>
  <c r="B3" i="15"/>
  <c r="B9" i="38667"/>
  <c r="F9" i="38667" s="1"/>
  <c r="A3" i="38648"/>
  <c r="A3" i="38667" s="1"/>
  <c r="H51" i="23"/>
  <c r="H53" i="23" s="1"/>
  <c r="I42" i="38666"/>
  <c r="B48" i="38662"/>
  <c r="B53" i="38662" s="1"/>
  <c r="E48" i="38651"/>
  <c r="E53" i="38651" s="1"/>
  <c r="J18" i="38651"/>
  <c r="I40" i="38666"/>
  <c r="L48" i="3188"/>
  <c r="D9" i="38648"/>
  <c r="I32" i="38666"/>
  <c r="I24" i="38666"/>
  <c r="E50" i="38658"/>
  <c r="C50" i="38659"/>
  <c r="I43" i="38666"/>
  <c r="I33" i="38666"/>
  <c r="I15" i="38666"/>
  <c r="I14" i="38666"/>
  <c r="I50" i="38666"/>
  <c r="I46" i="38666"/>
  <c r="I41" i="38666"/>
  <c r="I38" i="38666"/>
  <c r="I35" i="38666"/>
  <c r="I29" i="38666"/>
  <c r="I28" i="38666"/>
  <c r="I26" i="38666"/>
  <c r="I25" i="38666"/>
  <c r="I19" i="38666"/>
  <c r="I16" i="38666"/>
  <c r="I12" i="38666"/>
  <c r="C48" i="38666"/>
  <c r="D53" i="23"/>
  <c r="K19" i="21"/>
  <c r="B53" i="23"/>
  <c r="B50" i="38658"/>
  <c r="J50" i="38659"/>
  <c r="I51" i="38666"/>
  <c r="I45" i="38666"/>
  <c r="I44" i="38666"/>
  <c r="I39" i="38666"/>
  <c r="I37" i="38666"/>
  <c r="I36" i="38666"/>
  <c r="I34" i="38666"/>
  <c r="I31" i="38666"/>
  <c r="I30" i="38666"/>
  <c r="I27" i="38666"/>
  <c r="I23" i="38666"/>
  <c r="I22" i="38666"/>
  <c r="I21" i="38666"/>
  <c r="I20" i="38666"/>
  <c r="I18" i="38666"/>
  <c r="I17" i="38666"/>
  <c r="I13" i="38666"/>
  <c r="H48" i="38666"/>
  <c r="B48" i="38666"/>
  <c r="G48" i="38666"/>
  <c r="E48" i="38666"/>
  <c r="F53" i="23"/>
  <c r="D25" i="21"/>
  <c r="D48" i="16"/>
  <c r="D50" i="38659"/>
  <c r="F48" i="38666"/>
  <c r="D48" i="38666"/>
  <c r="I11" i="38666"/>
  <c r="M48" i="3188"/>
  <c r="G30" i="38651"/>
  <c r="J29" i="38651" s="1"/>
  <c r="G25" i="38651"/>
  <c r="I25" i="38648" s="1"/>
  <c r="G24" i="38651"/>
  <c r="J23" i="38651" s="1"/>
  <c r="G46" i="38651"/>
  <c r="I46" i="38648" s="1"/>
  <c r="G45" i="38651"/>
  <c r="I45" i="38648" s="1"/>
  <c r="G44" i="38651"/>
  <c r="J43" i="38651" s="1"/>
  <c r="G38" i="38651"/>
  <c r="J37" i="38651" s="1"/>
  <c r="G37" i="38651"/>
  <c r="I37" i="38648" s="1"/>
  <c r="G36" i="38651"/>
  <c r="J35" i="38651" s="1"/>
  <c r="G29" i="38651"/>
  <c r="I29" i="38648" s="1"/>
  <c r="G28" i="38651"/>
  <c r="I28" i="38648" s="1"/>
  <c r="G22" i="38651"/>
  <c r="I22" i="38648" s="1"/>
  <c r="G21" i="38651"/>
  <c r="I21" i="38648" s="1"/>
  <c r="G20" i="38651"/>
  <c r="I20" i="38648" s="1"/>
  <c r="G17" i="38651"/>
  <c r="I17" i="38648" s="1"/>
  <c r="G13" i="38651"/>
  <c r="J13" i="38651" s="1"/>
  <c r="J51" i="23"/>
  <c r="G16" i="38651"/>
  <c r="F48" i="38651"/>
  <c r="M47" i="38667"/>
  <c r="I47" i="38667" s="1"/>
  <c r="J30" i="38651"/>
  <c r="J25" i="38651"/>
  <c r="J16" i="23"/>
  <c r="C48" i="38662"/>
  <c r="C53" i="38662" s="1"/>
  <c r="B11" i="38654"/>
  <c r="H39" i="22"/>
  <c r="I12" i="38648"/>
  <c r="I32" i="38648"/>
  <c r="I34" i="38648"/>
  <c r="J36" i="23"/>
  <c r="K21" i="21"/>
  <c r="B21" i="22"/>
  <c r="C13" i="21" s="1"/>
  <c r="D39" i="22"/>
  <c r="J39" i="22"/>
  <c r="J50" i="22" s="1"/>
  <c r="F45" i="22"/>
  <c r="F15" i="21" s="1"/>
  <c r="K15" i="21" s="1"/>
  <c r="C20" i="21"/>
  <c r="K20" i="21" s="1"/>
  <c r="I25" i="21"/>
  <c r="C17" i="21"/>
  <c r="F13" i="21"/>
  <c r="J17" i="38651" l="1"/>
  <c r="J14" i="38651"/>
  <c r="J32" i="38651"/>
  <c r="I40" i="38648"/>
  <c r="J41" i="38651"/>
  <c r="J26" i="38651"/>
  <c r="J34" i="38651"/>
  <c r="I30" i="38648"/>
  <c r="J11" i="38651"/>
  <c r="J38" i="38651"/>
  <c r="G48" i="38651"/>
  <c r="I48" i="38648" s="1"/>
  <c r="J40" i="38651"/>
  <c r="J42" i="38651"/>
  <c r="J16" i="38651"/>
  <c r="I38" i="38648"/>
  <c r="B3" i="54"/>
  <c r="I24" i="38648"/>
  <c r="J24" i="38651"/>
  <c r="J19" i="38651"/>
  <c r="I44" i="38648"/>
  <c r="J27" i="38651"/>
  <c r="J28" i="38651"/>
  <c r="J21" i="38651"/>
  <c r="I13" i="38648"/>
  <c r="J45" i="38651"/>
  <c r="J36" i="38651"/>
  <c r="B2" i="52"/>
  <c r="B2" i="44"/>
  <c r="B2" i="45"/>
  <c r="B2" i="78"/>
  <c r="A2" i="42"/>
  <c r="B2" i="81"/>
  <c r="B2" i="47"/>
  <c r="B2" i="46"/>
  <c r="B3" i="26"/>
  <c r="B3" i="38"/>
  <c r="B3" i="38656"/>
  <c r="A3" i="41"/>
  <c r="B3" i="82"/>
  <c r="B3" i="37"/>
  <c r="B3" i="9"/>
  <c r="B3" i="18"/>
  <c r="B3" i="38655"/>
  <c r="B3" i="27"/>
  <c r="B3" i="39"/>
  <c r="B3" i="25"/>
  <c r="B3" i="7"/>
  <c r="C2" i="23"/>
  <c r="D2" i="22"/>
  <c r="B3" i="34"/>
  <c r="B3" i="10"/>
  <c r="B3" i="40"/>
  <c r="B3" i="20"/>
  <c r="B3" i="35"/>
  <c r="C3" i="11"/>
  <c r="B3" i="8"/>
  <c r="B3" i="19"/>
  <c r="B3" i="76"/>
  <c r="C2" i="21"/>
  <c r="J44" i="38651"/>
  <c r="I36" i="38648"/>
  <c r="J20" i="38651"/>
  <c r="I48" i="38666"/>
  <c r="F50" i="22"/>
  <c r="B50" i="22"/>
  <c r="J21" i="23"/>
  <c r="C50" i="38658"/>
  <c r="I16" i="38648"/>
  <c r="J15" i="38651"/>
  <c r="E16" i="21"/>
  <c r="K16" i="21" s="1"/>
  <c r="H50" i="22"/>
  <c r="D11" i="38654"/>
  <c r="D48" i="38654" s="1"/>
  <c r="B48" i="38654"/>
  <c r="E17" i="21"/>
  <c r="K17" i="21" s="1"/>
  <c r="J39" i="23"/>
  <c r="J45" i="23"/>
  <c r="E14" i="21"/>
  <c r="D50" i="22"/>
  <c r="C25" i="21"/>
  <c r="F25" i="21"/>
  <c r="K13" i="21"/>
  <c r="J53" i="23" l="1"/>
  <c r="K50" i="22" s="1"/>
  <c r="N27" i="23" s="1"/>
  <c r="K14" i="21"/>
  <c r="K25" i="21" s="1"/>
  <c r="E25" i="21"/>
  <c r="I24" i="22" l="1"/>
  <c r="E43" i="23"/>
  <c r="C20" i="22"/>
  <c r="C35" i="22"/>
  <c r="E45" i="23"/>
  <c r="C41" i="23"/>
  <c r="G39" i="23"/>
  <c r="E32" i="23"/>
  <c r="C27" i="23"/>
  <c r="G53" i="23"/>
  <c r="N30" i="23" s="1"/>
  <c r="G30" i="22"/>
  <c r="C30" i="22"/>
  <c r="E26" i="23"/>
  <c r="E21" i="23"/>
  <c r="E25" i="23"/>
  <c r="K20" i="22"/>
  <c r="I35" i="22"/>
  <c r="G36" i="22"/>
  <c r="K48" i="23"/>
  <c r="N16" i="23" s="1"/>
  <c r="I25" i="22"/>
  <c r="K51" i="23"/>
  <c r="C50" i="22"/>
  <c r="N23" i="23" s="1"/>
  <c r="G15" i="23"/>
  <c r="E50" i="22"/>
  <c r="N24" i="23" s="1"/>
  <c r="C21" i="22"/>
  <c r="K44" i="22"/>
  <c r="K28" i="23"/>
  <c r="C15" i="23"/>
  <c r="G34" i="23"/>
  <c r="C32" i="22"/>
  <c r="C33" i="22"/>
  <c r="E38" i="23"/>
  <c r="G43" i="23"/>
  <c r="K22" i="23"/>
  <c r="N13" i="23" s="1"/>
  <c r="C20" i="23"/>
  <c r="G15" i="22"/>
  <c r="E41" i="22"/>
  <c r="K26" i="22"/>
  <c r="E44" i="23"/>
  <c r="C17" i="23"/>
  <c r="E36" i="22"/>
  <c r="I17" i="22"/>
  <c r="I30" i="22"/>
  <c r="K41" i="23"/>
  <c r="C14" i="22"/>
  <c r="G33" i="23"/>
  <c r="K17" i="22"/>
  <c r="I37" i="22"/>
  <c r="E16" i="22"/>
  <c r="G18" i="23"/>
  <c r="K38" i="23"/>
  <c r="G38" i="22"/>
  <c r="E18" i="23"/>
  <c r="K49" i="23"/>
  <c r="G28" i="22"/>
  <c r="G20" i="22"/>
  <c r="K25" i="22"/>
  <c r="G39" i="22"/>
  <c r="E32" i="22"/>
  <c r="K35" i="23"/>
  <c r="E38" i="22"/>
  <c r="C28" i="22"/>
  <c r="G18" i="22"/>
  <c r="I15" i="22"/>
  <c r="C39" i="23"/>
  <c r="G21" i="22"/>
  <c r="G24" i="23"/>
  <c r="C26" i="23"/>
  <c r="E17" i="22"/>
  <c r="I44" i="22"/>
  <c r="K41" i="22"/>
  <c r="G14" i="22"/>
  <c r="I38" i="22"/>
  <c r="I50" i="23"/>
  <c r="C45" i="22"/>
  <c r="K50" i="23"/>
  <c r="G29" i="22"/>
  <c r="G32" i="23"/>
  <c r="I34" i="22"/>
  <c r="I53" i="23"/>
  <c r="N31" i="23" s="1"/>
  <c r="I50" i="22"/>
  <c r="N26" i="23" s="1"/>
  <c r="I39" i="22"/>
  <c r="I14" i="22"/>
  <c r="K44" i="23"/>
  <c r="K18" i="22"/>
  <c r="I42" i="22"/>
  <c r="G42" i="23"/>
  <c r="C31" i="23"/>
  <c r="G22" i="22"/>
  <c r="G28" i="23"/>
  <c r="I33" i="22"/>
  <c r="K26" i="23"/>
  <c r="K35" i="22"/>
  <c r="I48" i="23"/>
  <c r="E42" i="22"/>
  <c r="K36" i="22"/>
  <c r="G45" i="22"/>
  <c r="C24" i="23"/>
  <c r="E25" i="22"/>
  <c r="K21" i="22"/>
  <c r="E43" i="22"/>
  <c r="G42" i="22"/>
  <c r="E29" i="23"/>
  <c r="I18" i="22"/>
  <c r="I29" i="22"/>
  <c r="K32" i="23"/>
  <c r="K31" i="23"/>
  <c r="G43" i="22"/>
  <c r="K24" i="22"/>
  <c r="G29" i="23"/>
  <c r="G26" i="22"/>
  <c r="I22" i="22"/>
  <c r="E24" i="22"/>
  <c r="K33" i="23"/>
  <c r="C25" i="23"/>
  <c r="C27" i="22"/>
  <c r="G38" i="23"/>
  <c r="G22" i="23"/>
  <c r="E28" i="23"/>
  <c r="K15" i="23"/>
  <c r="E34" i="23"/>
  <c r="K20" i="23"/>
  <c r="I28" i="22"/>
  <c r="K27" i="23"/>
  <c r="G25" i="22"/>
  <c r="C44" i="23"/>
  <c r="G44" i="22"/>
  <c r="C36" i="22"/>
  <c r="G27" i="22"/>
  <c r="C36" i="23"/>
  <c r="E39" i="22"/>
  <c r="G36" i="23"/>
  <c r="I20" i="22"/>
  <c r="E31" i="23"/>
  <c r="K37" i="22"/>
  <c r="E22" i="22"/>
  <c r="I26" i="22"/>
  <c r="C44" i="22"/>
  <c r="C34" i="22"/>
  <c r="C37" i="23"/>
  <c r="K21" i="23"/>
  <c r="N12" i="23" s="1"/>
  <c r="K30" i="23"/>
  <c r="K25" i="23"/>
  <c r="E53" i="23"/>
  <c r="N29" i="23" s="1"/>
  <c r="I51" i="23"/>
  <c r="G44" i="23"/>
  <c r="K14" i="23"/>
  <c r="C39" i="22"/>
  <c r="E39" i="23"/>
  <c r="G17" i="23"/>
  <c r="C43" i="23"/>
  <c r="G24" i="22"/>
  <c r="E31" i="22"/>
  <c r="E20" i="23"/>
  <c r="C42" i="23"/>
  <c r="E34" i="22"/>
  <c r="G31" i="22"/>
  <c r="K14" i="22"/>
  <c r="K16" i="23"/>
  <c r="G17" i="22"/>
  <c r="C28" i="23"/>
  <c r="G37" i="23"/>
  <c r="E33" i="23"/>
  <c r="K45" i="22"/>
  <c r="G37" i="22"/>
  <c r="C35" i="23"/>
  <c r="C24" i="22"/>
  <c r="G41" i="22"/>
  <c r="E17" i="23"/>
  <c r="C14" i="23"/>
  <c r="C38" i="23"/>
  <c r="K28" i="22"/>
  <c r="K18" i="23"/>
  <c r="C30" i="23"/>
  <c r="E35" i="22"/>
  <c r="K29" i="23"/>
  <c r="I49" i="23"/>
  <c r="K45" i="23"/>
  <c r="N15" i="23" s="1"/>
  <c r="C41" i="22"/>
  <c r="I32" i="22"/>
  <c r="G27" i="23"/>
  <c r="E27" i="23"/>
  <c r="K38" i="22"/>
  <c r="C17" i="22"/>
  <c r="E30" i="23"/>
  <c r="K37" i="23"/>
  <c r="K31" i="22"/>
  <c r="I43" i="22"/>
  <c r="C53" i="23"/>
  <c r="N28" i="23" s="1"/>
  <c r="G16" i="23"/>
  <c r="E19" i="22"/>
  <c r="E16" i="23"/>
  <c r="K43" i="23"/>
  <c r="C15" i="22"/>
  <c r="C22" i="23"/>
  <c r="C31" i="22"/>
  <c r="E14" i="23"/>
  <c r="G34" i="22"/>
  <c r="K43" i="22"/>
  <c r="E36" i="23"/>
  <c r="C21" i="23"/>
  <c r="E26" i="22"/>
  <c r="C25" i="22"/>
  <c r="E45" i="22"/>
  <c r="I41" i="22"/>
  <c r="K17" i="23"/>
  <c r="K39" i="23"/>
  <c r="N14" i="23" s="1"/>
  <c r="G21" i="23"/>
  <c r="E21" i="22"/>
  <c r="I45" i="22"/>
  <c r="K15" i="22"/>
  <c r="I31" i="22"/>
  <c r="K29" i="22"/>
  <c r="C43" i="22"/>
  <c r="C26" i="22"/>
  <c r="C18" i="23"/>
  <c r="E42" i="23"/>
  <c r="K22" i="22"/>
  <c r="C38" i="22"/>
  <c r="G31" i="23"/>
  <c r="E37" i="23"/>
  <c r="E24" i="23"/>
  <c r="G25" i="23"/>
  <c r="I27" i="22"/>
  <c r="K53" i="23"/>
  <c r="K42" i="23"/>
  <c r="C16" i="22"/>
  <c r="C16" i="23"/>
  <c r="K27" i="22"/>
  <c r="E15" i="22"/>
  <c r="G33" i="22"/>
  <c r="K32" i="22"/>
  <c r="I36" i="22"/>
  <c r="E20" i="22"/>
  <c r="C42" i="22"/>
  <c r="K24" i="23"/>
  <c r="G30" i="23"/>
  <c r="E27" i="22"/>
  <c r="E15" i="23"/>
  <c r="K13" i="23"/>
  <c r="E33" i="22"/>
  <c r="K33" i="22"/>
  <c r="I16" i="22"/>
  <c r="G32" i="22"/>
  <c r="C29" i="22"/>
  <c r="E30" i="22"/>
  <c r="G14" i="23"/>
  <c r="K16" i="22"/>
  <c r="C45" i="23"/>
  <c r="E35" i="23"/>
  <c r="E28" i="22"/>
  <c r="G35" i="23"/>
  <c r="K36" i="23"/>
  <c r="K34" i="22"/>
  <c r="I21" i="22"/>
  <c r="E44" i="22"/>
  <c r="K34" i="23"/>
  <c r="K42" i="22"/>
  <c r="G26" i="23"/>
  <c r="C33" i="23"/>
  <c r="E22" i="23"/>
  <c r="K30" i="22"/>
  <c r="G45" i="23"/>
  <c r="G16" i="22"/>
  <c r="E37" i="22"/>
  <c r="G41" i="23"/>
  <c r="E18" i="22"/>
  <c r="C18" i="22"/>
  <c r="C29" i="23"/>
  <c r="C37" i="22"/>
  <c r="E14" i="22"/>
  <c r="C34" i="23"/>
  <c r="E41" i="23"/>
  <c r="G35" i="22"/>
  <c r="C22" i="22"/>
  <c r="C32" i="23"/>
  <c r="E29" i="22"/>
  <c r="G20" i="23"/>
  <c r="K19" i="23"/>
  <c r="K39" i="22"/>
  <c r="G50" i="22"/>
  <c r="N25" i="23" s="1"/>
  <c r="N17" i="23" l="1"/>
  <c r="N19" i="23" s="1"/>
  <c r="N33" i="23"/>
  <c r="G29" i="8" l="1"/>
  <c r="G29" i="9"/>
  <c r="C29" i="38670"/>
  <c r="E29" i="52"/>
  <c r="C29" i="15" l="1"/>
  <c r="E29" i="15" s="1"/>
  <c r="E29" i="41" s="1"/>
  <c r="E30" i="52"/>
  <c r="E29" i="33"/>
  <c r="B29" i="38670"/>
  <c r="D29" i="70"/>
  <c r="H29" i="20"/>
  <c r="G29" i="47"/>
  <c r="G30" i="47"/>
  <c r="E29" i="7"/>
  <c r="F29" i="52"/>
  <c r="F29" i="78" l="1"/>
  <c r="B29" i="43" s="1"/>
  <c r="E29" i="16"/>
  <c r="F30" i="52"/>
  <c r="I29" i="7"/>
  <c r="G29" i="7"/>
  <c r="H29" i="7"/>
  <c r="F29" i="7"/>
  <c r="J29" i="20"/>
  <c r="D29" i="7"/>
  <c r="F29" i="43" l="1"/>
  <c r="H29" i="43" s="1"/>
  <c r="F30" i="78"/>
  <c r="B30" i="43" s="1"/>
  <c r="F30" i="43" s="1"/>
  <c r="H30" i="43" s="1"/>
  <c r="K29" i="3188"/>
  <c r="C29" i="5" s="1"/>
  <c r="F30" i="45"/>
  <c r="D29" i="9"/>
  <c r="B29" i="39"/>
  <c r="G29" i="38656"/>
  <c r="E29" i="18"/>
  <c r="D29" i="10"/>
  <c r="J29" i="11"/>
  <c r="G29" i="38655"/>
  <c r="J29" i="26"/>
  <c r="H29" i="18"/>
  <c r="D29" i="27"/>
  <c r="D29" i="76" s="1"/>
  <c r="B29" i="76"/>
  <c r="B29" i="41"/>
  <c r="D29" i="19"/>
  <c r="D29" i="26"/>
  <c r="D29" i="8"/>
  <c r="B29" i="18"/>
  <c r="G29" i="26"/>
  <c r="J29" i="38655"/>
  <c r="D29" i="11"/>
  <c r="D29" i="38656"/>
  <c r="F29" i="41"/>
  <c r="G29" i="41" s="1"/>
  <c r="J29" i="9"/>
  <c r="G29" i="10"/>
  <c r="B29" i="40"/>
  <c r="D29" i="40" s="1"/>
  <c r="G29" i="11"/>
  <c r="B29" i="19"/>
  <c r="E29" i="20"/>
  <c r="F29" i="45"/>
  <c r="B29" i="20"/>
  <c r="I29" i="45" l="1"/>
  <c r="G29" i="44" s="1"/>
  <c r="E29" i="42" s="1"/>
  <c r="I30" i="45"/>
  <c r="C30" i="44" s="1"/>
  <c r="C30" i="42" s="1"/>
  <c r="G29" i="20"/>
  <c r="D29" i="20"/>
  <c r="D29" i="38655"/>
  <c r="G29" i="19"/>
  <c r="C29" i="41"/>
  <c r="D29" i="41"/>
  <c r="E29" i="5"/>
  <c r="D31" i="38658"/>
  <c r="J29" i="38667"/>
  <c r="D29" i="18"/>
  <c r="F29" i="19"/>
  <c r="K29" i="38667"/>
  <c r="G29" i="18"/>
  <c r="D29" i="39"/>
  <c r="H29" i="39"/>
  <c r="F29" i="39"/>
  <c r="E29" i="45" l="1"/>
  <c r="H29" i="42" s="1"/>
  <c r="I29" i="44"/>
  <c r="F29" i="42" s="1"/>
  <c r="C29" i="44"/>
  <c r="C29" i="42" s="1"/>
  <c r="G29" i="45"/>
  <c r="E29" i="44"/>
  <c r="D29" i="42" s="1"/>
  <c r="I29" i="43"/>
  <c r="B29" i="42" s="1"/>
  <c r="C29" i="45"/>
  <c r="G29" i="42" s="1"/>
  <c r="I30" i="44"/>
  <c r="F30" i="42" s="1"/>
  <c r="I30" i="43"/>
  <c r="B30" i="42" s="1"/>
  <c r="G30" i="44"/>
  <c r="E30" i="42" s="1"/>
  <c r="C30" i="45"/>
  <c r="G30" i="42" s="1"/>
  <c r="G30" i="45"/>
  <c r="E30" i="44"/>
  <c r="D30" i="42" s="1"/>
  <c r="E30" i="45"/>
  <c r="H30" i="42" s="1"/>
  <c r="I29" i="19"/>
  <c r="L29" i="38667"/>
  <c r="M29" i="38667" s="1"/>
  <c r="I31" i="38658"/>
  <c r="F31" i="38659"/>
  <c r="J29" i="42" l="1"/>
  <c r="J30" i="42"/>
  <c r="J30" i="9" l="1"/>
  <c r="G30" i="9"/>
  <c r="C30" i="38670"/>
  <c r="E30" i="7" l="1"/>
  <c r="G30" i="7" s="1"/>
  <c r="D31" i="70"/>
  <c r="E30" i="33"/>
  <c r="C30" i="15"/>
  <c r="E30" i="15" s="1"/>
  <c r="H30" i="20"/>
  <c r="D30" i="70"/>
  <c r="B30" i="38670"/>
  <c r="F30" i="7" l="1"/>
  <c r="I30" i="7"/>
  <c r="H30" i="7"/>
  <c r="D30" i="7"/>
  <c r="J30" i="20"/>
  <c r="E30" i="41"/>
  <c r="E30" i="16"/>
  <c r="J51" i="9" l="1"/>
  <c r="G51" i="9"/>
  <c r="G50" i="8"/>
  <c r="J50" i="9"/>
  <c r="G50" i="9"/>
  <c r="G46" i="9"/>
  <c r="J45" i="9"/>
  <c r="G45" i="9"/>
  <c r="G44" i="8"/>
  <c r="J44" i="9"/>
  <c r="J43" i="9"/>
  <c r="G43" i="9"/>
  <c r="J42" i="9"/>
  <c r="G42" i="9"/>
  <c r="G41" i="8"/>
  <c r="J41" i="9"/>
  <c r="G41" i="9"/>
  <c r="G40" i="9"/>
  <c r="J39" i="9"/>
  <c r="G39" i="9"/>
  <c r="G38" i="9"/>
  <c r="G37" i="8"/>
  <c r="G37" i="9"/>
  <c r="J36" i="9"/>
  <c r="G36" i="9"/>
  <c r="G35" i="9"/>
  <c r="G34" i="9"/>
  <c r="J33" i="9"/>
  <c r="G33" i="9"/>
  <c r="G32" i="9"/>
  <c r="J31" i="9"/>
  <c r="G31" i="9"/>
  <c r="G28" i="8"/>
  <c r="J28" i="9"/>
  <c r="G28" i="9"/>
  <c r="J27" i="9"/>
  <c r="G27" i="9"/>
  <c r="G26" i="9"/>
  <c r="G25" i="9"/>
  <c r="G24" i="9"/>
  <c r="J23" i="9"/>
  <c r="G23" i="9"/>
  <c r="G22" i="8"/>
  <c r="J22" i="9"/>
  <c r="G22" i="9"/>
  <c r="G21" i="8"/>
  <c r="J21" i="9"/>
  <c r="G21" i="9"/>
  <c r="J20" i="9"/>
  <c r="G20" i="9"/>
  <c r="J19" i="9"/>
  <c r="G19" i="9"/>
  <c r="J18" i="9"/>
  <c r="G18" i="9"/>
  <c r="J17" i="9"/>
  <c r="G17" i="9"/>
  <c r="J16" i="9"/>
  <c r="G16" i="9"/>
  <c r="J15" i="9"/>
  <c r="G15" i="9"/>
  <c r="G14" i="8"/>
  <c r="J14" i="9"/>
  <c r="G13" i="9"/>
  <c r="J12" i="9"/>
  <c r="G12" i="9"/>
  <c r="F48" i="14"/>
  <c r="F51" i="39"/>
  <c r="D51" i="40"/>
  <c r="D51" i="39"/>
  <c r="C51" i="38670"/>
  <c r="C50" i="38670"/>
  <c r="C46" i="38670"/>
  <c r="C45" i="38670"/>
  <c r="C44" i="38670"/>
  <c r="C43" i="38670"/>
  <c r="C42" i="38670"/>
  <c r="C41" i="38670"/>
  <c r="C40" i="38670"/>
  <c r="C39" i="38670"/>
  <c r="C38" i="38670"/>
  <c r="C37" i="38670"/>
  <c r="C36" i="38670"/>
  <c r="C35" i="38670"/>
  <c r="C34" i="38670"/>
  <c r="C33" i="38670"/>
  <c r="C32" i="38670"/>
  <c r="C31" i="38670"/>
  <c r="B31" i="38670" s="1"/>
  <c r="C28" i="38670"/>
  <c r="C27" i="38670"/>
  <c r="C26" i="38670"/>
  <c r="C25" i="38670"/>
  <c r="C24" i="38670"/>
  <c r="C23" i="38670"/>
  <c r="C22" i="38670"/>
  <c r="C21" i="38670"/>
  <c r="C20" i="38670"/>
  <c r="C19" i="38670"/>
  <c r="C18" i="38670"/>
  <c r="C17" i="38670"/>
  <c r="C16" i="38670"/>
  <c r="C15" i="38670"/>
  <c r="C14" i="38670"/>
  <c r="C13" i="38670"/>
  <c r="C12" i="38670"/>
  <c r="H48" i="14" l="1"/>
  <c r="E21" i="33"/>
  <c r="E43" i="33"/>
  <c r="E25" i="33"/>
  <c r="E50" i="33"/>
  <c r="C12" i="15"/>
  <c r="E12" i="15" s="1"/>
  <c r="E12" i="16" s="1"/>
  <c r="C13" i="15"/>
  <c r="E13" i="15" s="1"/>
  <c r="E13" i="41" s="1"/>
  <c r="C14" i="15"/>
  <c r="E14" i="15" s="1"/>
  <c r="E14" i="16" s="1"/>
  <c r="C15" i="15"/>
  <c r="E15" i="15" s="1"/>
  <c r="E15" i="41" s="1"/>
  <c r="C16" i="15"/>
  <c r="E16" i="15" s="1"/>
  <c r="E16" i="41" s="1"/>
  <c r="C17" i="15"/>
  <c r="E17" i="15" s="1"/>
  <c r="E17" i="16" s="1"/>
  <c r="C18" i="15"/>
  <c r="E18" i="15" s="1"/>
  <c r="E18" i="16" s="1"/>
  <c r="C19" i="15"/>
  <c r="E19" i="15" s="1"/>
  <c r="E19" i="41" s="1"/>
  <c r="C20" i="15"/>
  <c r="E20" i="15" s="1"/>
  <c r="E20" i="16" s="1"/>
  <c r="C23" i="15"/>
  <c r="E23" i="15" s="1"/>
  <c r="E23" i="16" s="1"/>
  <c r="C24" i="15"/>
  <c r="E24" i="15" s="1"/>
  <c r="E24" i="41" s="1"/>
  <c r="C25" i="15"/>
  <c r="E25" i="15" s="1"/>
  <c r="E25" i="41" s="1"/>
  <c r="C26" i="15"/>
  <c r="E26" i="15" s="1"/>
  <c r="E26" i="16" s="1"/>
  <c r="C27" i="15"/>
  <c r="E27" i="15" s="1"/>
  <c r="E27" i="41" s="1"/>
  <c r="C31" i="15"/>
  <c r="E31" i="15" s="1"/>
  <c r="E31" i="16" s="1"/>
  <c r="C32" i="15"/>
  <c r="E32" i="15" s="1"/>
  <c r="E32" i="16" s="1"/>
  <c r="C33" i="15"/>
  <c r="E33" i="15" s="1"/>
  <c r="E33" i="41" s="1"/>
  <c r="C34" i="15"/>
  <c r="E34" i="15" s="1"/>
  <c r="E34" i="16" s="1"/>
  <c r="C35" i="15"/>
  <c r="E35" i="15" s="1"/>
  <c r="E35" i="16" s="1"/>
  <c r="C21" i="15"/>
  <c r="E21" i="15" s="1"/>
  <c r="E21" i="16" s="1"/>
  <c r="C22" i="15"/>
  <c r="E22" i="15" s="1"/>
  <c r="E22" i="41" s="1"/>
  <c r="C28" i="15"/>
  <c r="E28" i="15" s="1"/>
  <c r="E28" i="16" s="1"/>
  <c r="G50" i="47"/>
  <c r="G45" i="47"/>
  <c r="G43" i="47"/>
  <c r="G41" i="47"/>
  <c r="G39" i="47"/>
  <c r="G35" i="47"/>
  <c r="G33" i="47"/>
  <c r="G31" i="47"/>
  <c r="G27" i="47"/>
  <c r="G25" i="47"/>
  <c r="G23" i="47"/>
  <c r="G21" i="47"/>
  <c r="G19" i="47"/>
  <c r="G17" i="47"/>
  <c r="G15" i="47"/>
  <c r="D18" i="70"/>
  <c r="D14" i="70"/>
  <c r="G11" i="47"/>
  <c r="B27" i="38670"/>
  <c r="D27" i="70"/>
  <c r="D25" i="70"/>
  <c r="B23" i="38670"/>
  <c r="D23" i="70"/>
  <c r="D21" i="70"/>
  <c r="B19" i="38670"/>
  <c r="D19" i="70"/>
  <c r="D17" i="70"/>
  <c r="B15" i="38670"/>
  <c r="D15" i="70"/>
  <c r="D13" i="70"/>
  <c r="H13" i="20"/>
  <c r="H17" i="20"/>
  <c r="H21" i="20"/>
  <c r="H25" i="20"/>
  <c r="H31" i="20"/>
  <c r="H35" i="20"/>
  <c r="H39" i="20"/>
  <c r="H43" i="20"/>
  <c r="H50" i="20"/>
  <c r="D48" i="14"/>
  <c r="J11" i="9"/>
  <c r="G37" i="47"/>
  <c r="G51" i="47"/>
  <c r="G46" i="47"/>
  <c r="G44" i="47"/>
  <c r="G42" i="47"/>
  <c r="G40" i="47"/>
  <c r="G38" i="47"/>
  <c r="G36" i="47"/>
  <c r="G34" i="47"/>
  <c r="G32" i="47"/>
  <c r="G28" i="47"/>
  <c r="G26" i="47"/>
  <c r="G24" i="47"/>
  <c r="G22" i="47"/>
  <c r="G20" i="47"/>
  <c r="G18" i="47"/>
  <c r="G16" i="47"/>
  <c r="G14" i="47"/>
  <c r="G12" i="47"/>
  <c r="E22" i="33"/>
  <c r="E26" i="33"/>
  <c r="E36" i="33"/>
  <c r="E44" i="33"/>
  <c r="E36" i="7"/>
  <c r="E37" i="7"/>
  <c r="E38" i="7"/>
  <c r="E39" i="7"/>
  <c r="E40" i="7"/>
  <c r="E41" i="7"/>
  <c r="E42" i="7"/>
  <c r="E43" i="7"/>
  <c r="E44" i="7"/>
  <c r="E45" i="7"/>
  <c r="E46" i="7"/>
  <c r="E50" i="7"/>
  <c r="E51" i="7"/>
  <c r="B28" i="38670"/>
  <c r="D28" i="70"/>
  <c r="D16" i="70"/>
  <c r="D51" i="70"/>
  <c r="D46" i="70"/>
  <c r="D44" i="70"/>
  <c r="D42" i="70"/>
  <c r="B40" i="38670"/>
  <c r="D40" i="70"/>
  <c r="D38" i="70"/>
  <c r="D36" i="70"/>
  <c r="D34" i="70"/>
  <c r="D32" i="70"/>
  <c r="H12" i="20"/>
  <c r="H16" i="20"/>
  <c r="H20" i="20"/>
  <c r="H24" i="20"/>
  <c r="H28" i="20"/>
  <c r="H34" i="20"/>
  <c r="H38" i="20"/>
  <c r="H42" i="20"/>
  <c r="H46" i="20"/>
  <c r="C48" i="40"/>
  <c r="G11" i="9"/>
  <c r="C48" i="14"/>
  <c r="G13" i="47"/>
  <c r="E51" i="52"/>
  <c r="E46" i="52"/>
  <c r="F46" i="52" s="1"/>
  <c r="E44" i="52"/>
  <c r="E42" i="52"/>
  <c r="F42" i="52" s="1"/>
  <c r="E40" i="52"/>
  <c r="E38" i="52"/>
  <c r="F38" i="52" s="1"/>
  <c r="E36" i="52"/>
  <c r="E34" i="52"/>
  <c r="F34" i="52" s="1"/>
  <c r="E32" i="52"/>
  <c r="E28" i="52"/>
  <c r="F28" i="52" s="1"/>
  <c r="E26" i="52"/>
  <c r="E24" i="52"/>
  <c r="F24" i="52" s="1"/>
  <c r="E22" i="52"/>
  <c r="E20" i="52"/>
  <c r="F20" i="52" s="1"/>
  <c r="E18" i="52"/>
  <c r="E16" i="52"/>
  <c r="F16" i="52" s="1"/>
  <c r="E14" i="52"/>
  <c r="E12" i="52"/>
  <c r="F12" i="52" s="1"/>
  <c r="E13" i="33"/>
  <c r="E14" i="33"/>
  <c r="E17" i="33"/>
  <c r="E18" i="33"/>
  <c r="E31" i="33"/>
  <c r="E32" i="33"/>
  <c r="E35" i="33"/>
  <c r="E39" i="33"/>
  <c r="E40" i="33"/>
  <c r="E51" i="33"/>
  <c r="B21" i="38670"/>
  <c r="B25" i="38670"/>
  <c r="B38" i="38670"/>
  <c r="B42" i="38670"/>
  <c r="B51" i="38670"/>
  <c r="G48" i="14"/>
  <c r="D24" i="70"/>
  <c r="H11" i="20"/>
  <c r="B48" i="38"/>
  <c r="H15" i="20"/>
  <c r="H19" i="20"/>
  <c r="H23" i="20"/>
  <c r="H27" i="20"/>
  <c r="H33" i="20"/>
  <c r="H37" i="20"/>
  <c r="H41" i="20"/>
  <c r="H45" i="20"/>
  <c r="F48" i="38"/>
  <c r="D48" i="38"/>
  <c r="B48" i="14"/>
  <c r="C11" i="15"/>
  <c r="E12" i="41"/>
  <c r="D26" i="70"/>
  <c r="D22" i="70"/>
  <c r="D20" i="70"/>
  <c r="D12" i="70"/>
  <c r="B50" i="38670"/>
  <c r="D50" i="70"/>
  <c r="B45" i="38670"/>
  <c r="D45" i="70"/>
  <c r="D43" i="70"/>
  <c r="B41" i="38670"/>
  <c r="D41" i="70"/>
  <c r="D39" i="70"/>
  <c r="B37" i="38670"/>
  <c r="D37" i="70"/>
  <c r="B35" i="38670"/>
  <c r="D35" i="70"/>
  <c r="B33" i="38670"/>
  <c r="D33" i="70"/>
  <c r="H14" i="20"/>
  <c r="H18" i="20"/>
  <c r="H22" i="20"/>
  <c r="H26" i="20"/>
  <c r="H32" i="20"/>
  <c r="H36" i="20"/>
  <c r="H40" i="20"/>
  <c r="H44" i="20"/>
  <c r="H51" i="20"/>
  <c r="C11" i="38670"/>
  <c r="E11" i="7"/>
  <c r="E48" i="14"/>
  <c r="B48" i="15"/>
  <c r="G11" i="8"/>
  <c r="E50" i="52"/>
  <c r="E45" i="52"/>
  <c r="E43" i="52"/>
  <c r="E41" i="52"/>
  <c r="E39" i="52"/>
  <c r="E37" i="52"/>
  <c r="E35" i="52"/>
  <c r="E33" i="52"/>
  <c r="E31" i="52"/>
  <c r="E27" i="52"/>
  <c r="E25" i="52"/>
  <c r="E23" i="52"/>
  <c r="E21" i="52"/>
  <c r="E19" i="52"/>
  <c r="E17" i="52"/>
  <c r="E15" i="52"/>
  <c r="E13" i="52"/>
  <c r="E11" i="52"/>
  <c r="E12" i="33"/>
  <c r="E15" i="33"/>
  <c r="E16" i="33"/>
  <c r="E19" i="33"/>
  <c r="E20" i="33"/>
  <c r="E23" i="33"/>
  <c r="E24" i="33"/>
  <c r="E27" i="33"/>
  <c r="E28" i="33"/>
  <c r="E33" i="33"/>
  <c r="E34" i="33"/>
  <c r="E37" i="33"/>
  <c r="E38" i="33"/>
  <c r="E41" i="33"/>
  <c r="E42" i="33"/>
  <c r="E45" i="33"/>
  <c r="E46" i="33"/>
  <c r="B12" i="38670"/>
  <c r="B13" i="38670"/>
  <c r="B14" i="38670"/>
  <c r="B16" i="38670"/>
  <c r="B17" i="38670"/>
  <c r="B18" i="38670"/>
  <c r="B20" i="38670"/>
  <c r="B22" i="38670"/>
  <c r="B24" i="38670"/>
  <c r="B26" i="38670"/>
  <c r="B32" i="38670"/>
  <c r="B34" i="38670"/>
  <c r="B36" i="38670"/>
  <c r="B39" i="38670"/>
  <c r="B43" i="38670"/>
  <c r="B44" i="38670"/>
  <c r="B46" i="38670"/>
  <c r="E12" i="7"/>
  <c r="E13" i="7"/>
  <c r="E14" i="7"/>
  <c r="E15" i="7"/>
  <c r="E16" i="7"/>
  <c r="E17" i="7"/>
  <c r="E18" i="7"/>
  <c r="E19" i="7"/>
  <c r="E20" i="7"/>
  <c r="E21" i="7"/>
  <c r="E22" i="7"/>
  <c r="E23" i="7"/>
  <c r="E24" i="7"/>
  <c r="E25" i="7"/>
  <c r="E26" i="7"/>
  <c r="E27" i="7"/>
  <c r="E28" i="7"/>
  <c r="E31" i="7"/>
  <c r="E32" i="7"/>
  <c r="E33" i="7"/>
  <c r="E34" i="7"/>
  <c r="E35" i="7"/>
  <c r="C36" i="15"/>
  <c r="E36" i="15" s="1"/>
  <c r="C37" i="15"/>
  <c r="E37" i="15" s="1"/>
  <c r="C38" i="15"/>
  <c r="E38" i="15" s="1"/>
  <c r="C39" i="15"/>
  <c r="E39" i="15" s="1"/>
  <c r="C40" i="15"/>
  <c r="E40" i="15" s="1"/>
  <c r="C41" i="15"/>
  <c r="E41" i="15" s="1"/>
  <c r="C42" i="15"/>
  <c r="E42" i="15" s="1"/>
  <c r="C43" i="15"/>
  <c r="E43" i="15" s="1"/>
  <c r="C44" i="15"/>
  <c r="E44" i="15" s="1"/>
  <c r="C45" i="15"/>
  <c r="E45" i="15" s="1"/>
  <c r="C46" i="15"/>
  <c r="E46" i="15" s="1"/>
  <c r="C50" i="15"/>
  <c r="E50" i="15" s="1"/>
  <c r="C51" i="15"/>
  <c r="E51" i="15" s="1"/>
  <c r="E33" i="16" l="1"/>
  <c r="E22" i="16"/>
  <c r="E26" i="41"/>
  <c r="E16" i="16"/>
  <c r="E20" i="41"/>
  <c r="E23" i="41"/>
  <c r="E27" i="16"/>
  <c r="E34" i="41"/>
  <c r="E28" i="41"/>
  <c r="E17" i="41"/>
  <c r="E13" i="16"/>
  <c r="E35" i="41"/>
  <c r="F12" i="78"/>
  <c r="B12" i="43" s="1"/>
  <c r="F12" i="43" s="1"/>
  <c r="H12" i="43" s="1"/>
  <c r="E14" i="41"/>
  <c r="E31" i="41"/>
  <c r="E24" i="16"/>
  <c r="E18" i="41"/>
  <c r="F20" i="78"/>
  <c r="B20" i="43" s="1"/>
  <c r="F20" i="43" s="1"/>
  <c r="H20" i="43" s="1"/>
  <c r="F28" i="78"/>
  <c r="B28" i="43" s="1"/>
  <c r="F28" i="43" s="1"/>
  <c r="H28" i="43" s="1"/>
  <c r="F38" i="78"/>
  <c r="B38" i="43" s="1"/>
  <c r="F38" i="43" s="1"/>
  <c r="H38" i="43" s="1"/>
  <c r="F46" i="78"/>
  <c r="B46" i="43" s="1"/>
  <c r="E25" i="16"/>
  <c r="F26" i="52"/>
  <c r="F26" i="78" s="1"/>
  <c r="B26" i="43" s="1"/>
  <c r="F26" i="43" s="1"/>
  <c r="H26" i="43" s="1"/>
  <c r="F36" i="52"/>
  <c r="F36" i="78" s="1"/>
  <c r="B36" i="43" s="1"/>
  <c r="F36" i="43" s="1"/>
  <c r="H36" i="43" s="1"/>
  <c r="F44" i="52"/>
  <c r="F44" i="78" s="1"/>
  <c r="B44" i="43" s="1"/>
  <c r="F44" i="43" s="1"/>
  <c r="H44" i="43" s="1"/>
  <c r="F24" i="78"/>
  <c r="B24" i="43" s="1"/>
  <c r="F24" i="43" s="1"/>
  <c r="H24" i="43" s="1"/>
  <c r="F42" i="78"/>
  <c r="B42" i="43" s="1"/>
  <c r="F42" i="43" s="1"/>
  <c r="H42" i="43" s="1"/>
  <c r="F18" i="52"/>
  <c r="F18" i="78" s="1"/>
  <c r="B18" i="43" s="1"/>
  <c r="F18" i="43" s="1"/>
  <c r="H18" i="43" s="1"/>
  <c r="E21" i="41"/>
  <c r="E19" i="16"/>
  <c r="E15" i="16"/>
  <c r="F34" i="78"/>
  <c r="B34" i="43" s="1"/>
  <c r="F34" i="43" s="1"/>
  <c r="H34" i="43" s="1"/>
  <c r="E32" i="41"/>
  <c r="F16" i="78"/>
  <c r="B16" i="43" s="1"/>
  <c r="F16" i="43" s="1"/>
  <c r="H16" i="43" s="1"/>
  <c r="C48" i="46"/>
  <c r="A54" i="46" s="1"/>
  <c r="F14" i="52"/>
  <c r="K30" i="3188"/>
  <c r="C30" i="5" s="1"/>
  <c r="B15" i="41"/>
  <c r="F19" i="52"/>
  <c r="F27" i="52"/>
  <c r="F37" i="52"/>
  <c r="F45" i="52"/>
  <c r="F13" i="52"/>
  <c r="F13" i="78" s="1"/>
  <c r="B13" i="43" s="1"/>
  <c r="F13" i="43" s="1"/>
  <c r="H13" i="43" s="1"/>
  <c r="F51" i="52"/>
  <c r="F22" i="52"/>
  <c r="F22" i="78" s="1"/>
  <c r="B22" i="43" s="1"/>
  <c r="F22" i="43" s="1"/>
  <c r="H22" i="43" s="1"/>
  <c r="F39" i="52"/>
  <c r="F31" i="52"/>
  <c r="G27" i="38656"/>
  <c r="G36" i="26"/>
  <c r="J50" i="11"/>
  <c r="F32" i="52"/>
  <c r="F17" i="52"/>
  <c r="F25" i="52"/>
  <c r="F35" i="52"/>
  <c r="F43" i="52"/>
  <c r="F21" i="52"/>
  <c r="F11" i="52"/>
  <c r="F11" i="78" s="1"/>
  <c r="F40" i="52"/>
  <c r="D25" i="8"/>
  <c r="B28" i="41"/>
  <c r="B33" i="41"/>
  <c r="G50" i="26"/>
  <c r="J36" i="11"/>
  <c r="F50" i="52"/>
  <c r="F15" i="52"/>
  <c r="F23" i="52"/>
  <c r="F33" i="52"/>
  <c r="F41" i="52"/>
  <c r="D32" i="38656"/>
  <c r="J30" i="11"/>
  <c r="G51" i="26"/>
  <c r="G35" i="11"/>
  <c r="J37" i="38655"/>
  <c r="D13" i="8"/>
  <c r="J30" i="26"/>
  <c r="D30" i="11"/>
  <c r="E30" i="20"/>
  <c r="B30" i="41"/>
  <c r="G30" i="38655"/>
  <c r="B30" i="39"/>
  <c r="F30" i="41"/>
  <c r="G30" i="41" s="1"/>
  <c r="F17" i="41"/>
  <c r="G17" i="41" s="1"/>
  <c r="F39" i="45"/>
  <c r="F50" i="45"/>
  <c r="E51" i="16"/>
  <c r="E51" i="41"/>
  <c r="E44" i="41"/>
  <c r="E44" i="16"/>
  <c r="E40" i="16"/>
  <c r="E40" i="41"/>
  <c r="E36" i="16"/>
  <c r="E36" i="41"/>
  <c r="H27" i="7"/>
  <c r="I27" i="7"/>
  <c r="F27" i="7"/>
  <c r="G27" i="7"/>
  <c r="F25" i="7"/>
  <c r="H25" i="7"/>
  <c r="I25" i="7"/>
  <c r="D25" i="7"/>
  <c r="G25" i="7"/>
  <c r="F23" i="7"/>
  <c r="I23" i="7"/>
  <c r="H23" i="7"/>
  <c r="G23" i="7"/>
  <c r="D23" i="7"/>
  <c r="H20" i="7"/>
  <c r="F20" i="7"/>
  <c r="I20" i="7"/>
  <c r="D20" i="7"/>
  <c r="G20" i="7"/>
  <c r="D18" i="7"/>
  <c r="H18" i="7"/>
  <c r="F18" i="7"/>
  <c r="G18" i="7"/>
  <c r="I18" i="7"/>
  <c r="G16" i="7"/>
  <c r="H16" i="7"/>
  <c r="F16" i="7"/>
  <c r="I16" i="7"/>
  <c r="D11" i="7"/>
  <c r="G11" i="7"/>
  <c r="E48" i="7"/>
  <c r="F11" i="7"/>
  <c r="I11" i="7"/>
  <c r="H11" i="7"/>
  <c r="J44" i="20"/>
  <c r="J36" i="20"/>
  <c r="J26" i="20"/>
  <c r="J18" i="20"/>
  <c r="J41" i="20"/>
  <c r="J33" i="20"/>
  <c r="J23" i="20"/>
  <c r="J15" i="20"/>
  <c r="D44" i="7"/>
  <c r="G44" i="7"/>
  <c r="F44" i="7"/>
  <c r="H44" i="7"/>
  <c r="I44" i="7"/>
  <c r="G42" i="7"/>
  <c r="H42" i="7"/>
  <c r="F42" i="7"/>
  <c r="I42" i="7"/>
  <c r="G37" i="7"/>
  <c r="H37" i="7"/>
  <c r="F37" i="7"/>
  <c r="I37" i="7"/>
  <c r="J50" i="20"/>
  <c r="J39" i="20"/>
  <c r="J31" i="20"/>
  <c r="J21" i="20"/>
  <c r="J13" i="20"/>
  <c r="G48" i="47"/>
  <c r="D30" i="38656"/>
  <c r="J30" i="38655"/>
  <c r="F46" i="41"/>
  <c r="G46" i="41" s="1"/>
  <c r="D39" i="38656"/>
  <c r="D30" i="8"/>
  <c r="J22" i="11"/>
  <c r="G19" i="11"/>
  <c r="E45" i="41"/>
  <c r="E45" i="16"/>
  <c r="E41" i="41"/>
  <c r="E41" i="16"/>
  <c r="E37" i="41"/>
  <c r="E37" i="16"/>
  <c r="G34" i="7"/>
  <c r="I34" i="7"/>
  <c r="H34" i="7"/>
  <c r="F34" i="7"/>
  <c r="I32" i="7"/>
  <c r="H32" i="7"/>
  <c r="G32" i="7"/>
  <c r="F32" i="7"/>
  <c r="G14" i="7"/>
  <c r="D14" i="7"/>
  <c r="H14" i="7"/>
  <c r="F14" i="7"/>
  <c r="I14" i="7"/>
  <c r="F12" i="7"/>
  <c r="I12" i="7"/>
  <c r="H12" i="7"/>
  <c r="G12" i="7"/>
  <c r="D12" i="7"/>
  <c r="B11" i="38670"/>
  <c r="B48" i="38670" s="1"/>
  <c r="C48" i="38670"/>
  <c r="H48" i="20"/>
  <c r="J42" i="20"/>
  <c r="J34" i="20"/>
  <c r="J24" i="20"/>
  <c r="J16" i="20"/>
  <c r="F50" i="7"/>
  <c r="G50" i="7"/>
  <c r="D50" i="7"/>
  <c r="I50" i="7"/>
  <c r="H50" i="7"/>
  <c r="H45" i="7"/>
  <c r="I45" i="7"/>
  <c r="F45" i="7"/>
  <c r="G45" i="7"/>
  <c r="G40" i="7"/>
  <c r="D40" i="7"/>
  <c r="H40" i="7"/>
  <c r="I40" i="7"/>
  <c r="F40" i="7"/>
  <c r="G38" i="7"/>
  <c r="F38" i="7"/>
  <c r="I38" i="7"/>
  <c r="H38" i="7"/>
  <c r="D26" i="38656"/>
  <c r="B30" i="20"/>
  <c r="G30" i="26"/>
  <c r="D17" i="27"/>
  <c r="D17" i="76" s="1"/>
  <c r="B17" i="76"/>
  <c r="F27" i="45"/>
  <c r="D30" i="9"/>
  <c r="D18" i="8"/>
  <c r="D20" i="8"/>
  <c r="B37" i="41"/>
  <c r="B16" i="41"/>
  <c r="B30" i="19"/>
  <c r="G30" i="10"/>
  <c r="D30" i="26"/>
  <c r="D30" i="19"/>
  <c r="D30" i="27"/>
  <c r="D30" i="76" s="1"/>
  <c r="B30" i="76"/>
  <c r="F38" i="45"/>
  <c r="E46" i="41"/>
  <c r="E46" i="16"/>
  <c r="E42" i="16"/>
  <c r="E42" i="41"/>
  <c r="E38" i="41"/>
  <c r="E38" i="16"/>
  <c r="G28" i="7"/>
  <c r="F28" i="7"/>
  <c r="D28" i="7"/>
  <c r="H28" i="7"/>
  <c r="I28" i="7"/>
  <c r="H26" i="7"/>
  <c r="I26" i="7"/>
  <c r="G26" i="7"/>
  <c r="F26" i="7"/>
  <c r="I24" i="7"/>
  <c r="G24" i="7"/>
  <c r="F24" i="7"/>
  <c r="H24" i="7"/>
  <c r="H21" i="7"/>
  <c r="G21" i="7"/>
  <c r="F21" i="7"/>
  <c r="I21" i="7"/>
  <c r="G19" i="7"/>
  <c r="D19" i="7"/>
  <c r="H19" i="7"/>
  <c r="I19" i="7"/>
  <c r="F19" i="7"/>
  <c r="I17" i="7"/>
  <c r="F17" i="7"/>
  <c r="D17" i="7"/>
  <c r="G17" i="7"/>
  <c r="H17" i="7"/>
  <c r="F15" i="7"/>
  <c r="G15" i="7"/>
  <c r="D15" i="7"/>
  <c r="I15" i="7"/>
  <c r="H15" i="7"/>
  <c r="J51" i="20"/>
  <c r="J40" i="20"/>
  <c r="J32" i="20"/>
  <c r="J22" i="20"/>
  <c r="J14" i="20"/>
  <c r="J45" i="20"/>
  <c r="J37" i="20"/>
  <c r="J27" i="20"/>
  <c r="J19" i="20"/>
  <c r="F51" i="7"/>
  <c r="G51" i="7"/>
  <c r="I51" i="7"/>
  <c r="D51" i="7"/>
  <c r="H51" i="7"/>
  <c r="F43" i="7"/>
  <c r="I43" i="7"/>
  <c r="G43" i="7"/>
  <c r="H43" i="7"/>
  <c r="D43" i="7"/>
  <c r="G36" i="7"/>
  <c r="I36" i="7"/>
  <c r="D36" i="7"/>
  <c r="F36" i="7"/>
  <c r="H36" i="7"/>
  <c r="J43" i="20"/>
  <c r="J35" i="20"/>
  <c r="J25" i="20"/>
  <c r="J17" i="20"/>
  <c r="D48" i="38670"/>
  <c r="F24" i="41"/>
  <c r="G24" i="41" s="1"/>
  <c r="F45" i="41"/>
  <c r="G45" i="41" s="1"/>
  <c r="G30" i="11"/>
  <c r="G32" i="26"/>
  <c r="F25" i="45"/>
  <c r="G26" i="11"/>
  <c r="B34" i="41"/>
  <c r="B44" i="41"/>
  <c r="B25" i="41"/>
  <c r="B21" i="41"/>
  <c r="E30" i="18"/>
  <c r="D30" i="10"/>
  <c r="B30" i="40"/>
  <c r="D30" i="40" s="1"/>
  <c r="H30" i="18"/>
  <c r="G30" i="38656"/>
  <c r="F41" i="45"/>
  <c r="E50" i="41"/>
  <c r="E50" i="16"/>
  <c r="E43" i="16"/>
  <c r="E43" i="41"/>
  <c r="E39" i="41"/>
  <c r="E39" i="16"/>
  <c r="G35" i="7"/>
  <c r="I35" i="7"/>
  <c r="H35" i="7"/>
  <c r="F35" i="7"/>
  <c r="I33" i="7"/>
  <c r="H33" i="7"/>
  <c r="G33" i="7"/>
  <c r="F33" i="7"/>
  <c r="F31" i="7"/>
  <c r="G31" i="7"/>
  <c r="I31" i="7"/>
  <c r="H31" i="7"/>
  <c r="H22" i="7"/>
  <c r="G22" i="7"/>
  <c r="I22" i="7"/>
  <c r="F22" i="7"/>
  <c r="I13" i="7"/>
  <c r="G13" i="7"/>
  <c r="H13" i="7"/>
  <c r="F13" i="7"/>
  <c r="C48" i="15"/>
  <c r="E11" i="15"/>
  <c r="J11" i="20" s="1"/>
  <c r="J46" i="20"/>
  <c r="J38" i="20"/>
  <c r="J28" i="20"/>
  <c r="J20" i="20"/>
  <c r="J12" i="20"/>
  <c r="G46" i="7"/>
  <c r="I46" i="7"/>
  <c r="F46" i="7"/>
  <c r="H46" i="7"/>
  <c r="H41" i="7"/>
  <c r="F41" i="7"/>
  <c r="I41" i="7"/>
  <c r="G41" i="7"/>
  <c r="H39" i="7"/>
  <c r="G39" i="7"/>
  <c r="I39" i="7"/>
  <c r="F39" i="7"/>
  <c r="D39" i="7"/>
  <c r="D11" i="70"/>
  <c r="E11" i="33"/>
  <c r="E48" i="33" s="1"/>
  <c r="D38" i="11"/>
  <c r="D13" i="7"/>
  <c r="D51" i="11"/>
  <c r="D46" i="11"/>
  <c r="D37" i="11"/>
  <c r="D43" i="11"/>
  <c r="K37" i="3188"/>
  <c r="C37" i="5" s="1"/>
  <c r="D34" i="7"/>
  <c r="K38" i="3188"/>
  <c r="C38" i="5" s="1"/>
  <c r="D26" i="7"/>
  <c r="K50" i="3188"/>
  <c r="C50" i="5" s="1"/>
  <c r="K46" i="3188"/>
  <c r="C46" i="5" s="1"/>
  <c r="K45" i="3188"/>
  <c r="C45" i="5" s="1"/>
  <c r="K42" i="3188"/>
  <c r="C42" i="5" s="1"/>
  <c r="K44" i="3188"/>
  <c r="C44" i="5" s="1"/>
  <c r="F15" i="78" l="1"/>
  <c r="B15" i="43" s="1"/>
  <c r="F15" i="43" s="1"/>
  <c r="H15" i="43" s="1"/>
  <c r="F23" i="78"/>
  <c r="B23" i="43" s="1"/>
  <c r="F23" i="43" s="1"/>
  <c r="H23" i="43" s="1"/>
  <c r="F21" i="78"/>
  <c r="B21" i="43" s="1"/>
  <c r="F21" i="43" s="1"/>
  <c r="H21" i="43" s="1"/>
  <c r="F17" i="78"/>
  <c r="B17" i="43" s="1"/>
  <c r="F17" i="43" s="1"/>
  <c r="H17" i="43" s="1"/>
  <c r="F27" i="78"/>
  <c r="B27" i="43" s="1"/>
  <c r="F27" i="43" s="1"/>
  <c r="H27" i="43" s="1"/>
  <c r="F43" i="78"/>
  <c r="B43" i="43" s="1"/>
  <c r="F43" i="43" s="1"/>
  <c r="H43" i="43" s="1"/>
  <c r="F32" i="78"/>
  <c r="B32" i="43" s="1"/>
  <c r="F32" i="43" s="1"/>
  <c r="H32" i="43" s="1"/>
  <c r="F19" i="78"/>
  <c r="B19" i="43" s="1"/>
  <c r="F19" i="43" s="1"/>
  <c r="H19" i="43" s="1"/>
  <c r="F33" i="78"/>
  <c r="B33" i="43" s="1"/>
  <c r="F33" i="43" s="1"/>
  <c r="H33" i="43" s="1"/>
  <c r="F25" i="78"/>
  <c r="B25" i="43" s="1"/>
  <c r="F25" i="43" s="1"/>
  <c r="H25" i="43" s="1"/>
  <c r="I25" i="45" s="1"/>
  <c r="G25" i="45" s="1"/>
  <c r="F39" i="78"/>
  <c r="B39" i="43" s="1"/>
  <c r="F39" i="43" s="1"/>
  <c r="H39" i="43" s="1"/>
  <c r="I39" i="45" s="1"/>
  <c r="F51" i="78"/>
  <c r="B51" i="43" s="1"/>
  <c r="F51" i="43" s="1"/>
  <c r="H51" i="43" s="1"/>
  <c r="F37" i="78"/>
  <c r="B37" i="43" s="1"/>
  <c r="F37" i="43" s="1"/>
  <c r="H37" i="43" s="1"/>
  <c r="F40" i="78"/>
  <c r="B40" i="43" s="1"/>
  <c r="F40" i="43" s="1"/>
  <c r="H40" i="43" s="1"/>
  <c r="F31" i="78"/>
  <c r="B31" i="43" s="1"/>
  <c r="F31" i="43" s="1"/>
  <c r="H31" i="43" s="1"/>
  <c r="F41" i="78"/>
  <c r="B41" i="43" s="1"/>
  <c r="F41" i="43" s="1"/>
  <c r="H41" i="43" s="1"/>
  <c r="I41" i="45" s="1"/>
  <c r="I41" i="43" s="1"/>
  <c r="B41" i="42" s="1"/>
  <c r="F50" i="78"/>
  <c r="B50" i="43" s="1"/>
  <c r="F50" i="43" s="1"/>
  <c r="H50" i="43" s="1"/>
  <c r="I50" i="45" s="1"/>
  <c r="E50" i="44" s="1"/>
  <c r="D50" i="42" s="1"/>
  <c r="F35" i="78"/>
  <c r="B35" i="43" s="1"/>
  <c r="F35" i="43" s="1"/>
  <c r="H35" i="43" s="1"/>
  <c r="F45" i="78"/>
  <c r="B45" i="43" s="1"/>
  <c r="F45" i="43" s="1"/>
  <c r="H45" i="43" s="1"/>
  <c r="F14" i="78"/>
  <c r="B14" i="43" s="1"/>
  <c r="F14" i="43" s="1"/>
  <c r="H14" i="43" s="1"/>
  <c r="F18" i="45"/>
  <c r="I18" i="45" s="1"/>
  <c r="I18" i="44" s="1"/>
  <c r="F18" i="42" s="1"/>
  <c r="F40" i="45"/>
  <c r="F23" i="45"/>
  <c r="F44" i="45"/>
  <c r="I44" i="45" s="1"/>
  <c r="G44" i="45" s="1"/>
  <c r="F43" i="45"/>
  <c r="F16" i="45"/>
  <c r="I16" i="45" s="1"/>
  <c r="G16" i="45" s="1"/>
  <c r="F37" i="45"/>
  <c r="F17" i="45"/>
  <c r="K13" i="3188"/>
  <c r="C13" i="5" s="1"/>
  <c r="K17" i="3188"/>
  <c r="C17" i="5" s="1"/>
  <c r="K36" i="3188"/>
  <c r="C36" i="5" s="1"/>
  <c r="K21" i="3188"/>
  <c r="C21" i="5" s="1"/>
  <c r="K51" i="3188"/>
  <c r="C51" i="5" s="1"/>
  <c r="K40" i="3188"/>
  <c r="C40" i="5" s="1"/>
  <c r="K26" i="3188"/>
  <c r="C26" i="5" s="1"/>
  <c r="K39" i="3188"/>
  <c r="C39" i="5" s="1"/>
  <c r="K19" i="3188"/>
  <c r="C19" i="5" s="1"/>
  <c r="K24" i="3188"/>
  <c r="C24" i="5" s="1"/>
  <c r="K16" i="3188"/>
  <c r="C16" i="5" s="1"/>
  <c r="E35" i="20"/>
  <c r="G35" i="20" s="1"/>
  <c r="K20" i="3188"/>
  <c r="C20" i="5" s="1"/>
  <c r="E27" i="20"/>
  <c r="G27" i="20" s="1"/>
  <c r="F46" i="45"/>
  <c r="F32" i="45"/>
  <c r="F14" i="45"/>
  <c r="F35" i="45"/>
  <c r="F19" i="45"/>
  <c r="F46" i="43"/>
  <c r="H46" i="43" s="1"/>
  <c r="K15" i="3188"/>
  <c r="C15" i="5" s="1"/>
  <c r="K43" i="3188"/>
  <c r="C43" i="5" s="1"/>
  <c r="K33" i="3188"/>
  <c r="C33" i="5" s="1"/>
  <c r="K32" i="3188"/>
  <c r="C32" i="5" s="1"/>
  <c r="K23" i="3188"/>
  <c r="C23" i="5" s="1"/>
  <c r="B46" i="20"/>
  <c r="D46" i="20" s="1"/>
  <c r="F11" i="45"/>
  <c r="D32" i="38658"/>
  <c r="F32" i="38659" s="1"/>
  <c r="E48" i="52"/>
  <c r="K14" i="3188"/>
  <c r="C14" i="5" s="1"/>
  <c r="F42" i="45"/>
  <c r="I42" i="45" s="1"/>
  <c r="C42" i="45" s="1"/>
  <c r="G42" i="42" s="1"/>
  <c r="K25" i="3188"/>
  <c r="C25" i="5" s="1"/>
  <c r="K41" i="3188"/>
  <c r="C41" i="5" s="1"/>
  <c r="K34" i="3188"/>
  <c r="C34" i="5" s="1"/>
  <c r="K28" i="3188"/>
  <c r="C28" i="5" s="1"/>
  <c r="K31" i="3188"/>
  <c r="C31" i="5" s="1"/>
  <c r="K35" i="3188"/>
  <c r="C35" i="5" s="1"/>
  <c r="K18" i="3188"/>
  <c r="C18" i="5" s="1"/>
  <c r="K27" i="3188"/>
  <c r="C27" i="5" s="1"/>
  <c r="K22" i="3188"/>
  <c r="C22" i="5" s="1"/>
  <c r="F24" i="45"/>
  <c r="I24" i="45" s="1"/>
  <c r="G24" i="45" s="1"/>
  <c r="B32" i="39"/>
  <c r="D51" i="9"/>
  <c r="D33" i="7"/>
  <c r="D11" i="11"/>
  <c r="E15" i="18"/>
  <c r="D15" i="10"/>
  <c r="D43" i="26"/>
  <c r="D43" i="19"/>
  <c r="J43" i="26"/>
  <c r="G36" i="8"/>
  <c r="D32" i="26"/>
  <c r="D17" i="9"/>
  <c r="D44" i="8"/>
  <c r="B44" i="18"/>
  <c r="D20" i="9"/>
  <c r="D42" i="7"/>
  <c r="J12" i="11"/>
  <c r="G11" i="10"/>
  <c r="D13" i="11"/>
  <c r="B20" i="18"/>
  <c r="J37" i="9"/>
  <c r="D41" i="7"/>
  <c r="J34" i="9"/>
  <c r="D13" i="9"/>
  <c r="D26" i="9"/>
  <c r="G15" i="10"/>
  <c r="G12" i="10"/>
  <c r="G15" i="11"/>
  <c r="B43" i="41"/>
  <c r="D15" i="9"/>
  <c r="G14" i="9"/>
  <c r="B41" i="18"/>
  <c r="D41" i="8"/>
  <c r="J35" i="9"/>
  <c r="E11" i="18"/>
  <c r="D11" i="10"/>
  <c r="D14" i="11"/>
  <c r="D15" i="11"/>
  <c r="I38" i="45"/>
  <c r="G38" i="45" s="1"/>
  <c r="G24" i="8"/>
  <c r="D51" i="8"/>
  <c r="B51" i="18"/>
  <c r="D39" i="9"/>
  <c r="E13" i="18"/>
  <c r="D13" i="10"/>
  <c r="D12" i="11"/>
  <c r="E14" i="18"/>
  <c r="D14" i="10"/>
  <c r="D17" i="11"/>
  <c r="D18" i="11"/>
  <c r="G12" i="11"/>
  <c r="B43" i="19"/>
  <c r="B43" i="40"/>
  <c r="D43" i="40" s="1"/>
  <c r="J15" i="11"/>
  <c r="G17" i="10"/>
  <c r="D24" i="11"/>
  <c r="D22" i="11"/>
  <c r="D20" i="11"/>
  <c r="B13" i="18"/>
  <c r="B43" i="39"/>
  <c r="B43" i="76"/>
  <c r="D43" i="27"/>
  <c r="D43" i="76" s="1"/>
  <c r="G14" i="10"/>
  <c r="E18" i="18"/>
  <c r="D18" i="10"/>
  <c r="G25" i="8"/>
  <c r="G20" i="11"/>
  <c r="G22" i="10"/>
  <c r="J23" i="11"/>
  <c r="E19" i="18"/>
  <c r="D19" i="10"/>
  <c r="E17" i="18"/>
  <c r="D17" i="10"/>
  <c r="D34" i="9"/>
  <c r="J40" i="9"/>
  <c r="G23" i="8"/>
  <c r="B43" i="20"/>
  <c r="D45" i="38658"/>
  <c r="G30" i="8"/>
  <c r="E16" i="18"/>
  <c r="D16" i="10"/>
  <c r="J19" i="11"/>
  <c r="J16" i="11"/>
  <c r="F43" i="41"/>
  <c r="G43" i="41" s="1"/>
  <c r="G44" i="9"/>
  <c r="D33" i="9"/>
  <c r="J13" i="11"/>
  <c r="E42" i="18"/>
  <c r="D42" i="10"/>
  <c r="B12" i="19"/>
  <c r="H12" i="18"/>
  <c r="H20" i="18"/>
  <c r="H35" i="18"/>
  <c r="H41" i="18"/>
  <c r="D15" i="26"/>
  <c r="D15" i="19"/>
  <c r="D23" i="26"/>
  <c r="D34" i="26"/>
  <c r="D34" i="19"/>
  <c r="G33" i="38655"/>
  <c r="G37" i="38655"/>
  <c r="B12" i="40"/>
  <c r="D12" i="40" s="1"/>
  <c r="B18" i="40"/>
  <c r="D18" i="40" s="1"/>
  <c r="B20" i="40"/>
  <c r="D20" i="40" s="1"/>
  <c r="B23" i="40"/>
  <c r="D23" i="40" s="1"/>
  <c r="B25" i="40"/>
  <c r="D25" i="40" s="1"/>
  <c r="B28" i="40"/>
  <c r="D28" i="40" s="1"/>
  <c r="B34" i="40"/>
  <c r="D34" i="40" s="1"/>
  <c r="B37" i="39"/>
  <c r="B42" i="40"/>
  <c r="D42" i="40" s="1"/>
  <c r="B50" i="40"/>
  <c r="D15" i="38658"/>
  <c r="D39" i="38658"/>
  <c r="H24" i="18"/>
  <c r="H28" i="18"/>
  <c r="D38" i="10"/>
  <c r="J36" i="26"/>
  <c r="J46" i="26"/>
  <c r="D12" i="38656"/>
  <c r="G46" i="38655"/>
  <c r="B31" i="40"/>
  <c r="D31" i="40" s="1"/>
  <c r="E13" i="20"/>
  <c r="H15" i="18"/>
  <c r="H46" i="18"/>
  <c r="B51" i="40"/>
  <c r="B31" i="39"/>
  <c r="B35" i="39"/>
  <c r="D41" i="19"/>
  <c r="D41" i="26"/>
  <c r="G38" i="38655"/>
  <c r="B42" i="39"/>
  <c r="E20" i="18"/>
  <c r="D20" i="10"/>
  <c r="G43" i="38656"/>
  <c r="B33" i="18"/>
  <c r="D33" i="8"/>
  <c r="J14" i="11"/>
  <c r="H23" i="18"/>
  <c r="D38" i="38658"/>
  <c r="G12" i="26"/>
  <c r="G17" i="38655"/>
  <c r="G36" i="38655"/>
  <c r="J24" i="26"/>
  <c r="D39" i="19"/>
  <c r="D39" i="26"/>
  <c r="D28" i="19"/>
  <c r="D28" i="26"/>
  <c r="D16" i="26"/>
  <c r="G12" i="8"/>
  <c r="G43" i="10"/>
  <c r="G18" i="10"/>
  <c r="D32" i="9"/>
  <c r="J33" i="26"/>
  <c r="J44" i="26"/>
  <c r="G19" i="38655"/>
  <c r="J38" i="9"/>
  <c r="J15" i="26"/>
  <c r="H50" i="18"/>
  <c r="D23" i="9"/>
  <c r="J13" i="26"/>
  <c r="B26" i="20"/>
  <c r="E38" i="20"/>
  <c r="E44" i="20"/>
  <c r="E45" i="20"/>
  <c r="B51" i="41"/>
  <c r="C51" i="41" s="1"/>
  <c r="J50" i="26"/>
  <c r="B26" i="19"/>
  <c r="E12" i="20"/>
  <c r="D34" i="27"/>
  <c r="D34" i="76" s="1"/>
  <c r="B34" i="76"/>
  <c r="E44" i="18"/>
  <c r="D44" i="10"/>
  <c r="G13" i="26"/>
  <c r="G17" i="26"/>
  <c r="G16" i="38656"/>
  <c r="G25" i="10"/>
  <c r="G39" i="8"/>
  <c r="F23" i="41"/>
  <c r="G23" i="41" s="1"/>
  <c r="J41" i="11"/>
  <c r="B41" i="20"/>
  <c r="B39" i="18"/>
  <c r="D39" i="8"/>
  <c r="G31" i="8"/>
  <c r="G40" i="10"/>
  <c r="B17" i="40"/>
  <c r="D17" i="40" s="1"/>
  <c r="B40" i="19"/>
  <c r="G37" i="26"/>
  <c r="D33" i="38656"/>
  <c r="F14" i="41"/>
  <c r="G14" i="41" s="1"/>
  <c r="F18" i="41"/>
  <c r="G18" i="41" s="1"/>
  <c r="E23" i="20"/>
  <c r="F35" i="41"/>
  <c r="G35" i="41" s="1"/>
  <c r="B16" i="40"/>
  <c r="D16" i="40" s="1"/>
  <c r="B41" i="41"/>
  <c r="B50" i="41"/>
  <c r="D37" i="9"/>
  <c r="D45" i="9"/>
  <c r="G37" i="10"/>
  <c r="J22" i="38655"/>
  <c r="B13" i="41"/>
  <c r="D35" i="27"/>
  <c r="D35" i="76" s="1"/>
  <c r="B35" i="76"/>
  <c r="G44" i="38656"/>
  <c r="G12" i="38656"/>
  <c r="G40" i="38656"/>
  <c r="E36" i="20"/>
  <c r="J14" i="26"/>
  <c r="D28" i="11"/>
  <c r="B28" i="76"/>
  <c r="D28" i="27"/>
  <c r="D28" i="76" s="1"/>
  <c r="B27" i="20"/>
  <c r="F32" i="41"/>
  <c r="G32" i="41" s="1"/>
  <c r="G28" i="11"/>
  <c r="J45" i="38655"/>
  <c r="G19" i="26"/>
  <c r="G23" i="11"/>
  <c r="G46" i="38656"/>
  <c r="B15" i="20"/>
  <c r="B23" i="20"/>
  <c r="D12" i="27"/>
  <c r="D12" i="76" s="1"/>
  <c r="B12" i="76"/>
  <c r="B43" i="18"/>
  <c r="D43" i="8"/>
  <c r="G38" i="8"/>
  <c r="B31" i="18"/>
  <c r="D31" i="8"/>
  <c r="E36" i="18"/>
  <c r="D36" i="10"/>
  <c r="G42" i="10"/>
  <c r="B13" i="20"/>
  <c r="D21" i="38656"/>
  <c r="B17" i="19"/>
  <c r="B25" i="19"/>
  <c r="D24" i="9"/>
  <c r="D41" i="38656"/>
  <c r="D40" i="26"/>
  <c r="D26" i="38658"/>
  <c r="G33" i="11"/>
  <c r="B24" i="76"/>
  <c r="D24" i="27"/>
  <c r="D24" i="76" s="1"/>
  <c r="B34" i="20"/>
  <c r="G25" i="26"/>
  <c r="G13" i="38656"/>
  <c r="G21" i="38656"/>
  <c r="B33" i="20"/>
  <c r="B19" i="41"/>
  <c r="G40" i="8"/>
  <c r="J17" i="38655"/>
  <c r="J44" i="38655"/>
  <c r="G38" i="11"/>
  <c r="D22" i="27"/>
  <c r="D22" i="76" s="1"/>
  <c r="B22" i="76"/>
  <c r="F34" i="41"/>
  <c r="G34" i="41" s="1"/>
  <c r="G23" i="38656"/>
  <c r="G38" i="38656"/>
  <c r="B46" i="39"/>
  <c r="G28" i="26"/>
  <c r="B25" i="20"/>
  <c r="J39" i="26"/>
  <c r="J41" i="38655"/>
  <c r="F16" i="41"/>
  <c r="G16" i="41" s="1"/>
  <c r="G46" i="11"/>
  <c r="D19" i="27"/>
  <c r="D19" i="76" s="1"/>
  <c r="B19" i="76"/>
  <c r="J33" i="11"/>
  <c r="D19" i="19"/>
  <c r="D19" i="26"/>
  <c r="E21" i="20"/>
  <c r="D27" i="19"/>
  <c r="G31" i="11"/>
  <c r="G32" i="10"/>
  <c r="G46" i="10"/>
  <c r="B37" i="19"/>
  <c r="E27" i="18"/>
  <c r="D36" i="11"/>
  <c r="G40" i="11"/>
  <c r="B45" i="19"/>
  <c r="J33" i="38655"/>
  <c r="F37" i="41"/>
  <c r="G37" i="41" s="1"/>
  <c r="D34" i="8"/>
  <c r="B34" i="18"/>
  <c r="B45" i="20"/>
  <c r="B36" i="41"/>
  <c r="F12" i="41"/>
  <c r="G12" i="41" s="1"/>
  <c r="B44" i="76"/>
  <c r="D44" i="27"/>
  <c r="D44" i="76" s="1"/>
  <c r="J40" i="11"/>
  <c r="J38" i="38655"/>
  <c r="G24" i="26"/>
  <c r="B18" i="41"/>
  <c r="B38" i="20"/>
  <c r="J51" i="38655"/>
  <c r="D11" i="38656"/>
  <c r="D24" i="26"/>
  <c r="D24" i="19"/>
  <c r="H25" i="18"/>
  <c r="G30" i="18"/>
  <c r="K30" i="38667"/>
  <c r="D21" i="41"/>
  <c r="C21" i="41"/>
  <c r="C44" i="41"/>
  <c r="D44" i="41"/>
  <c r="D37" i="41"/>
  <c r="C37" i="41"/>
  <c r="F30" i="39"/>
  <c r="H30" i="39"/>
  <c r="D30" i="39"/>
  <c r="G30" i="20"/>
  <c r="C33" i="41"/>
  <c r="D33" i="41"/>
  <c r="D35" i="7"/>
  <c r="K12" i="3188"/>
  <c r="C12" i="5" s="1"/>
  <c r="F21" i="45"/>
  <c r="B30" i="18"/>
  <c r="F34" i="45"/>
  <c r="F28" i="45"/>
  <c r="B25" i="18"/>
  <c r="E34" i="20"/>
  <c r="G17" i="11"/>
  <c r="E12" i="18"/>
  <c r="D12" i="10"/>
  <c r="G13" i="10"/>
  <c r="E43" i="20"/>
  <c r="D19" i="11"/>
  <c r="G20" i="10"/>
  <c r="J21" i="11"/>
  <c r="G24" i="11"/>
  <c r="D25" i="11"/>
  <c r="D23" i="8"/>
  <c r="B23" i="18"/>
  <c r="D22" i="9"/>
  <c r="G43" i="8"/>
  <c r="G42" i="8"/>
  <c r="D36" i="9"/>
  <c r="J11" i="11"/>
  <c r="D26" i="11"/>
  <c r="D41" i="9"/>
  <c r="J43" i="38655"/>
  <c r="D27" i="10"/>
  <c r="E39" i="18"/>
  <c r="D39" i="10"/>
  <c r="H40" i="18"/>
  <c r="H45" i="18"/>
  <c r="D11" i="19"/>
  <c r="D11" i="26"/>
  <c r="D13" i="26"/>
  <c r="D13" i="19"/>
  <c r="J22" i="26"/>
  <c r="D38" i="26"/>
  <c r="D38" i="19"/>
  <c r="J12" i="38655"/>
  <c r="G16" i="38655"/>
  <c r="G20" i="38655"/>
  <c r="G24" i="38655"/>
  <c r="G28" i="38655"/>
  <c r="G40" i="38655"/>
  <c r="B13" i="40"/>
  <c r="D13" i="40" s="1"/>
  <c r="B14" i="39"/>
  <c r="B21" i="40"/>
  <c r="D21" i="40" s="1"/>
  <c r="B22" i="39"/>
  <c r="B24" i="39"/>
  <c r="B26" i="40"/>
  <c r="D26" i="40" s="1"/>
  <c r="B33" i="40"/>
  <c r="D33" i="40" s="1"/>
  <c r="B41" i="40"/>
  <c r="D41" i="40" s="1"/>
  <c r="B46" i="40"/>
  <c r="D46" i="40" s="1"/>
  <c r="B11" i="41"/>
  <c r="D18" i="38658"/>
  <c r="D22" i="38658"/>
  <c r="D41" i="38658"/>
  <c r="E28" i="18"/>
  <c r="D28" i="10"/>
  <c r="E45" i="18"/>
  <c r="D45" i="10"/>
  <c r="H22" i="18"/>
  <c r="H32" i="18"/>
  <c r="J12" i="26"/>
  <c r="J42" i="26"/>
  <c r="G45" i="38655"/>
  <c r="B11" i="20"/>
  <c r="B40" i="39"/>
  <c r="B12" i="39"/>
  <c r="F11" i="41"/>
  <c r="B39" i="40"/>
  <c r="D39" i="40" s="1"/>
  <c r="G44" i="38655"/>
  <c r="B33" i="39"/>
  <c r="G11" i="26"/>
  <c r="J32" i="26"/>
  <c r="G34" i="38655"/>
  <c r="B12" i="20"/>
  <c r="J20" i="26"/>
  <c r="D46" i="26"/>
  <c r="D33" i="26"/>
  <c r="D18" i="26"/>
  <c r="D18" i="19"/>
  <c r="D51" i="38655"/>
  <c r="G51" i="19"/>
  <c r="D43" i="10"/>
  <c r="J17" i="11"/>
  <c r="D27" i="8"/>
  <c r="B27" i="18"/>
  <c r="D50" i="9"/>
  <c r="J40" i="26"/>
  <c r="G11" i="11"/>
  <c r="H44" i="18"/>
  <c r="B36" i="39"/>
  <c r="G33" i="8"/>
  <c r="D12" i="9"/>
  <c r="F38" i="41"/>
  <c r="G38" i="41" s="1"/>
  <c r="F42" i="41"/>
  <c r="G42" i="41" s="1"/>
  <c r="B45" i="41"/>
  <c r="F44" i="41"/>
  <c r="G44" i="41" s="1"/>
  <c r="B22" i="19"/>
  <c r="D40" i="38656"/>
  <c r="D27" i="11"/>
  <c r="J44" i="11"/>
  <c r="G33" i="26"/>
  <c r="B21" i="76"/>
  <c r="D21" i="27"/>
  <c r="D21" i="76" s="1"/>
  <c r="F36" i="41"/>
  <c r="G36" i="41" s="1"/>
  <c r="G11" i="38656"/>
  <c r="G33" i="38656"/>
  <c r="B21" i="20"/>
  <c r="D40" i="9"/>
  <c r="D21" i="9"/>
  <c r="G34" i="10"/>
  <c r="J46" i="38655"/>
  <c r="J46" i="9"/>
  <c r="G39" i="38655"/>
  <c r="D15" i="38656"/>
  <c r="D20" i="38656"/>
  <c r="D23" i="38656"/>
  <c r="D28" i="38656"/>
  <c r="J39" i="38655"/>
  <c r="G51" i="38656"/>
  <c r="B12" i="41"/>
  <c r="E16" i="20"/>
  <c r="F22" i="41"/>
  <c r="G22" i="41" s="1"/>
  <c r="E32" i="20"/>
  <c r="G51" i="38655"/>
  <c r="D45" i="38656"/>
  <c r="E46" i="20"/>
  <c r="E51" i="20"/>
  <c r="B17" i="39"/>
  <c r="B21" i="18"/>
  <c r="D21" i="8"/>
  <c r="D17" i="8"/>
  <c r="J35" i="11"/>
  <c r="G39" i="10"/>
  <c r="G44" i="10"/>
  <c r="D31" i="11"/>
  <c r="F50" i="41"/>
  <c r="G50" i="41" s="1"/>
  <c r="E50" i="18"/>
  <c r="D50" i="10"/>
  <c r="D16" i="38656"/>
  <c r="E28" i="20"/>
  <c r="J31" i="26"/>
  <c r="B28" i="19"/>
  <c r="G51" i="10"/>
  <c r="B24" i="19"/>
  <c r="J37" i="11"/>
  <c r="G23" i="26"/>
  <c r="G27" i="26"/>
  <c r="E43" i="18"/>
  <c r="B15" i="39"/>
  <c r="J42" i="11"/>
  <c r="D42" i="11"/>
  <c r="G26" i="10"/>
  <c r="F20" i="41"/>
  <c r="G20" i="41" s="1"/>
  <c r="B28" i="20"/>
  <c r="H13" i="18"/>
  <c r="H51" i="18"/>
  <c r="D33" i="11"/>
  <c r="D41" i="11"/>
  <c r="D51" i="38656"/>
  <c r="J20" i="38655"/>
  <c r="B13" i="19"/>
  <c r="E24" i="20"/>
  <c r="J31" i="38655"/>
  <c r="D51" i="19"/>
  <c r="D51" i="26"/>
  <c r="D15" i="27"/>
  <c r="D15" i="76" s="1"/>
  <c r="B15" i="76"/>
  <c r="E18" i="20"/>
  <c r="G34" i="26"/>
  <c r="G20" i="38656"/>
  <c r="G35" i="38656"/>
  <c r="B31" i="20"/>
  <c r="B26" i="41"/>
  <c r="J13" i="38655"/>
  <c r="G42" i="38656"/>
  <c r="G45" i="38656"/>
  <c r="D42" i="9"/>
  <c r="D14" i="38656"/>
  <c r="B33" i="19"/>
  <c r="G32" i="38656"/>
  <c r="G15" i="26"/>
  <c r="G22" i="38656"/>
  <c r="G36" i="38656"/>
  <c r="J20" i="11"/>
  <c r="B17" i="20"/>
  <c r="B50" i="20"/>
  <c r="G51" i="11"/>
  <c r="B21" i="19"/>
  <c r="E17" i="20"/>
  <c r="E31" i="20"/>
  <c r="B17" i="41"/>
  <c r="G27" i="11"/>
  <c r="G41" i="11"/>
  <c r="B34" i="19"/>
  <c r="G41" i="26"/>
  <c r="D40" i="8"/>
  <c r="B40" i="18"/>
  <c r="G37" i="11"/>
  <c r="F25" i="41"/>
  <c r="G25" i="41" s="1"/>
  <c r="D32" i="11"/>
  <c r="G21" i="26"/>
  <c r="D27" i="9"/>
  <c r="D15" i="8"/>
  <c r="B15" i="18"/>
  <c r="D41" i="27"/>
  <c r="D41" i="76" s="1"/>
  <c r="B41" i="76"/>
  <c r="E22" i="20"/>
  <c r="B35" i="41"/>
  <c r="G21" i="11"/>
  <c r="D38" i="9"/>
  <c r="H38" i="18"/>
  <c r="E50" i="20"/>
  <c r="F33" i="41"/>
  <c r="G33" i="41" s="1"/>
  <c r="G27" i="10"/>
  <c r="D48" i="70"/>
  <c r="E30" i="5"/>
  <c r="C30" i="41"/>
  <c r="D30" i="41"/>
  <c r="D46" i="7"/>
  <c r="D39" i="11"/>
  <c r="E25" i="20"/>
  <c r="D38" i="7"/>
  <c r="D45" i="11"/>
  <c r="F22" i="45"/>
  <c r="J32" i="9"/>
  <c r="D46" i="9"/>
  <c r="G51" i="8"/>
  <c r="J18" i="11"/>
  <c r="E21" i="18"/>
  <c r="D21" i="10"/>
  <c r="D43" i="9"/>
  <c r="G35" i="8"/>
  <c r="D38" i="8"/>
  <c r="B38" i="18"/>
  <c r="D18" i="9"/>
  <c r="H27" i="18"/>
  <c r="H39" i="18"/>
  <c r="D21" i="26"/>
  <c r="D21" i="19"/>
  <c r="D27" i="26"/>
  <c r="J37" i="26"/>
  <c r="D30" i="38658"/>
  <c r="G32" i="38655"/>
  <c r="G42" i="38655"/>
  <c r="B19" i="39"/>
  <c r="B20" i="39"/>
  <c r="B27" i="40"/>
  <c r="B36" i="40"/>
  <c r="D36" i="40" s="1"/>
  <c r="B40" i="40"/>
  <c r="D40" i="40" s="1"/>
  <c r="F13" i="41"/>
  <c r="G13" i="41" s="1"/>
  <c r="D25" i="38658"/>
  <c r="D34" i="38658"/>
  <c r="D44" i="38658"/>
  <c r="H18" i="18"/>
  <c r="H26" i="18"/>
  <c r="H31" i="18"/>
  <c r="H36" i="18"/>
  <c r="H42" i="18"/>
  <c r="D11" i="27"/>
  <c r="D11" i="76" s="1"/>
  <c r="B11" i="76"/>
  <c r="J23" i="26"/>
  <c r="B14" i="41"/>
  <c r="H17" i="18"/>
  <c r="B13" i="39"/>
  <c r="B39" i="39"/>
  <c r="B45" i="39"/>
  <c r="B27" i="39"/>
  <c r="B11" i="40"/>
  <c r="J11" i="26"/>
  <c r="D11" i="9"/>
  <c r="E32" i="18"/>
  <c r="D32" i="10"/>
  <c r="B45" i="40"/>
  <c r="D45" i="40" s="1"/>
  <c r="D11" i="8"/>
  <c r="B11" i="18"/>
  <c r="D26" i="10"/>
  <c r="B22" i="18"/>
  <c r="D22" i="8"/>
  <c r="D25" i="9"/>
  <c r="G22" i="11"/>
  <c r="J25" i="26"/>
  <c r="G13" i="38655"/>
  <c r="J18" i="26"/>
  <c r="D44" i="26"/>
  <c r="D44" i="19"/>
  <c r="D35" i="26"/>
  <c r="D35" i="19"/>
  <c r="D20" i="26"/>
  <c r="D20" i="19"/>
  <c r="G50" i="38655"/>
  <c r="G15" i="8"/>
  <c r="G27" i="8"/>
  <c r="D16" i="8"/>
  <c r="J28" i="26"/>
  <c r="G25" i="38655"/>
  <c r="H34" i="18"/>
  <c r="B35" i="18"/>
  <c r="D35" i="8"/>
  <c r="B50" i="18"/>
  <c r="D50" i="8"/>
  <c r="B23" i="39"/>
  <c r="B20" i="20"/>
  <c r="B22" i="20"/>
  <c r="G43" i="11"/>
  <c r="E37" i="18"/>
  <c r="D37" i="10"/>
  <c r="G27" i="38655"/>
  <c r="E40" i="20"/>
  <c r="D26" i="8"/>
  <c r="B26" i="18"/>
  <c r="F40" i="41"/>
  <c r="G40" i="41" s="1"/>
  <c r="B40" i="41"/>
  <c r="B14" i="19"/>
  <c r="D25" i="27"/>
  <c r="D25" i="76" s="1"/>
  <c r="B25" i="76"/>
  <c r="F27" i="41"/>
  <c r="G27" i="41" s="1"/>
  <c r="D14" i="8"/>
  <c r="B14" i="18"/>
  <c r="D14" i="27"/>
  <c r="D14" i="76" s="1"/>
  <c r="B14" i="76"/>
  <c r="B40" i="20"/>
  <c r="G24" i="38656"/>
  <c r="B19" i="20"/>
  <c r="B44" i="39"/>
  <c r="G34" i="8"/>
  <c r="D26" i="27"/>
  <c r="D26" i="76" s="1"/>
  <c r="B26" i="76"/>
  <c r="G41" i="38656"/>
  <c r="B15" i="19"/>
  <c r="J14" i="38655"/>
  <c r="D36" i="38656"/>
  <c r="B16" i="20"/>
  <c r="E15" i="20"/>
  <c r="E19" i="20"/>
  <c r="F31" i="41"/>
  <c r="G31" i="41" s="1"/>
  <c r="E42" i="20"/>
  <c r="J24" i="9"/>
  <c r="D42" i="8"/>
  <c r="B42" i="18"/>
  <c r="G35" i="10"/>
  <c r="J35" i="38655"/>
  <c r="G15" i="38656"/>
  <c r="F19" i="41"/>
  <c r="G19" i="41" s="1"/>
  <c r="E35" i="18"/>
  <c r="D35" i="10"/>
  <c r="E41" i="18"/>
  <c r="D41" i="10"/>
  <c r="D31" i="26"/>
  <c r="D31" i="19"/>
  <c r="J45" i="26"/>
  <c r="B41" i="39"/>
  <c r="F28" i="41"/>
  <c r="G28" i="41" s="1"/>
  <c r="G34" i="11"/>
  <c r="D12" i="19"/>
  <c r="D12" i="26"/>
  <c r="D31" i="27"/>
  <c r="D31" i="76" s="1"/>
  <c r="B31" i="76"/>
  <c r="J24" i="38655"/>
  <c r="B37" i="40"/>
  <c r="D37" i="40" s="1"/>
  <c r="B11" i="19"/>
  <c r="B21" i="39"/>
  <c r="B37" i="20"/>
  <c r="J25" i="9"/>
  <c r="G26" i="26"/>
  <c r="F41" i="41"/>
  <c r="G41" i="41" s="1"/>
  <c r="J32" i="11"/>
  <c r="G41" i="10"/>
  <c r="B46" i="19"/>
  <c r="G50" i="38656"/>
  <c r="G25" i="38656"/>
  <c r="B20" i="19"/>
  <c r="E39" i="20"/>
  <c r="G33" i="10"/>
  <c r="E51" i="18"/>
  <c r="D51" i="10"/>
  <c r="J51" i="26"/>
  <c r="B42" i="76"/>
  <c r="D42" i="27"/>
  <c r="D42" i="76" s="1"/>
  <c r="E33" i="20"/>
  <c r="D26" i="19"/>
  <c r="D26" i="26"/>
  <c r="B27" i="19"/>
  <c r="D45" i="26"/>
  <c r="B35" i="20"/>
  <c r="G19" i="38656"/>
  <c r="G31" i="38656"/>
  <c r="G42" i="26"/>
  <c r="B20" i="41"/>
  <c r="G23" i="10"/>
  <c r="J28" i="11"/>
  <c r="G44" i="26"/>
  <c r="G13" i="8"/>
  <c r="B19" i="19"/>
  <c r="B50" i="76"/>
  <c r="D50" i="27"/>
  <c r="D50" i="76" s="1"/>
  <c r="G18" i="38656"/>
  <c r="G34" i="38656"/>
  <c r="B23" i="41"/>
  <c r="G35" i="26"/>
  <c r="G31" i="10"/>
  <c r="B51" i="76"/>
  <c r="D51" i="27"/>
  <c r="D51" i="76" s="1"/>
  <c r="F15" i="41"/>
  <c r="G15" i="41" s="1"/>
  <c r="B18" i="19"/>
  <c r="D39" i="27"/>
  <c r="D39" i="76" s="1"/>
  <c r="B39" i="76"/>
  <c r="D37" i="19"/>
  <c r="E11" i="20"/>
  <c r="G38" i="10"/>
  <c r="D45" i="19"/>
  <c r="D25" i="38656"/>
  <c r="E22" i="18"/>
  <c r="D22" i="10"/>
  <c r="G36" i="11"/>
  <c r="B42" i="19"/>
  <c r="F21" i="41"/>
  <c r="G21" i="41" s="1"/>
  <c r="D28" i="8"/>
  <c r="B28" i="18"/>
  <c r="E14" i="20"/>
  <c r="J25" i="38655"/>
  <c r="B51" i="20"/>
  <c r="D19" i="8"/>
  <c r="B19" i="18"/>
  <c r="B31" i="41"/>
  <c r="G50" i="11"/>
  <c r="D34" i="11"/>
  <c r="D13" i="27"/>
  <c r="D13" i="76" s="1"/>
  <c r="B13" i="76"/>
  <c r="E48" i="15"/>
  <c r="E48" i="41" s="1"/>
  <c r="E11" i="16"/>
  <c r="E48" i="16" s="1"/>
  <c r="E11" i="41"/>
  <c r="C25" i="41"/>
  <c r="D25" i="41"/>
  <c r="C34" i="41"/>
  <c r="D34" i="41"/>
  <c r="F48" i="52"/>
  <c r="C16" i="41"/>
  <c r="D16" i="41"/>
  <c r="C15" i="41"/>
  <c r="D15" i="41"/>
  <c r="C28" i="41"/>
  <c r="D28" i="41"/>
  <c r="D31" i="7"/>
  <c r="K11" i="3188"/>
  <c r="F20" i="45"/>
  <c r="F12" i="45"/>
  <c r="D24" i="7"/>
  <c r="F33" i="45"/>
  <c r="D32" i="7"/>
  <c r="F13" i="45"/>
  <c r="F31" i="45"/>
  <c r="F15" i="45"/>
  <c r="D40" i="11"/>
  <c r="F26" i="45"/>
  <c r="F51" i="45"/>
  <c r="G16" i="11"/>
  <c r="H43" i="18"/>
  <c r="G43" i="26"/>
  <c r="G14" i="11"/>
  <c r="E23" i="18"/>
  <c r="D23" i="10"/>
  <c r="G24" i="10"/>
  <c r="D35" i="9"/>
  <c r="D23" i="11"/>
  <c r="D32" i="8"/>
  <c r="B32" i="18"/>
  <c r="J13" i="9"/>
  <c r="D16" i="9"/>
  <c r="D36" i="8"/>
  <c r="B36" i="18"/>
  <c r="D43" i="38656"/>
  <c r="D16" i="11"/>
  <c r="G16" i="10"/>
  <c r="D21" i="11"/>
  <c r="G18" i="11"/>
  <c r="G45" i="8"/>
  <c r="E31" i="18"/>
  <c r="D31" i="10"/>
  <c r="H14" i="18"/>
  <c r="H37" i="18"/>
  <c r="D17" i="26"/>
  <c r="D17" i="19"/>
  <c r="D25" i="26"/>
  <c r="D25" i="19"/>
  <c r="D36" i="19"/>
  <c r="D36" i="26"/>
  <c r="G11" i="38655"/>
  <c r="G12" i="38655"/>
  <c r="G14" i="38655"/>
  <c r="G18" i="38655"/>
  <c r="G22" i="38655"/>
  <c r="G26" i="38655"/>
  <c r="G31" i="38655"/>
  <c r="G35" i="38655"/>
  <c r="G41" i="38655"/>
  <c r="D47" i="38658"/>
  <c r="B14" i="40"/>
  <c r="B15" i="40"/>
  <c r="D15" i="40" s="1"/>
  <c r="B19" i="40"/>
  <c r="D19" i="40" s="1"/>
  <c r="B22" i="40"/>
  <c r="D22" i="40" s="1"/>
  <c r="B24" i="40"/>
  <c r="D24" i="40" s="1"/>
  <c r="B25" i="39"/>
  <c r="B26" i="39"/>
  <c r="B28" i="39"/>
  <c r="B35" i="40"/>
  <c r="D35" i="40" s="1"/>
  <c r="B38" i="40"/>
  <c r="D38" i="40" s="1"/>
  <c r="B44" i="40"/>
  <c r="D44" i="40" s="1"/>
  <c r="B50" i="39"/>
  <c r="D40" i="38658"/>
  <c r="J31" i="11"/>
  <c r="H16" i="18"/>
  <c r="H33" i="18"/>
  <c r="J17" i="26"/>
  <c r="J27" i="26"/>
  <c r="J38" i="26"/>
  <c r="B11" i="39"/>
  <c r="B34" i="39"/>
  <c r="D50" i="19"/>
  <c r="D50" i="26"/>
  <c r="H11" i="18"/>
  <c r="E33" i="18"/>
  <c r="D33" i="10"/>
  <c r="E24" i="18"/>
  <c r="D24" i="10"/>
  <c r="D28" i="9"/>
  <c r="H21" i="18"/>
  <c r="G43" i="38655"/>
  <c r="D12" i="8"/>
  <c r="B12" i="18"/>
  <c r="J21" i="26"/>
  <c r="J34" i="26"/>
  <c r="G23" i="38655"/>
  <c r="J16" i="26"/>
  <c r="J41" i="26"/>
  <c r="G21" i="38655"/>
  <c r="D37" i="26"/>
  <c r="D22" i="19"/>
  <c r="D22" i="26"/>
  <c r="D14" i="26"/>
  <c r="D14" i="19"/>
  <c r="G17" i="8"/>
  <c r="G32" i="8"/>
  <c r="D24" i="8"/>
  <c r="B24" i="18"/>
  <c r="B24" i="20"/>
  <c r="G46" i="8"/>
  <c r="G13" i="11"/>
  <c r="G18" i="8"/>
  <c r="D44" i="9"/>
  <c r="G15" i="38655"/>
  <c r="H19" i="18"/>
  <c r="F39" i="41"/>
  <c r="G39" i="41" s="1"/>
  <c r="F51" i="41"/>
  <c r="D18" i="27"/>
  <c r="D18" i="76" s="1"/>
  <c r="B18" i="76"/>
  <c r="E20" i="20"/>
  <c r="J39" i="11"/>
  <c r="G45" i="26"/>
  <c r="J19" i="38655"/>
  <c r="B42" i="41"/>
  <c r="G20" i="8"/>
  <c r="B38" i="76"/>
  <c r="D38" i="27"/>
  <c r="D38" i="76" s="1"/>
  <c r="B18" i="39"/>
  <c r="B38" i="41"/>
  <c r="J26" i="9"/>
  <c r="G19" i="8"/>
  <c r="B36" i="19"/>
  <c r="F26" i="41"/>
  <c r="G26" i="41" s="1"/>
  <c r="J45" i="11"/>
  <c r="G20" i="26"/>
  <c r="B46" i="41"/>
  <c r="D19" i="9"/>
  <c r="G45" i="10"/>
  <c r="E40" i="18"/>
  <c r="D40" i="10"/>
  <c r="B23" i="19"/>
  <c r="J26" i="38655"/>
  <c r="E41" i="20"/>
  <c r="B18" i="20"/>
  <c r="D46" i="8"/>
  <c r="B46" i="18"/>
  <c r="D23" i="38658"/>
  <c r="J46" i="11"/>
  <c r="D24" i="38656"/>
  <c r="B44" i="20"/>
  <c r="B39" i="19"/>
  <c r="J50" i="38655"/>
  <c r="J26" i="26"/>
  <c r="D42" i="26"/>
  <c r="D42" i="19"/>
  <c r="B32" i="40"/>
  <c r="D32" i="40" s="1"/>
  <c r="J28" i="38655"/>
  <c r="J27" i="38655"/>
  <c r="E34" i="18"/>
  <c r="D34" i="10"/>
  <c r="G28" i="10"/>
  <c r="G37" i="38656"/>
  <c r="G25" i="11"/>
  <c r="D31" i="9"/>
  <c r="J51" i="11"/>
  <c r="D35" i="11"/>
  <c r="G14" i="26"/>
  <c r="G21" i="10"/>
  <c r="E26" i="20"/>
  <c r="G46" i="26"/>
  <c r="B36" i="20"/>
  <c r="J24" i="11"/>
  <c r="G16" i="26"/>
  <c r="E37" i="20"/>
  <c r="E25" i="18"/>
  <c r="D25" i="10"/>
  <c r="G39" i="11"/>
  <c r="G45" i="11"/>
  <c r="B41" i="19"/>
  <c r="G18" i="26"/>
  <c r="B16" i="39"/>
  <c r="J19" i="26"/>
  <c r="G32" i="11"/>
  <c r="D34" i="38656"/>
  <c r="G40" i="26"/>
  <c r="G17" i="38656"/>
  <c r="G26" i="38656"/>
  <c r="G39" i="38656"/>
  <c r="J40" i="38655"/>
  <c r="B27" i="41"/>
  <c r="B14" i="20"/>
  <c r="G14" i="38656"/>
  <c r="G28" i="38656"/>
  <c r="J42" i="38655"/>
  <c r="B38" i="39"/>
  <c r="G19" i="10"/>
  <c r="G31" i="26"/>
  <c r="B39" i="41"/>
  <c r="B24" i="41"/>
  <c r="B31" i="19"/>
  <c r="B44" i="19"/>
  <c r="D33" i="19"/>
  <c r="B39" i="20"/>
  <c r="G36" i="10"/>
  <c r="G50" i="10"/>
  <c r="B38" i="19"/>
  <c r="G22" i="26"/>
  <c r="D37" i="8"/>
  <c r="B37" i="18"/>
  <c r="G42" i="11"/>
  <c r="D32" i="19"/>
  <c r="G38" i="26"/>
  <c r="B51" i="39"/>
  <c r="H51" i="39" s="1"/>
  <c r="G26" i="8"/>
  <c r="G44" i="11"/>
  <c r="B50" i="19"/>
  <c r="B32" i="41"/>
  <c r="B32" i="19"/>
  <c r="B42" i="20"/>
  <c r="E46" i="18"/>
  <c r="D46" i="10"/>
  <c r="J35" i="26"/>
  <c r="G39" i="26"/>
  <c r="B22" i="41"/>
  <c r="B51" i="19"/>
  <c r="B35" i="19"/>
  <c r="B32" i="20"/>
  <c r="D30" i="38655"/>
  <c r="G30" i="19"/>
  <c r="F30" i="19"/>
  <c r="D30" i="20"/>
  <c r="H54" i="23"/>
  <c r="H48" i="7"/>
  <c r="G48" i="7"/>
  <c r="I48" i="7"/>
  <c r="F48" i="7"/>
  <c r="D22" i="7"/>
  <c r="D50" i="11"/>
  <c r="D21" i="7"/>
  <c r="D45" i="7"/>
  <c r="D37" i="7"/>
  <c r="D27" i="7"/>
  <c r="D44" i="11"/>
  <c r="F45" i="45"/>
  <c r="F36" i="45"/>
  <c r="B16" i="19"/>
  <c r="J48" i="20" l="1"/>
  <c r="I32" i="38658"/>
  <c r="I37" i="45"/>
  <c r="G37" i="44" s="1"/>
  <c r="E37" i="42" s="1"/>
  <c r="I35" i="45"/>
  <c r="G35" i="45" s="1"/>
  <c r="I40" i="45"/>
  <c r="G40" i="45" s="1"/>
  <c r="I23" i="45"/>
  <c r="I23" i="44" s="1"/>
  <c r="F23" i="42" s="1"/>
  <c r="I19" i="45"/>
  <c r="E19" i="45" s="1"/>
  <c r="H19" i="42" s="1"/>
  <c r="G18" i="44"/>
  <c r="E18" i="42" s="1"/>
  <c r="G18" i="45"/>
  <c r="E38" i="45"/>
  <c r="H38" i="42" s="1"/>
  <c r="G38" i="44"/>
  <c r="E38" i="42" s="1"/>
  <c r="I18" i="43"/>
  <c r="B18" i="42" s="1"/>
  <c r="E18" i="45"/>
  <c r="H18" i="42" s="1"/>
  <c r="E18" i="44"/>
  <c r="D18" i="42" s="1"/>
  <c r="C18" i="44"/>
  <c r="C18" i="42" s="1"/>
  <c r="C18" i="45"/>
  <c r="G18" i="42" s="1"/>
  <c r="I32" i="45"/>
  <c r="C32" i="44" s="1"/>
  <c r="C32" i="42" s="1"/>
  <c r="E50" i="45"/>
  <c r="H50" i="42" s="1"/>
  <c r="I45" i="45"/>
  <c r="G45" i="44" s="1"/>
  <c r="E45" i="42" s="1"/>
  <c r="I17" i="45"/>
  <c r="I43" i="45"/>
  <c r="I27" i="45"/>
  <c r="I27" i="43" s="1"/>
  <c r="B27" i="42" s="1"/>
  <c r="I14" i="45"/>
  <c r="G14" i="45" s="1"/>
  <c r="G42" i="44"/>
  <c r="E42" i="42" s="1"/>
  <c r="C44" i="45"/>
  <c r="G44" i="42" s="1"/>
  <c r="E41" i="44"/>
  <c r="D41" i="42" s="1"/>
  <c r="E41" i="45"/>
  <c r="H41" i="42" s="1"/>
  <c r="G24" i="44"/>
  <c r="E24" i="42" s="1"/>
  <c r="C16" i="44"/>
  <c r="C16" i="42" s="1"/>
  <c r="E24" i="45"/>
  <c r="H24" i="42" s="1"/>
  <c r="E25" i="45"/>
  <c r="H25" i="42" s="1"/>
  <c r="I25" i="44"/>
  <c r="F25" i="42" s="1"/>
  <c r="I16" i="43"/>
  <c r="B16" i="42" s="1"/>
  <c r="E25" i="44"/>
  <c r="D25" i="42" s="1"/>
  <c r="G50" i="44"/>
  <c r="E50" i="42" s="1"/>
  <c r="G44" i="44"/>
  <c r="E44" i="42" s="1"/>
  <c r="I50" i="44"/>
  <c r="F50" i="42" s="1"/>
  <c r="C42" i="44"/>
  <c r="C42" i="42" s="1"/>
  <c r="C41" i="44"/>
  <c r="C41" i="42" s="1"/>
  <c r="G41" i="45"/>
  <c r="G50" i="45"/>
  <c r="G41" i="44"/>
  <c r="E41" i="42" s="1"/>
  <c r="C50" i="44"/>
  <c r="C50" i="42" s="1"/>
  <c r="I41" i="44"/>
  <c r="F41" i="42" s="1"/>
  <c r="C41" i="45"/>
  <c r="G41" i="42" s="1"/>
  <c r="E42" i="45"/>
  <c r="H42" i="42" s="1"/>
  <c r="E44" i="45"/>
  <c r="H44" i="42" s="1"/>
  <c r="I50" i="43"/>
  <c r="B50" i="42" s="1"/>
  <c r="G25" i="44"/>
  <c r="E25" i="42" s="1"/>
  <c r="E16" i="44"/>
  <c r="D16" i="42" s="1"/>
  <c r="I25" i="43"/>
  <c r="B25" i="42" s="1"/>
  <c r="E16" i="45"/>
  <c r="H16" i="42" s="1"/>
  <c r="G16" i="44"/>
  <c r="E16" i="42" s="1"/>
  <c r="I16" i="44"/>
  <c r="F16" i="42" s="1"/>
  <c r="C25" i="45"/>
  <c r="G25" i="42" s="1"/>
  <c r="C16" i="45"/>
  <c r="G16" i="42" s="1"/>
  <c r="C25" i="44"/>
  <c r="C25" i="42" s="1"/>
  <c r="C50" i="45"/>
  <c r="G50" i="42" s="1"/>
  <c r="E42" i="44"/>
  <c r="D42" i="42" s="1"/>
  <c r="G42" i="45"/>
  <c r="I42" i="44"/>
  <c r="F42" i="42" s="1"/>
  <c r="I42" i="43"/>
  <c r="B42" i="42" s="1"/>
  <c r="D42" i="38658"/>
  <c r="I42" i="38658" s="1"/>
  <c r="F48" i="45"/>
  <c r="I46" i="45"/>
  <c r="J48" i="11"/>
  <c r="D48" i="38656"/>
  <c r="D29" i="38658"/>
  <c r="I29" i="38658" s="1"/>
  <c r="F32" i="19"/>
  <c r="G43" i="18"/>
  <c r="K43" i="38667"/>
  <c r="F33" i="19"/>
  <c r="G27" i="18"/>
  <c r="K27" i="38667"/>
  <c r="J48" i="9"/>
  <c r="C39" i="44"/>
  <c r="C39" i="42" s="1"/>
  <c r="E39" i="44"/>
  <c r="D39" i="42" s="1"/>
  <c r="I39" i="43"/>
  <c r="B39" i="42" s="1"/>
  <c r="C39" i="45"/>
  <c r="G39" i="42" s="1"/>
  <c r="I39" i="44"/>
  <c r="F39" i="42" s="1"/>
  <c r="I36" i="45"/>
  <c r="G36" i="45" s="1"/>
  <c r="D32" i="20"/>
  <c r="D50" i="38656"/>
  <c r="D39" i="20"/>
  <c r="C24" i="41"/>
  <c r="D24" i="41"/>
  <c r="C39" i="41"/>
  <c r="D39" i="41"/>
  <c r="D14" i="20"/>
  <c r="D16" i="39"/>
  <c r="F16" i="39"/>
  <c r="H16" i="39"/>
  <c r="K40" i="38667"/>
  <c r="G40" i="18"/>
  <c r="C38" i="41"/>
  <c r="D38" i="41"/>
  <c r="D24" i="20"/>
  <c r="F44" i="38659"/>
  <c r="I44" i="38658"/>
  <c r="B48" i="39"/>
  <c r="F11" i="39"/>
  <c r="H11" i="39"/>
  <c r="D11" i="39"/>
  <c r="E16" i="5"/>
  <c r="H26" i="39"/>
  <c r="D26" i="39"/>
  <c r="F26" i="39"/>
  <c r="D45" i="38655"/>
  <c r="G45" i="19"/>
  <c r="F25" i="19"/>
  <c r="E14" i="5"/>
  <c r="D32" i="18"/>
  <c r="J32" i="38667"/>
  <c r="K23" i="38667"/>
  <c r="G23" i="18"/>
  <c r="I33" i="45"/>
  <c r="G33" i="45" s="1"/>
  <c r="D31" i="41"/>
  <c r="C31" i="41"/>
  <c r="D19" i="18"/>
  <c r="J19" i="38667"/>
  <c r="D16" i="27"/>
  <c r="D16" i="76" s="1"/>
  <c r="B16" i="76"/>
  <c r="D23" i="41"/>
  <c r="C23" i="41"/>
  <c r="D25" i="38655"/>
  <c r="G25" i="19"/>
  <c r="B48" i="19"/>
  <c r="F12" i="19"/>
  <c r="H41" i="39"/>
  <c r="D41" i="39"/>
  <c r="F41" i="39"/>
  <c r="F31" i="19"/>
  <c r="G41" i="18"/>
  <c r="K41" i="38667"/>
  <c r="G19" i="20"/>
  <c r="D16" i="20"/>
  <c r="D40" i="41"/>
  <c r="C40" i="41"/>
  <c r="J26" i="38667"/>
  <c r="D26" i="18"/>
  <c r="G37" i="18"/>
  <c r="K37" i="38667"/>
  <c r="D22" i="20"/>
  <c r="D23" i="39"/>
  <c r="F23" i="39"/>
  <c r="H23" i="39"/>
  <c r="E34" i="5"/>
  <c r="F35" i="19"/>
  <c r="D34" i="38655"/>
  <c r="G34" i="19"/>
  <c r="D48" i="9"/>
  <c r="I38" i="38658"/>
  <c r="F38" i="38659"/>
  <c r="H45" i="39"/>
  <c r="D45" i="39"/>
  <c r="F45" i="39"/>
  <c r="F13" i="39"/>
  <c r="H13" i="39"/>
  <c r="D13" i="39"/>
  <c r="E17" i="5"/>
  <c r="D14" i="41"/>
  <c r="C14" i="41"/>
  <c r="E42" i="5"/>
  <c r="E31" i="5"/>
  <c r="E18" i="5"/>
  <c r="D39" i="38655"/>
  <c r="G39" i="19"/>
  <c r="D28" i="38655"/>
  <c r="G28" i="19"/>
  <c r="D20" i="38655"/>
  <c r="G20" i="19"/>
  <c r="G25" i="20"/>
  <c r="E38" i="5"/>
  <c r="D35" i="41"/>
  <c r="C35" i="41"/>
  <c r="G22" i="20"/>
  <c r="D15" i="18"/>
  <c r="J15" i="38667"/>
  <c r="J23" i="38655"/>
  <c r="J34" i="11"/>
  <c r="D17" i="41"/>
  <c r="C17" i="41"/>
  <c r="G17" i="20"/>
  <c r="D50" i="20"/>
  <c r="D17" i="20"/>
  <c r="D26" i="41"/>
  <c r="C26" i="41"/>
  <c r="F51" i="19"/>
  <c r="G24" i="20"/>
  <c r="E51" i="5"/>
  <c r="D28" i="20"/>
  <c r="D17" i="38655"/>
  <c r="G17" i="19"/>
  <c r="G28" i="20"/>
  <c r="D27" i="18"/>
  <c r="J27" i="38667"/>
  <c r="I51" i="19"/>
  <c r="D12" i="39"/>
  <c r="F12" i="39"/>
  <c r="H12" i="39"/>
  <c r="D12" i="38655"/>
  <c r="G12" i="19"/>
  <c r="G45" i="18"/>
  <c r="K45" i="38667"/>
  <c r="D24" i="39"/>
  <c r="F24" i="39"/>
  <c r="H24" i="39"/>
  <c r="D37" i="38655"/>
  <c r="G37" i="19"/>
  <c r="F38" i="19"/>
  <c r="D48" i="26"/>
  <c r="E45" i="5"/>
  <c r="D25" i="18"/>
  <c r="J25" i="38667"/>
  <c r="F24" i="19"/>
  <c r="D38" i="20"/>
  <c r="J38" i="11"/>
  <c r="D46" i="39"/>
  <c r="F46" i="39"/>
  <c r="H46" i="39"/>
  <c r="G15" i="19"/>
  <c r="D15" i="38655"/>
  <c r="D15" i="20"/>
  <c r="C50" i="41"/>
  <c r="D50" i="41"/>
  <c r="G23" i="20"/>
  <c r="G44" i="18"/>
  <c r="K44" i="38667"/>
  <c r="K20" i="38667"/>
  <c r="G20" i="18"/>
  <c r="E24" i="5"/>
  <c r="D26" i="38655"/>
  <c r="G26" i="19"/>
  <c r="D18" i="38655"/>
  <c r="G18" i="19"/>
  <c r="F34" i="19"/>
  <c r="G42" i="18"/>
  <c r="K42" i="38667"/>
  <c r="G17" i="18"/>
  <c r="K17" i="38667"/>
  <c r="K13" i="38667"/>
  <c r="G13" i="18"/>
  <c r="D51" i="18"/>
  <c r="I38" i="43"/>
  <c r="B38" i="42" s="1"/>
  <c r="I38" i="44"/>
  <c r="F38" i="42" s="1"/>
  <c r="E38" i="44"/>
  <c r="D38" i="42" s="1"/>
  <c r="C38" i="44"/>
  <c r="C38" i="42" s="1"/>
  <c r="C38" i="45"/>
  <c r="G38" i="42" s="1"/>
  <c r="D48" i="10"/>
  <c r="C43" i="41"/>
  <c r="D43" i="41"/>
  <c r="I44" i="43"/>
  <c r="B44" i="42" s="1"/>
  <c r="E44" i="44"/>
  <c r="D44" i="42" s="1"/>
  <c r="I44" i="44"/>
  <c r="F44" i="42" s="1"/>
  <c r="C44" i="44"/>
  <c r="C44" i="42" s="1"/>
  <c r="F32" i="39"/>
  <c r="H32" i="39"/>
  <c r="D32" i="39"/>
  <c r="D37" i="38658"/>
  <c r="D21" i="38658"/>
  <c r="E26" i="18"/>
  <c r="D46" i="38658"/>
  <c r="D35" i="38658"/>
  <c r="D16" i="7"/>
  <c r="G16" i="8"/>
  <c r="D19" i="38656"/>
  <c r="D27" i="38656"/>
  <c r="D42" i="20"/>
  <c r="D32" i="41"/>
  <c r="C32" i="41"/>
  <c r="D37" i="18"/>
  <c r="J37" i="38667"/>
  <c r="D38" i="38656"/>
  <c r="D40" i="27"/>
  <c r="D40" i="76" s="1"/>
  <c r="B40" i="76"/>
  <c r="J26" i="11"/>
  <c r="D18" i="20"/>
  <c r="G41" i="20"/>
  <c r="C42" i="41"/>
  <c r="D42" i="41"/>
  <c r="F37" i="19"/>
  <c r="E21" i="5"/>
  <c r="G13" i="19"/>
  <c r="D13" i="38655"/>
  <c r="D38" i="38655"/>
  <c r="G38" i="19"/>
  <c r="I47" i="38658"/>
  <c r="F47" i="38659"/>
  <c r="F17" i="19"/>
  <c r="G31" i="18"/>
  <c r="K31" i="38667"/>
  <c r="I51" i="45"/>
  <c r="G51" i="45" s="1"/>
  <c r="I13" i="45"/>
  <c r="G13" i="45" s="1"/>
  <c r="C11" i="5"/>
  <c r="C48" i="5" s="1"/>
  <c r="K48" i="3188"/>
  <c r="F48" i="78"/>
  <c r="B11" i="43"/>
  <c r="E48" i="20"/>
  <c r="G11" i="20"/>
  <c r="F45" i="19"/>
  <c r="G33" i="20"/>
  <c r="D37" i="20"/>
  <c r="D35" i="38655"/>
  <c r="G35" i="19"/>
  <c r="G35" i="18"/>
  <c r="K35" i="38667"/>
  <c r="J42" i="38667"/>
  <c r="D42" i="18"/>
  <c r="G19" i="19"/>
  <c r="D19" i="38655"/>
  <c r="D19" i="20"/>
  <c r="D40" i="20"/>
  <c r="G40" i="20"/>
  <c r="D50" i="18"/>
  <c r="F44" i="19"/>
  <c r="D22" i="18"/>
  <c r="J22" i="38667"/>
  <c r="J11" i="38667"/>
  <c r="D11" i="18"/>
  <c r="G36" i="19"/>
  <c r="D36" i="38655"/>
  <c r="D19" i="39"/>
  <c r="F19" i="39"/>
  <c r="H19" i="39"/>
  <c r="F26" i="38659"/>
  <c r="I26" i="38658"/>
  <c r="I18" i="38658"/>
  <c r="F18" i="38659"/>
  <c r="F27" i="19"/>
  <c r="E27" i="5"/>
  <c r="D40" i="18"/>
  <c r="J40" i="38667"/>
  <c r="D31" i="38656"/>
  <c r="D23" i="27"/>
  <c r="D23" i="76" s="1"/>
  <c r="B23" i="76"/>
  <c r="D18" i="38656"/>
  <c r="F17" i="39"/>
  <c r="H17" i="39"/>
  <c r="D17" i="39"/>
  <c r="G46" i="20"/>
  <c r="G32" i="20"/>
  <c r="G16" i="20"/>
  <c r="C45" i="41"/>
  <c r="D45" i="41"/>
  <c r="E44" i="5"/>
  <c r="F18" i="19"/>
  <c r="D13" i="38658"/>
  <c r="E32" i="5"/>
  <c r="K28" i="38667"/>
  <c r="G28" i="18"/>
  <c r="G44" i="19"/>
  <c r="D44" i="38655"/>
  <c r="I39" i="38658"/>
  <c r="F39" i="38659"/>
  <c r="F45" i="38659"/>
  <c r="I45" i="38658"/>
  <c r="G12" i="18"/>
  <c r="K12" i="38667"/>
  <c r="G34" i="20"/>
  <c r="D45" i="20"/>
  <c r="D34" i="18"/>
  <c r="J34" i="38667"/>
  <c r="J27" i="11"/>
  <c r="J16" i="38655"/>
  <c r="D27" i="27"/>
  <c r="D27" i="76" s="1"/>
  <c r="B27" i="76"/>
  <c r="D19" i="41"/>
  <c r="C19" i="41"/>
  <c r="J43" i="38667"/>
  <c r="D43" i="18"/>
  <c r="G36" i="20"/>
  <c r="G44" i="20"/>
  <c r="D26" i="20"/>
  <c r="F28" i="19"/>
  <c r="D33" i="18"/>
  <c r="J33" i="38667"/>
  <c r="F41" i="19"/>
  <c r="D31" i="39"/>
  <c r="F31" i="39"/>
  <c r="H31" i="39"/>
  <c r="E46" i="5"/>
  <c r="E15" i="5"/>
  <c r="E35" i="5"/>
  <c r="E12" i="5"/>
  <c r="J25" i="11"/>
  <c r="D43" i="20"/>
  <c r="G19" i="18"/>
  <c r="K19" i="38667"/>
  <c r="J13" i="38667"/>
  <c r="D13" i="18"/>
  <c r="K14" i="38667"/>
  <c r="G14" i="18"/>
  <c r="D44" i="18"/>
  <c r="J44" i="38667"/>
  <c r="F43" i="19"/>
  <c r="K15" i="38667"/>
  <c r="G15" i="18"/>
  <c r="D27" i="38658"/>
  <c r="D36" i="38658"/>
  <c r="D19" i="38658"/>
  <c r="D16" i="19"/>
  <c r="D28" i="38658"/>
  <c r="D23" i="19"/>
  <c r="B18" i="18"/>
  <c r="B45" i="18"/>
  <c r="D45" i="8"/>
  <c r="C22" i="41"/>
  <c r="D22" i="41"/>
  <c r="D32" i="27"/>
  <c r="D32" i="76" s="1"/>
  <c r="B32" i="76"/>
  <c r="D38" i="39"/>
  <c r="F38" i="39"/>
  <c r="H38" i="39"/>
  <c r="C27" i="41"/>
  <c r="D27" i="41"/>
  <c r="D21" i="38655"/>
  <c r="G21" i="19"/>
  <c r="G34" i="18"/>
  <c r="K34" i="38667"/>
  <c r="F42" i="19"/>
  <c r="D44" i="20"/>
  <c r="D46" i="18"/>
  <c r="J46" i="38667"/>
  <c r="D44" i="38656"/>
  <c r="J18" i="38655"/>
  <c r="C46" i="41"/>
  <c r="D46" i="41"/>
  <c r="H18" i="39"/>
  <c r="D18" i="39"/>
  <c r="F18" i="39"/>
  <c r="E19" i="5"/>
  <c r="D24" i="18"/>
  <c r="J24" i="38667"/>
  <c r="D12" i="18"/>
  <c r="J12" i="38667"/>
  <c r="G24" i="18"/>
  <c r="K24" i="38667"/>
  <c r="D40" i="38655"/>
  <c r="G40" i="19"/>
  <c r="F15" i="38659"/>
  <c r="I15" i="38658"/>
  <c r="I40" i="38658"/>
  <c r="F40" i="38659"/>
  <c r="E33" i="5"/>
  <c r="D28" i="39"/>
  <c r="F28" i="39"/>
  <c r="H28" i="39"/>
  <c r="F25" i="39"/>
  <c r="H25" i="39"/>
  <c r="D25" i="39"/>
  <c r="G48" i="38655"/>
  <c r="F36" i="19"/>
  <c r="E37" i="5"/>
  <c r="E43" i="5"/>
  <c r="I26" i="45"/>
  <c r="G26" i="45" s="1"/>
  <c r="I20" i="45"/>
  <c r="D42" i="38656"/>
  <c r="D45" i="27"/>
  <c r="D45" i="76" s="1"/>
  <c r="B45" i="76"/>
  <c r="G42" i="20"/>
  <c r="G15" i="20"/>
  <c r="D14" i="18"/>
  <c r="J14" i="38667"/>
  <c r="D20" i="20"/>
  <c r="D35" i="18"/>
  <c r="J35" i="38667"/>
  <c r="J48" i="26"/>
  <c r="I34" i="38658"/>
  <c r="F34" i="38659"/>
  <c r="D39" i="39"/>
  <c r="F39" i="39"/>
  <c r="H39" i="39"/>
  <c r="I25" i="38658"/>
  <c r="F25" i="38659"/>
  <c r="D41" i="38655"/>
  <c r="G41" i="19"/>
  <c r="E36" i="5"/>
  <c r="E26" i="5"/>
  <c r="D24" i="38655"/>
  <c r="G24" i="19"/>
  <c r="D16" i="38655"/>
  <c r="G16" i="19"/>
  <c r="F21" i="19"/>
  <c r="G50" i="20"/>
  <c r="D17" i="38656"/>
  <c r="G31" i="20"/>
  <c r="D31" i="20"/>
  <c r="G18" i="20"/>
  <c r="E13" i="5"/>
  <c r="D15" i="39"/>
  <c r="F15" i="39"/>
  <c r="H15" i="39"/>
  <c r="J11" i="38655"/>
  <c r="G48" i="38656"/>
  <c r="G48" i="11"/>
  <c r="D12" i="20"/>
  <c r="G11" i="19"/>
  <c r="D11" i="38655"/>
  <c r="D27" i="38655"/>
  <c r="G27" i="19"/>
  <c r="F48" i="41"/>
  <c r="G48" i="41" s="1"/>
  <c r="G11" i="41"/>
  <c r="F40" i="39"/>
  <c r="H40" i="39"/>
  <c r="D40" i="39"/>
  <c r="C11" i="41"/>
  <c r="D11" i="41"/>
  <c r="B48" i="41"/>
  <c r="H22" i="39"/>
  <c r="D22" i="39"/>
  <c r="F22" i="39"/>
  <c r="H14" i="39"/>
  <c r="D14" i="39"/>
  <c r="F14" i="39"/>
  <c r="D46" i="38655"/>
  <c r="G46" i="19"/>
  <c r="F11" i="19"/>
  <c r="E40" i="5"/>
  <c r="D43" i="38655"/>
  <c r="G43" i="19"/>
  <c r="G43" i="20"/>
  <c r="I34" i="45"/>
  <c r="G34" i="45" s="1"/>
  <c r="J30" i="38667"/>
  <c r="D30" i="18"/>
  <c r="I21" i="45"/>
  <c r="G21" i="45" s="1"/>
  <c r="E25" i="5"/>
  <c r="C18" i="41"/>
  <c r="D18" i="41"/>
  <c r="G21" i="20"/>
  <c r="D25" i="20"/>
  <c r="G36" i="18"/>
  <c r="K36" i="38667"/>
  <c r="D23" i="20"/>
  <c r="D27" i="20"/>
  <c r="D13" i="41"/>
  <c r="C13" i="41"/>
  <c r="C41" i="41"/>
  <c r="D41" i="41"/>
  <c r="F39" i="19"/>
  <c r="E23" i="5"/>
  <c r="D42" i="39"/>
  <c r="F42" i="39"/>
  <c r="H42" i="39"/>
  <c r="E28" i="5"/>
  <c r="H37" i="39"/>
  <c r="D37" i="39"/>
  <c r="F37" i="39"/>
  <c r="G22" i="19"/>
  <c r="D22" i="38655"/>
  <c r="D14" i="38655"/>
  <c r="G14" i="19"/>
  <c r="F15" i="19"/>
  <c r="K18" i="38667"/>
  <c r="G18" i="18"/>
  <c r="D41" i="18"/>
  <c r="J41" i="38667"/>
  <c r="D20" i="18"/>
  <c r="J20" i="38667"/>
  <c r="D52" i="38658"/>
  <c r="G39" i="45"/>
  <c r="B16" i="18"/>
  <c r="B17" i="18"/>
  <c r="D40" i="19"/>
  <c r="E38" i="18"/>
  <c r="D33" i="38658"/>
  <c r="L30" i="38667"/>
  <c r="I30" i="19"/>
  <c r="J34" i="38655"/>
  <c r="G46" i="18"/>
  <c r="K46" i="38667"/>
  <c r="D22" i="38656"/>
  <c r="J15" i="38655"/>
  <c r="D33" i="27"/>
  <c r="D33" i="76" s="1"/>
  <c r="B33" i="76"/>
  <c r="D46" i="27"/>
  <c r="D46" i="76" s="1"/>
  <c r="B46" i="76"/>
  <c r="F23" i="38659"/>
  <c r="I23" i="38658"/>
  <c r="K25" i="38667"/>
  <c r="G25" i="18"/>
  <c r="G37" i="20"/>
  <c r="D36" i="20"/>
  <c r="G26" i="20"/>
  <c r="G20" i="20"/>
  <c r="F14" i="19"/>
  <c r="F22" i="19"/>
  <c r="G33" i="18"/>
  <c r="K33" i="38667"/>
  <c r="H48" i="18"/>
  <c r="E11" i="5"/>
  <c r="F50" i="19"/>
  <c r="G42" i="19"/>
  <c r="D42" i="38655"/>
  <c r="D34" i="39"/>
  <c r="F34" i="39"/>
  <c r="H34" i="39"/>
  <c r="D50" i="38655"/>
  <c r="G50" i="19"/>
  <c r="D36" i="18"/>
  <c r="J36" i="38667"/>
  <c r="I15" i="45"/>
  <c r="G15" i="45" s="1"/>
  <c r="I31" i="45"/>
  <c r="G31" i="45" s="1"/>
  <c r="I12" i="45"/>
  <c r="G12" i="45" s="1"/>
  <c r="J21" i="38655"/>
  <c r="D51" i="20"/>
  <c r="G14" i="20"/>
  <c r="D28" i="18"/>
  <c r="J28" i="38667"/>
  <c r="D36" i="27"/>
  <c r="D36" i="76" s="1"/>
  <c r="B36" i="76"/>
  <c r="K22" i="38667"/>
  <c r="G22" i="18"/>
  <c r="D37" i="27"/>
  <c r="D37" i="76" s="1"/>
  <c r="B37" i="76"/>
  <c r="D20" i="41"/>
  <c r="C20" i="41"/>
  <c r="D35" i="20"/>
  <c r="F26" i="19"/>
  <c r="G51" i="18"/>
  <c r="G39" i="20"/>
  <c r="F21" i="39"/>
  <c r="H21" i="39"/>
  <c r="D21" i="39"/>
  <c r="F44" i="39"/>
  <c r="H44" i="39"/>
  <c r="D44" i="39"/>
  <c r="F20" i="19"/>
  <c r="G32" i="18"/>
  <c r="K32" i="38667"/>
  <c r="B48" i="40"/>
  <c r="D48" i="40" s="1"/>
  <c r="D11" i="40"/>
  <c r="D32" i="38655"/>
  <c r="G32" i="19"/>
  <c r="G23" i="19"/>
  <c r="D23" i="38655"/>
  <c r="D20" i="39"/>
  <c r="F20" i="39"/>
  <c r="H20" i="39"/>
  <c r="I41" i="38658"/>
  <c r="F41" i="38659"/>
  <c r="I30" i="38658"/>
  <c r="F30" i="38659"/>
  <c r="I22" i="38658"/>
  <c r="F22" i="38659"/>
  <c r="E39" i="5"/>
  <c r="D38" i="18"/>
  <c r="J38" i="38667"/>
  <c r="K21" i="38667"/>
  <c r="G21" i="18"/>
  <c r="J32" i="38655"/>
  <c r="J36" i="38655"/>
  <c r="D13" i="38656"/>
  <c r="B20" i="76"/>
  <c r="D20" i="27"/>
  <c r="D20" i="76" s="1"/>
  <c r="D37" i="38656"/>
  <c r="J43" i="11"/>
  <c r="G50" i="18"/>
  <c r="J21" i="38667"/>
  <c r="D21" i="18"/>
  <c r="G51" i="20"/>
  <c r="C12" i="41"/>
  <c r="D12" i="41"/>
  <c r="D21" i="20"/>
  <c r="F36" i="39"/>
  <c r="H36" i="39"/>
  <c r="D36" i="39"/>
  <c r="G48" i="26"/>
  <c r="H33" i="39"/>
  <c r="D33" i="39"/>
  <c r="F33" i="39"/>
  <c r="D11" i="20"/>
  <c r="B48" i="20"/>
  <c r="E22" i="5"/>
  <c r="F13" i="19"/>
  <c r="G39" i="18"/>
  <c r="K39" i="38667"/>
  <c r="D23" i="18"/>
  <c r="J23" i="38667"/>
  <c r="I28" i="45"/>
  <c r="C36" i="41"/>
  <c r="D36" i="41"/>
  <c r="D35" i="38656"/>
  <c r="D46" i="38656"/>
  <c r="F19" i="19"/>
  <c r="D33" i="20"/>
  <c r="D34" i="20"/>
  <c r="D13" i="20"/>
  <c r="D31" i="18"/>
  <c r="J31" i="38667"/>
  <c r="D39" i="18"/>
  <c r="J39" i="38667"/>
  <c r="D41" i="20"/>
  <c r="G12" i="20"/>
  <c r="G45" i="20"/>
  <c r="G38" i="20"/>
  <c r="E50" i="5"/>
  <c r="D35" i="39"/>
  <c r="F35" i="39"/>
  <c r="H35" i="39"/>
  <c r="D33" i="38655"/>
  <c r="G33" i="19"/>
  <c r="G13" i="20"/>
  <c r="D31" i="38655"/>
  <c r="G31" i="19"/>
  <c r="E41" i="5"/>
  <c r="E20" i="5"/>
  <c r="G16" i="18"/>
  <c r="K16" i="38667"/>
  <c r="D43" i="39"/>
  <c r="F43" i="39"/>
  <c r="H43" i="39"/>
  <c r="E24" i="44"/>
  <c r="D24" i="42" s="1"/>
  <c r="C24" i="44"/>
  <c r="C24" i="42" s="1"/>
  <c r="I24" i="43"/>
  <c r="B24" i="42" s="1"/>
  <c r="I24" i="44"/>
  <c r="F24" i="42" s="1"/>
  <c r="C24" i="45"/>
  <c r="G24" i="42" s="1"/>
  <c r="G11" i="18"/>
  <c r="K11" i="38667"/>
  <c r="G48" i="10"/>
  <c r="D48" i="11"/>
  <c r="E39" i="45"/>
  <c r="H39" i="42" s="1"/>
  <c r="D43" i="38658"/>
  <c r="G39" i="44"/>
  <c r="E39" i="42" s="1"/>
  <c r="D46" i="19"/>
  <c r="D14" i="38658"/>
  <c r="D48" i="38658"/>
  <c r="I22" i="45"/>
  <c r="D17" i="38658"/>
  <c r="D24" i="38658"/>
  <c r="E40" i="45" l="1"/>
  <c r="H40" i="42" s="1"/>
  <c r="C35" i="44"/>
  <c r="C35" i="42" s="1"/>
  <c r="I40" i="43"/>
  <c r="B40" i="42" s="1"/>
  <c r="C35" i="45"/>
  <c r="G35" i="42" s="1"/>
  <c r="C14" i="44"/>
  <c r="C14" i="42" s="1"/>
  <c r="M30" i="38667"/>
  <c r="G23" i="44"/>
  <c r="E23" i="42" s="1"/>
  <c r="C14" i="45"/>
  <c r="G14" i="42" s="1"/>
  <c r="I19" i="44"/>
  <c r="F19" i="42" s="1"/>
  <c r="E40" i="44"/>
  <c r="D40" i="42" s="1"/>
  <c r="C40" i="44"/>
  <c r="C40" i="42" s="1"/>
  <c r="E35" i="44"/>
  <c r="D35" i="42" s="1"/>
  <c r="I14" i="44"/>
  <c r="F14" i="42" s="1"/>
  <c r="I35" i="44"/>
  <c r="F35" i="42" s="1"/>
  <c r="I35" i="43"/>
  <c r="B35" i="42" s="1"/>
  <c r="I14" i="43"/>
  <c r="B14" i="42" s="1"/>
  <c r="E14" i="44"/>
  <c r="D14" i="42" s="1"/>
  <c r="G40" i="44"/>
  <c r="E40" i="42" s="1"/>
  <c r="C40" i="45"/>
  <c r="G40" i="42" s="1"/>
  <c r="G23" i="45"/>
  <c r="E45" i="44"/>
  <c r="D45" i="42" s="1"/>
  <c r="I40" i="44"/>
  <c r="F40" i="42" s="1"/>
  <c r="I37" i="43"/>
  <c r="B37" i="42" s="1"/>
  <c r="C45" i="44"/>
  <c r="C45" i="42" s="1"/>
  <c r="G45" i="45"/>
  <c r="I45" i="44"/>
  <c r="F45" i="42" s="1"/>
  <c r="C19" i="45"/>
  <c r="G19" i="42" s="1"/>
  <c r="E45" i="45"/>
  <c r="H45" i="42" s="1"/>
  <c r="C45" i="45"/>
  <c r="G45" i="42" s="1"/>
  <c r="I45" i="43"/>
  <c r="B45" i="42" s="1"/>
  <c r="E23" i="44"/>
  <c r="D23" i="42" s="1"/>
  <c r="C23" i="44"/>
  <c r="C23" i="42" s="1"/>
  <c r="I23" i="43"/>
  <c r="B23" i="42" s="1"/>
  <c r="E23" i="45"/>
  <c r="H23" i="42" s="1"/>
  <c r="C23" i="45"/>
  <c r="G23" i="42" s="1"/>
  <c r="E35" i="45"/>
  <c r="H35" i="42" s="1"/>
  <c r="G35" i="44"/>
  <c r="E35" i="42" s="1"/>
  <c r="I37" i="44"/>
  <c r="F37" i="42" s="1"/>
  <c r="E19" i="44"/>
  <c r="D19" i="42" s="1"/>
  <c r="G37" i="45"/>
  <c r="E37" i="45"/>
  <c r="H37" i="42" s="1"/>
  <c r="G19" i="44"/>
  <c r="E19" i="42" s="1"/>
  <c r="E48" i="18"/>
  <c r="G48" i="18" s="1"/>
  <c r="E37" i="44"/>
  <c r="D37" i="42" s="1"/>
  <c r="F29" i="38659"/>
  <c r="C19" i="44"/>
  <c r="C19" i="42" s="1"/>
  <c r="G19" i="45"/>
  <c r="C37" i="44"/>
  <c r="C37" i="42" s="1"/>
  <c r="C37" i="45"/>
  <c r="G37" i="42" s="1"/>
  <c r="I19" i="43"/>
  <c r="B19" i="42" s="1"/>
  <c r="J18" i="42"/>
  <c r="E32" i="44"/>
  <c r="D32" i="42" s="1"/>
  <c r="E32" i="45"/>
  <c r="H32" i="42" s="1"/>
  <c r="C32" i="45"/>
  <c r="G32" i="42" s="1"/>
  <c r="I32" i="43"/>
  <c r="B32" i="42" s="1"/>
  <c r="G32" i="45"/>
  <c r="G32" i="44"/>
  <c r="E32" i="42" s="1"/>
  <c r="I32" i="44"/>
  <c r="F32" i="42" s="1"/>
  <c r="C43" i="44"/>
  <c r="C43" i="42" s="1"/>
  <c r="G43" i="45"/>
  <c r="E43" i="44"/>
  <c r="D43" i="42" s="1"/>
  <c r="E43" i="45"/>
  <c r="H43" i="42" s="1"/>
  <c r="G43" i="44"/>
  <c r="E43" i="42" s="1"/>
  <c r="I43" i="44"/>
  <c r="F43" i="42" s="1"/>
  <c r="C43" i="45"/>
  <c r="G43" i="42" s="1"/>
  <c r="I43" i="43"/>
  <c r="B43" i="42" s="1"/>
  <c r="E17" i="44"/>
  <c r="D17" i="42" s="1"/>
  <c r="E17" i="45"/>
  <c r="H17" i="42" s="1"/>
  <c r="G17" i="44"/>
  <c r="E17" i="42" s="1"/>
  <c r="I17" i="44"/>
  <c r="F17" i="42" s="1"/>
  <c r="G17" i="45"/>
  <c r="C17" i="44"/>
  <c r="C17" i="42" s="1"/>
  <c r="C17" i="45"/>
  <c r="G17" i="42" s="1"/>
  <c r="I17" i="43"/>
  <c r="B17" i="42" s="1"/>
  <c r="G14" i="44"/>
  <c r="E14" i="42" s="1"/>
  <c r="I27" i="44"/>
  <c r="F27" i="42" s="1"/>
  <c r="G27" i="44"/>
  <c r="E27" i="42" s="1"/>
  <c r="G27" i="45"/>
  <c r="E27" i="44"/>
  <c r="D27" i="42" s="1"/>
  <c r="E27" i="45"/>
  <c r="H27" i="42" s="1"/>
  <c r="C27" i="44"/>
  <c r="C27" i="42" s="1"/>
  <c r="C27" i="45"/>
  <c r="G27" i="42" s="1"/>
  <c r="E14" i="45"/>
  <c r="H14" i="42" s="1"/>
  <c r="J42" i="42"/>
  <c r="J25" i="42"/>
  <c r="J50" i="42"/>
  <c r="J41" i="42"/>
  <c r="J16" i="42"/>
  <c r="G46" i="44"/>
  <c r="E46" i="42" s="1"/>
  <c r="C46" i="44"/>
  <c r="C46" i="42" s="1"/>
  <c r="E46" i="45"/>
  <c r="H46" i="42" s="1"/>
  <c r="I46" i="44"/>
  <c r="F46" i="42" s="1"/>
  <c r="G46" i="45"/>
  <c r="E46" i="44"/>
  <c r="D46" i="42" s="1"/>
  <c r="C46" i="45"/>
  <c r="G46" i="42" s="1"/>
  <c r="F42" i="38659"/>
  <c r="I46" i="43"/>
  <c r="B46" i="42" s="1"/>
  <c r="I22" i="43"/>
  <c r="B22" i="42" s="1"/>
  <c r="I22" i="44"/>
  <c r="F22" i="42" s="1"/>
  <c r="C22" i="44"/>
  <c r="C22" i="42" s="1"/>
  <c r="C22" i="45"/>
  <c r="G22" i="42" s="1"/>
  <c r="E22" i="44"/>
  <c r="D22" i="42" s="1"/>
  <c r="E22" i="45"/>
  <c r="H22" i="42" s="1"/>
  <c r="G22" i="44"/>
  <c r="E22" i="42" s="1"/>
  <c r="I28" i="44"/>
  <c r="F28" i="42" s="1"/>
  <c r="C28" i="44"/>
  <c r="C28" i="42" s="1"/>
  <c r="E28" i="44"/>
  <c r="D28" i="42" s="1"/>
  <c r="I28" i="43"/>
  <c r="B28" i="42" s="1"/>
  <c r="C28" i="45"/>
  <c r="G28" i="42" s="1"/>
  <c r="E28" i="45"/>
  <c r="H28" i="42" s="1"/>
  <c r="G28" i="44"/>
  <c r="E28" i="42" s="1"/>
  <c r="I32" i="19"/>
  <c r="L32" i="38667"/>
  <c r="M32" i="38667" s="1"/>
  <c r="I42" i="19"/>
  <c r="L42" i="38667"/>
  <c r="M42" i="38667" s="1"/>
  <c r="G38" i="18"/>
  <c r="K38" i="38667"/>
  <c r="D48" i="8"/>
  <c r="L43" i="38667"/>
  <c r="M43" i="38667" s="1"/>
  <c r="I43" i="19"/>
  <c r="I46" i="19"/>
  <c r="L46" i="38667"/>
  <c r="M46" i="38667" s="1"/>
  <c r="C48" i="41"/>
  <c r="D48" i="41"/>
  <c r="L41" i="38667"/>
  <c r="M41" i="38667" s="1"/>
  <c r="I41" i="19"/>
  <c r="I20" i="43"/>
  <c r="B20" i="42" s="1"/>
  <c r="C20" i="44"/>
  <c r="C20" i="42" s="1"/>
  <c r="E20" i="44"/>
  <c r="D20" i="42" s="1"/>
  <c r="I20" i="44"/>
  <c r="F20" i="42" s="1"/>
  <c r="C20" i="45"/>
  <c r="G20" i="42" s="1"/>
  <c r="G20" i="44"/>
  <c r="E20" i="42" s="1"/>
  <c r="E20" i="45"/>
  <c r="H20" i="42" s="1"/>
  <c r="F16" i="19"/>
  <c r="F27" i="38659"/>
  <c r="I27" i="38658"/>
  <c r="G48" i="9"/>
  <c r="I13" i="38658"/>
  <c r="D50" i="38658"/>
  <c r="I50" i="38658" s="1"/>
  <c r="F13" i="38659"/>
  <c r="F11" i="43"/>
  <c r="B48" i="43"/>
  <c r="I38" i="19"/>
  <c r="L38" i="38667"/>
  <c r="I13" i="19"/>
  <c r="L13" i="38667"/>
  <c r="M13" i="38667" s="1"/>
  <c r="F46" i="38659"/>
  <c r="I46" i="38658"/>
  <c r="L12" i="38667"/>
  <c r="M12" i="38667" s="1"/>
  <c r="I12" i="19"/>
  <c r="I28" i="19"/>
  <c r="L28" i="38667"/>
  <c r="M28" i="38667" s="1"/>
  <c r="H52" i="22"/>
  <c r="J24" i="42"/>
  <c r="E48" i="5"/>
  <c r="G22" i="45"/>
  <c r="I14" i="38658"/>
  <c r="F14" i="38659"/>
  <c r="G48" i="8"/>
  <c r="I33" i="19"/>
  <c r="L33" i="38667"/>
  <c r="M33" i="38667" s="1"/>
  <c r="C12" i="44"/>
  <c r="C12" i="42" s="1"/>
  <c r="I12" i="43"/>
  <c r="B12" i="42" s="1"/>
  <c r="I12" i="44"/>
  <c r="F12" i="42" s="1"/>
  <c r="C12" i="45"/>
  <c r="G12" i="42" s="1"/>
  <c r="E12" i="44"/>
  <c r="D12" i="42" s="1"/>
  <c r="G12" i="44"/>
  <c r="E12" i="42" s="1"/>
  <c r="E12" i="45"/>
  <c r="H12" i="42" s="1"/>
  <c r="E15" i="44"/>
  <c r="D15" i="42" s="1"/>
  <c r="I15" i="44"/>
  <c r="F15" i="42" s="1"/>
  <c r="C15" i="44"/>
  <c r="C15" i="42" s="1"/>
  <c r="C15" i="45"/>
  <c r="G15" i="42" s="1"/>
  <c r="I15" i="43"/>
  <c r="B15" i="42" s="1"/>
  <c r="G15" i="44"/>
  <c r="E15" i="42" s="1"/>
  <c r="E15" i="45"/>
  <c r="H15" i="42" s="1"/>
  <c r="F33" i="38659"/>
  <c r="I33" i="38658"/>
  <c r="I14" i="19"/>
  <c r="L14" i="38667"/>
  <c r="M14" i="38667" s="1"/>
  <c r="L22" i="38667"/>
  <c r="M22" i="38667" s="1"/>
  <c r="I22" i="19"/>
  <c r="J45" i="38667"/>
  <c r="D45" i="18"/>
  <c r="D18" i="18"/>
  <c r="J18" i="38667"/>
  <c r="I28" i="38658"/>
  <c r="F28" i="38659"/>
  <c r="F19" i="38659"/>
  <c r="I19" i="38658"/>
  <c r="L44" i="38667"/>
  <c r="M44" i="38667" s="1"/>
  <c r="I44" i="19"/>
  <c r="L36" i="38667"/>
  <c r="M36" i="38667" s="1"/>
  <c r="I36" i="19"/>
  <c r="F54" i="23"/>
  <c r="G48" i="20"/>
  <c r="G26" i="18"/>
  <c r="K26" i="38667"/>
  <c r="L15" i="38667"/>
  <c r="M15" i="38667" s="1"/>
  <c r="I15" i="19"/>
  <c r="I37" i="19"/>
  <c r="L37" i="38667"/>
  <c r="M37" i="38667" s="1"/>
  <c r="L39" i="38667"/>
  <c r="M39" i="38667" s="1"/>
  <c r="I39" i="19"/>
  <c r="I45" i="19"/>
  <c r="L45" i="38667"/>
  <c r="J38" i="42"/>
  <c r="F24" i="38659"/>
  <c r="I24" i="38658"/>
  <c r="I17" i="38658"/>
  <c r="F17" i="38659"/>
  <c r="F46" i="19"/>
  <c r="I43" i="38658"/>
  <c r="F43" i="38659"/>
  <c r="I31" i="19"/>
  <c r="L31" i="38667"/>
  <c r="M31" i="38667" s="1"/>
  <c r="L23" i="38667"/>
  <c r="M23" i="38667" s="1"/>
  <c r="I23" i="19"/>
  <c r="I52" i="38658"/>
  <c r="I34" i="44"/>
  <c r="F34" i="42" s="1"/>
  <c r="C34" i="44"/>
  <c r="C34" i="42" s="1"/>
  <c r="E34" i="44"/>
  <c r="D34" i="42" s="1"/>
  <c r="I34" i="43"/>
  <c r="B34" i="42" s="1"/>
  <c r="C34" i="45"/>
  <c r="G34" i="42" s="1"/>
  <c r="G34" i="44"/>
  <c r="E34" i="42" s="1"/>
  <c r="E34" i="45"/>
  <c r="H34" i="42" s="1"/>
  <c r="D48" i="38655"/>
  <c r="J48" i="38655"/>
  <c r="L16" i="38667"/>
  <c r="I16" i="19"/>
  <c r="C26" i="44"/>
  <c r="C26" i="42" s="1"/>
  <c r="E26" i="44"/>
  <c r="D26" i="42" s="1"/>
  <c r="I26" i="44"/>
  <c r="F26" i="42" s="1"/>
  <c r="I26" i="43"/>
  <c r="B26" i="42" s="1"/>
  <c r="C26" i="45"/>
  <c r="G26" i="42" s="1"/>
  <c r="E26" i="45"/>
  <c r="H26" i="42" s="1"/>
  <c r="G26" i="44"/>
  <c r="E26" i="42" s="1"/>
  <c r="L21" i="38667"/>
  <c r="M21" i="38667" s="1"/>
  <c r="I21" i="19"/>
  <c r="F23" i="19"/>
  <c r="E51" i="45"/>
  <c r="H51" i="42" s="1"/>
  <c r="C51" i="44"/>
  <c r="C51" i="42" s="1"/>
  <c r="C51" i="45"/>
  <c r="G51" i="42" s="1"/>
  <c r="I51" i="44"/>
  <c r="F51" i="42" s="1"/>
  <c r="I51" i="43"/>
  <c r="B51" i="42" s="1"/>
  <c r="E51" i="44"/>
  <c r="D51" i="42" s="1"/>
  <c r="G51" i="44"/>
  <c r="E51" i="42" s="1"/>
  <c r="D48" i="27"/>
  <c r="D48" i="76" s="1"/>
  <c r="F37" i="38659"/>
  <c r="I37" i="38658"/>
  <c r="L18" i="38667"/>
  <c r="I18" i="19"/>
  <c r="I34" i="19"/>
  <c r="L34" i="38667"/>
  <c r="M34" i="38667" s="1"/>
  <c r="I25" i="19"/>
  <c r="L25" i="38667"/>
  <c r="M25" i="38667" s="1"/>
  <c r="C33" i="44"/>
  <c r="C33" i="42" s="1"/>
  <c r="I33" i="44"/>
  <c r="F33" i="42" s="1"/>
  <c r="C33" i="45"/>
  <c r="G33" i="42" s="1"/>
  <c r="E33" i="44"/>
  <c r="D33" i="42" s="1"/>
  <c r="I33" i="43"/>
  <c r="B33" i="42" s="1"/>
  <c r="G33" i="44"/>
  <c r="E33" i="42" s="1"/>
  <c r="E33" i="45"/>
  <c r="H33" i="42" s="1"/>
  <c r="E36" i="45"/>
  <c r="H36" i="42" s="1"/>
  <c r="I36" i="43"/>
  <c r="B36" i="42" s="1"/>
  <c r="I36" i="44"/>
  <c r="F36" i="42" s="1"/>
  <c r="C36" i="45"/>
  <c r="G36" i="42" s="1"/>
  <c r="C36" i="44"/>
  <c r="C36" i="42" s="1"/>
  <c r="E36" i="44"/>
  <c r="D36" i="42" s="1"/>
  <c r="G36" i="44"/>
  <c r="E36" i="42" s="1"/>
  <c r="J44" i="42"/>
  <c r="J39" i="42"/>
  <c r="I48" i="38658"/>
  <c r="F48" i="38659"/>
  <c r="D48" i="7"/>
  <c r="D48" i="20"/>
  <c r="D54" i="23"/>
  <c r="G31" i="44"/>
  <c r="E31" i="42" s="1"/>
  <c r="C31" i="44"/>
  <c r="C31" i="42" s="1"/>
  <c r="E31" i="44"/>
  <c r="D31" i="42" s="1"/>
  <c r="I31" i="43"/>
  <c r="B31" i="42" s="1"/>
  <c r="I31" i="44"/>
  <c r="F31" i="42" s="1"/>
  <c r="C31" i="45"/>
  <c r="G31" i="42" s="1"/>
  <c r="E31" i="45"/>
  <c r="H31" i="42" s="1"/>
  <c r="I50" i="19"/>
  <c r="F54" i="22"/>
  <c r="F52" i="22"/>
  <c r="F40" i="19"/>
  <c r="J17" i="38667"/>
  <c r="D17" i="18"/>
  <c r="J16" i="38667"/>
  <c r="D16" i="18"/>
  <c r="I21" i="44"/>
  <c r="F21" i="42" s="1"/>
  <c r="C21" i="45"/>
  <c r="G21" i="42" s="1"/>
  <c r="C21" i="44"/>
  <c r="C21" i="42" s="1"/>
  <c r="E21" i="44"/>
  <c r="D21" i="42" s="1"/>
  <c r="I21" i="43"/>
  <c r="B21" i="42" s="1"/>
  <c r="G21" i="44"/>
  <c r="E21" i="42" s="1"/>
  <c r="E21" i="45"/>
  <c r="H21" i="42" s="1"/>
  <c r="L27" i="38667"/>
  <c r="M27" i="38667" s="1"/>
  <c r="I27" i="19"/>
  <c r="I11" i="19"/>
  <c r="L11" i="38667"/>
  <c r="M11" i="38667" s="1"/>
  <c r="G48" i="19"/>
  <c r="I24" i="19"/>
  <c r="L24" i="38667"/>
  <c r="M24" i="38667" s="1"/>
  <c r="L40" i="38667"/>
  <c r="M40" i="38667" s="1"/>
  <c r="I40" i="19"/>
  <c r="F36" i="38659"/>
  <c r="I36" i="38658"/>
  <c r="L19" i="38667"/>
  <c r="M19" i="38667" s="1"/>
  <c r="I19" i="19"/>
  <c r="L35" i="38667"/>
  <c r="M35" i="38667" s="1"/>
  <c r="I35" i="19"/>
  <c r="C13" i="44"/>
  <c r="C13" i="42" s="1"/>
  <c r="E13" i="44"/>
  <c r="D13" i="42" s="1"/>
  <c r="C13" i="45"/>
  <c r="G13" i="42" s="1"/>
  <c r="I13" i="44"/>
  <c r="F13" i="42" s="1"/>
  <c r="G13" i="44"/>
  <c r="E13" i="42" s="1"/>
  <c r="I13" i="43"/>
  <c r="B13" i="42" s="1"/>
  <c r="E13" i="45"/>
  <c r="H13" i="42" s="1"/>
  <c r="I35" i="38658"/>
  <c r="F35" i="38659"/>
  <c r="F21" i="38659"/>
  <c r="I21" i="38658"/>
  <c r="I26" i="19"/>
  <c r="L26" i="38667"/>
  <c r="I17" i="19"/>
  <c r="L17" i="38667"/>
  <c r="I20" i="19"/>
  <c r="L20" i="38667"/>
  <c r="M20" i="38667" s="1"/>
  <c r="B48" i="76"/>
  <c r="G28" i="45"/>
  <c r="D48" i="19"/>
  <c r="G20" i="45"/>
  <c r="B48" i="18"/>
  <c r="M38" i="38667" l="1"/>
  <c r="I11" i="38658"/>
  <c r="J40" i="42"/>
  <c r="K48" i="38667"/>
  <c r="D52" i="22"/>
  <c r="J45" i="42"/>
  <c r="J35" i="42"/>
  <c r="J23" i="42"/>
  <c r="J37" i="42"/>
  <c r="J19" i="42"/>
  <c r="J32" i="42"/>
  <c r="J27" i="42"/>
  <c r="J14" i="42"/>
  <c r="J17" i="42"/>
  <c r="J43" i="42"/>
  <c r="M26" i="38667"/>
  <c r="J46" i="42"/>
  <c r="M17" i="38667"/>
  <c r="J31" i="42"/>
  <c r="B37" i="38659"/>
  <c r="E37" i="38659" s="1"/>
  <c r="K37" i="38659" s="1"/>
  <c r="D35" i="5"/>
  <c r="E35" i="70"/>
  <c r="D34" i="5"/>
  <c r="B36" i="38659"/>
  <c r="E36" i="38659" s="1"/>
  <c r="K36" i="38659" s="1"/>
  <c r="E34" i="70"/>
  <c r="J52" i="22"/>
  <c r="J54" i="22"/>
  <c r="F48" i="19"/>
  <c r="I48" i="19"/>
  <c r="B54" i="23"/>
  <c r="L48" i="38667"/>
  <c r="H11" i="43"/>
  <c r="F48" i="43"/>
  <c r="J21" i="42"/>
  <c r="M16" i="38667"/>
  <c r="J34" i="42"/>
  <c r="J15" i="42"/>
  <c r="J20" i="42"/>
  <c r="J22" i="42"/>
  <c r="D27" i="5"/>
  <c r="B29" i="38659"/>
  <c r="E29" i="38659" s="1"/>
  <c r="G29" i="38659" s="1"/>
  <c r="E27" i="70"/>
  <c r="D30" i="5"/>
  <c r="B32" i="38659"/>
  <c r="E32" i="38659" s="1"/>
  <c r="G32" i="38659" s="1"/>
  <c r="E30" i="70"/>
  <c r="J48" i="38667"/>
  <c r="B52" i="22"/>
  <c r="D48" i="18"/>
  <c r="B34" i="38659"/>
  <c r="E34" i="38659" s="1"/>
  <c r="G34" i="38659" s="1"/>
  <c r="D32" i="5"/>
  <c r="E32" i="70"/>
  <c r="J36" i="42"/>
  <c r="J26" i="42"/>
  <c r="J12" i="42"/>
  <c r="J28" i="42"/>
  <c r="D29" i="5"/>
  <c r="B31" i="38659"/>
  <c r="E31" i="38659" s="1"/>
  <c r="G31" i="38659" s="1"/>
  <c r="E29" i="70"/>
  <c r="D26" i="5"/>
  <c r="B28" i="38659"/>
  <c r="E28" i="38659" s="1"/>
  <c r="K28" i="38659" s="1"/>
  <c r="E26" i="70"/>
  <c r="F50" i="38659"/>
  <c r="J13" i="42"/>
  <c r="J33" i="42"/>
  <c r="M18" i="38667"/>
  <c r="M45" i="38667"/>
  <c r="G28" i="38659" l="1"/>
  <c r="G36" i="38659"/>
  <c r="G37" i="38659"/>
  <c r="D50" i="5"/>
  <c r="E50" i="70"/>
  <c r="F26" i="5"/>
  <c r="C26" i="38"/>
  <c r="E26" i="38"/>
  <c r="G26" i="38"/>
  <c r="F26" i="11"/>
  <c r="C26" i="38656"/>
  <c r="I26" i="20"/>
  <c r="C26" i="35"/>
  <c r="C26" i="34"/>
  <c r="G26" i="34"/>
  <c r="C26" i="37"/>
  <c r="E26" i="82"/>
  <c r="C26" i="27"/>
  <c r="C26" i="76" s="1"/>
  <c r="E26" i="25"/>
  <c r="E26" i="35"/>
  <c r="I26" i="25"/>
  <c r="C26" i="11"/>
  <c r="C26" i="36"/>
  <c r="C26" i="10"/>
  <c r="G26" i="25"/>
  <c r="I26" i="9"/>
  <c r="F26" i="9"/>
  <c r="C26" i="9"/>
  <c r="F26" i="10"/>
  <c r="E26" i="36"/>
  <c r="C26" i="82"/>
  <c r="C26" i="8"/>
  <c r="C26" i="26"/>
  <c r="F26" i="38655"/>
  <c r="E26" i="34"/>
  <c r="G26" i="36"/>
  <c r="F26" i="38656"/>
  <c r="F26" i="8"/>
  <c r="C26" i="25"/>
  <c r="F26" i="26"/>
  <c r="I26" i="10"/>
  <c r="I26" i="38655"/>
  <c r="I26" i="26"/>
  <c r="E26" i="37"/>
  <c r="C26" i="7"/>
  <c r="I26" i="11"/>
  <c r="C26" i="19"/>
  <c r="E26" i="19"/>
  <c r="C26" i="20"/>
  <c r="I26" i="18"/>
  <c r="F26" i="20"/>
  <c r="C26" i="18"/>
  <c r="C26" i="38655"/>
  <c r="H26" i="19"/>
  <c r="F26" i="18"/>
  <c r="K31" i="38659"/>
  <c r="L31" i="38659"/>
  <c r="D25" i="5"/>
  <c r="B27" i="38659"/>
  <c r="E27" i="38659" s="1"/>
  <c r="G27" i="38659" s="1"/>
  <c r="E25" i="70"/>
  <c r="K34" i="38659"/>
  <c r="L34" i="38659"/>
  <c r="F30" i="5"/>
  <c r="E30" i="38"/>
  <c r="C30" i="38"/>
  <c r="G30" i="38"/>
  <c r="I30" i="20"/>
  <c r="I30" i="11"/>
  <c r="I30" i="26"/>
  <c r="F30" i="38655"/>
  <c r="G30" i="36"/>
  <c r="C30" i="9"/>
  <c r="C30" i="27"/>
  <c r="C30" i="76" s="1"/>
  <c r="C30" i="7"/>
  <c r="E30" i="36"/>
  <c r="C30" i="82"/>
  <c r="I30" i="38655"/>
  <c r="C30" i="25"/>
  <c r="F30" i="26"/>
  <c r="C30" i="10"/>
  <c r="E30" i="82"/>
  <c r="C30" i="35"/>
  <c r="G30" i="25"/>
  <c r="E30" i="25"/>
  <c r="C30" i="11"/>
  <c r="E30" i="37"/>
  <c r="E30" i="34"/>
  <c r="C30" i="8"/>
  <c r="I30" i="10"/>
  <c r="I30" i="25"/>
  <c r="F30" i="10"/>
  <c r="C30" i="37"/>
  <c r="F30" i="11"/>
  <c r="C30" i="38656"/>
  <c r="C30" i="36"/>
  <c r="E30" i="35"/>
  <c r="C30" i="26"/>
  <c r="C30" i="34"/>
  <c r="F30" i="38656"/>
  <c r="G30" i="34"/>
  <c r="F30" i="20"/>
  <c r="I30" i="18"/>
  <c r="F30" i="9"/>
  <c r="F30" i="18"/>
  <c r="C30" i="19"/>
  <c r="I30" i="9"/>
  <c r="E30" i="19"/>
  <c r="F30" i="8"/>
  <c r="C30" i="38655"/>
  <c r="C30" i="20"/>
  <c r="H30" i="19"/>
  <c r="C30" i="18"/>
  <c r="K29" i="38659"/>
  <c r="L29" i="38659"/>
  <c r="L28" i="38659"/>
  <c r="M48" i="38667"/>
  <c r="L37" i="38659"/>
  <c r="B43" i="38659"/>
  <c r="E43" i="38659" s="1"/>
  <c r="G43" i="38659" s="1"/>
  <c r="D41" i="5"/>
  <c r="E41" i="70"/>
  <c r="D22" i="5"/>
  <c r="B24" i="38659"/>
  <c r="E24" i="38659" s="1"/>
  <c r="G24" i="38659" s="1"/>
  <c r="E22" i="70"/>
  <c r="B22" i="38659"/>
  <c r="E22" i="38659" s="1"/>
  <c r="G22" i="38659" s="1"/>
  <c r="D20" i="5"/>
  <c r="E20" i="70"/>
  <c r="D23" i="5"/>
  <c r="B25" i="38659"/>
  <c r="E25" i="38659" s="1"/>
  <c r="G25" i="38659" s="1"/>
  <c r="E23" i="70"/>
  <c r="D36" i="5"/>
  <c r="B38" i="38659"/>
  <c r="E38" i="38659" s="1"/>
  <c r="G38" i="38659" s="1"/>
  <c r="E36" i="70"/>
  <c r="D17" i="5"/>
  <c r="B19" i="38659"/>
  <c r="E19" i="38659" s="1"/>
  <c r="G19" i="38659" s="1"/>
  <c r="E17" i="70"/>
  <c r="F32" i="5"/>
  <c r="C32" i="38"/>
  <c r="E32" i="38"/>
  <c r="G32" i="38"/>
  <c r="C32" i="38656"/>
  <c r="F32" i="26"/>
  <c r="C32" i="37"/>
  <c r="I32" i="20"/>
  <c r="F32" i="10"/>
  <c r="I32" i="26"/>
  <c r="F32" i="38656"/>
  <c r="G32" i="34"/>
  <c r="F32" i="8"/>
  <c r="F32" i="9"/>
  <c r="C32" i="9"/>
  <c r="E32" i="82"/>
  <c r="E32" i="37"/>
  <c r="C32" i="82"/>
  <c r="F32" i="38655"/>
  <c r="E32" i="36"/>
  <c r="E32" i="34"/>
  <c r="C32" i="26"/>
  <c r="G32" i="36"/>
  <c r="C32" i="7"/>
  <c r="I32" i="10"/>
  <c r="C32" i="11"/>
  <c r="C32" i="25"/>
  <c r="I32" i="9"/>
  <c r="C32" i="36"/>
  <c r="C32" i="10"/>
  <c r="C32" i="8"/>
  <c r="C32" i="34"/>
  <c r="F32" i="11"/>
  <c r="E32" i="35"/>
  <c r="E32" i="25"/>
  <c r="C32" i="35"/>
  <c r="I32" i="11"/>
  <c r="G32" i="25"/>
  <c r="I32" i="25"/>
  <c r="E32" i="19"/>
  <c r="F32" i="20"/>
  <c r="C32" i="27"/>
  <c r="C32" i="76" s="1"/>
  <c r="I32" i="38655"/>
  <c r="C32" i="18"/>
  <c r="I32" i="18"/>
  <c r="C32" i="38655"/>
  <c r="C32" i="19"/>
  <c r="C32" i="20"/>
  <c r="F32" i="18"/>
  <c r="H32" i="19"/>
  <c r="B46" i="38659"/>
  <c r="E46" i="38659" s="1"/>
  <c r="G46" i="38659" s="1"/>
  <c r="D44" i="5"/>
  <c r="E44" i="70"/>
  <c r="D43" i="5"/>
  <c r="B45" i="38659"/>
  <c r="E45" i="38659" s="1"/>
  <c r="G45" i="38659" s="1"/>
  <c r="E43" i="70"/>
  <c r="D40" i="5"/>
  <c r="B42" i="38659"/>
  <c r="E42" i="38659" s="1"/>
  <c r="G42" i="38659" s="1"/>
  <c r="E40" i="70"/>
  <c r="K32" i="38659"/>
  <c r="L32" i="38659"/>
  <c r="F34" i="5"/>
  <c r="G34" i="38"/>
  <c r="C34" i="38"/>
  <c r="E34" i="38"/>
  <c r="E34" i="36"/>
  <c r="C34" i="35"/>
  <c r="E34" i="37"/>
  <c r="I34" i="20"/>
  <c r="C34" i="27"/>
  <c r="C34" i="76" s="1"/>
  <c r="G34" i="36"/>
  <c r="C34" i="37"/>
  <c r="I34" i="25"/>
  <c r="C34" i="7"/>
  <c r="F34" i="11"/>
  <c r="F34" i="38656"/>
  <c r="C34" i="36"/>
  <c r="I34" i="26"/>
  <c r="C34" i="38656"/>
  <c r="C34" i="8"/>
  <c r="C34" i="25"/>
  <c r="F34" i="9"/>
  <c r="C34" i="26"/>
  <c r="C34" i="34"/>
  <c r="E34" i="25"/>
  <c r="F34" i="38655"/>
  <c r="F34" i="26"/>
  <c r="G34" i="34"/>
  <c r="E34" i="82"/>
  <c r="F34" i="8"/>
  <c r="C34" i="11"/>
  <c r="I34" i="9"/>
  <c r="C34" i="9"/>
  <c r="E34" i="35"/>
  <c r="I34" i="10"/>
  <c r="G34" i="25"/>
  <c r="F34" i="10"/>
  <c r="E34" i="34"/>
  <c r="C34" i="10"/>
  <c r="C34" i="82"/>
  <c r="C34" i="38655"/>
  <c r="C34" i="18"/>
  <c r="I34" i="18"/>
  <c r="F34" i="18"/>
  <c r="C34" i="19"/>
  <c r="I34" i="11"/>
  <c r="E34" i="19"/>
  <c r="I34" i="38655"/>
  <c r="F34" i="20"/>
  <c r="C34" i="20"/>
  <c r="H34" i="19"/>
  <c r="D51" i="5"/>
  <c r="E51" i="70"/>
  <c r="D37" i="5"/>
  <c r="B39" i="38659"/>
  <c r="E39" i="38659" s="1"/>
  <c r="G39" i="38659" s="1"/>
  <c r="E37" i="70"/>
  <c r="B26" i="38659"/>
  <c r="E26" i="38659" s="1"/>
  <c r="G26" i="38659" s="1"/>
  <c r="D24" i="5"/>
  <c r="E24" i="70"/>
  <c r="L36" i="38659"/>
  <c r="B41" i="38659"/>
  <c r="E41" i="38659" s="1"/>
  <c r="G41" i="38659" s="1"/>
  <c r="D39" i="5"/>
  <c r="E39" i="70"/>
  <c r="H48" i="43"/>
  <c r="I11" i="45"/>
  <c r="I11" i="43" s="1"/>
  <c r="B11" i="42" s="1"/>
  <c r="B13" i="38659"/>
  <c r="D11" i="5"/>
  <c r="E11" i="70"/>
  <c r="D42" i="5"/>
  <c r="B44" i="38659"/>
  <c r="E44" i="38659" s="1"/>
  <c r="G44" i="38659" s="1"/>
  <c r="E42" i="70"/>
  <c r="B21" i="38659"/>
  <c r="E21" i="38659" s="1"/>
  <c r="G21" i="38659" s="1"/>
  <c r="D19" i="5"/>
  <c r="E19" i="70"/>
  <c r="D18" i="5"/>
  <c r="E18" i="70"/>
  <c r="B23" i="38659"/>
  <c r="E23" i="38659" s="1"/>
  <c r="G23" i="38659" s="1"/>
  <c r="D21" i="5"/>
  <c r="E21" i="70"/>
  <c r="B14" i="38659"/>
  <c r="E14" i="38659" s="1"/>
  <c r="G14" i="38659" s="1"/>
  <c r="D12" i="5"/>
  <c r="E12" i="70"/>
  <c r="B47" i="38659"/>
  <c r="E47" i="38659" s="1"/>
  <c r="G47" i="38659" s="1"/>
  <c r="D45" i="5"/>
  <c r="E45" i="70"/>
  <c r="D33" i="5"/>
  <c r="B35" i="38659"/>
  <c r="E35" i="38659" s="1"/>
  <c r="G35" i="38659" s="1"/>
  <c r="E33" i="70"/>
  <c r="B48" i="38659"/>
  <c r="E48" i="38659" s="1"/>
  <c r="G48" i="38659" s="1"/>
  <c r="D46" i="5"/>
  <c r="E46" i="70"/>
  <c r="F29" i="5"/>
  <c r="C29" i="38"/>
  <c r="G29" i="38"/>
  <c r="E29" i="38"/>
  <c r="G29" i="25"/>
  <c r="E29" i="35"/>
  <c r="I29" i="20"/>
  <c r="E29" i="37"/>
  <c r="I29" i="11"/>
  <c r="I29" i="26"/>
  <c r="C29" i="35"/>
  <c r="C29" i="8"/>
  <c r="I29" i="38655"/>
  <c r="C29" i="36"/>
  <c r="C29" i="37"/>
  <c r="C29" i="34"/>
  <c r="F29" i="11"/>
  <c r="C29" i="25"/>
  <c r="C29" i="9"/>
  <c r="F29" i="38656"/>
  <c r="I29" i="10"/>
  <c r="C29" i="10"/>
  <c r="F29" i="38655"/>
  <c r="E29" i="82"/>
  <c r="F29" i="8"/>
  <c r="E29" i="36"/>
  <c r="F29" i="26"/>
  <c r="C29" i="38656"/>
  <c r="G29" i="36"/>
  <c r="F29" i="10"/>
  <c r="I29" i="25"/>
  <c r="F29" i="9"/>
  <c r="E29" i="34"/>
  <c r="C29" i="27"/>
  <c r="C29" i="76" s="1"/>
  <c r="C29" i="26"/>
  <c r="C29" i="11"/>
  <c r="E29" i="25"/>
  <c r="C29" i="82"/>
  <c r="G29" i="34"/>
  <c r="I29" i="9"/>
  <c r="C29" i="7"/>
  <c r="C29" i="20"/>
  <c r="C29" i="19"/>
  <c r="E29" i="19"/>
  <c r="C29" i="38655"/>
  <c r="I29" i="18"/>
  <c r="F29" i="18"/>
  <c r="F29" i="20"/>
  <c r="C29" i="18"/>
  <c r="H29" i="19"/>
  <c r="D15" i="5"/>
  <c r="B17" i="38659"/>
  <c r="E17" i="38659" s="1"/>
  <c r="G17" i="38659" s="1"/>
  <c r="E15" i="70"/>
  <c r="D31" i="5"/>
  <c r="B33" i="38659"/>
  <c r="E33" i="38659" s="1"/>
  <c r="G33" i="38659" s="1"/>
  <c r="E31" i="70"/>
  <c r="B18" i="38659"/>
  <c r="E18" i="38659" s="1"/>
  <c r="G18" i="38659" s="1"/>
  <c r="D16" i="5"/>
  <c r="E16" i="70"/>
  <c r="D13" i="5"/>
  <c r="B15" i="38659"/>
  <c r="E15" i="38659" s="1"/>
  <c r="G15" i="38659" s="1"/>
  <c r="E13" i="70"/>
  <c r="D38" i="5"/>
  <c r="B40" i="38659"/>
  <c r="E40" i="38659" s="1"/>
  <c r="G40" i="38659" s="1"/>
  <c r="E38" i="70"/>
  <c r="F27" i="5"/>
  <c r="C27" i="38"/>
  <c r="G27" i="38"/>
  <c r="E27" i="38"/>
  <c r="I27" i="20"/>
  <c r="E27" i="37"/>
  <c r="F27" i="38656"/>
  <c r="F27" i="20"/>
  <c r="E27" i="35"/>
  <c r="C27" i="36"/>
  <c r="E27" i="25"/>
  <c r="G27" i="34"/>
  <c r="F27" i="11"/>
  <c r="F27" i="10"/>
  <c r="E27" i="34"/>
  <c r="F27" i="8"/>
  <c r="I27" i="25"/>
  <c r="E27" i="36"/>
  <c r="I27" i="10"/>
  <c r="C27" i="10"/>
  <c r="C27" i="9"/>
  <c r="E27" i="82"/>
  <c r="C27" i="26"/>
  <c r="C27" i="34"/>
  <c r="G27" i="25"/>
  <c r="F27" i="9"/>
  <c r="C27" i="8"/>
  <c r="C27" i="11"/>
  <c r="F27" i="26"/>
  <c r="C27" i="35"/>
  <c r="I27" i="26"/>
  <c r="I27" i="38655"/>
  <c r="I27" i="9"/>
  <c r="C27" i="25"/>
  <c r="F27" i="38655"/>
  <c r="G27" i="36"/>
  <c r="C27" i="7"/>
  <c r="C27" i="82"/>
  <c r="C27" i="37"/>
  <c r="I27" i="18"/>
  <c r="C27" i="27"/>
  <c r="C27" i="76" s="1"/>
  <c r="C27" i="20"/>
  <c r="F27" i="18"/>
  <c r="C27" i="18"/>
  <c r="C27" i="38656"/>
  <c r="I27" i="11"/>
  <c r="E27" i="19"/>
  <c r="C27" i="38655"/>
  <c r="C27" i="19"/>
  <c r="H27" i="19"/>
  <c r="F35" i="5"/>
  <c r="C35" i="38"/>
  <c r="E35" i="38"/>
  <c r="G35" i="38"/>
  <c r="I35" i="20"/>
  <c r="G35" i="34"/>
  <c r="E35" i="37"/>
  <c r="F35" i="11"/>
  <c r="E35" i="25"/>
  <c r="C35" i="35"/>
  <c r="G35" i="36"/>
  <c r="G35" i="25"/>
  <c r="C35" i="10"/>
  <c r="C35" i="36"/>
  <c r="I35" i="26"/>
  <c r="I35" i="25"/>
  <c r="C35" i="25"/>
  <c r="F35" i="9"/>
  <c r="E35" i="82"/>
  <c r="C35" i="27"/>
  <c r="C35" i="76" s="1"/>
  <c r="C35" i="7"/>
  <c r="I35" i="11"/>
  <c r="C35" i="82"/>
  <c r="I35" i="38655"/>
  <c r="C35" i="9"/>
  <c r="F35" i="20"/>
  <c r="I35" i="9"/>
  <c r="I35" i="10"/>
  <c r="F35" i="38656"/>
  <c r="E35" i="36"/>
  <c r="C35" i="26"/>
  <c r="F35" i="26"/>
  <c r="F35" i="38655"/>
  <c r="C35" i="34"/>
  <c r="C35" i="11"/>
  <c r="E35" i="34"/>
  <c r="F35" i="8"/>
  <c r="C35" i="8"/>
  <c r="F35" i="10"/>
  <c r="E35" i="35"/>
  <c r="C35" i="37"/>
  <c r="F35" i="18"/>
  <c r="C35" i="19"/>
  <c r="I35" i="18"/>
  <c r="C35" i="18"/>
  <c r="C35" i="20"/>
  <c r="E35" i="19"/>
  <c r="C35" i="38655"/>
  <c r="C35" i="38656"/>
  <c r="H35" i="19"/>
  <c r="B30" i="38659"/>
  <c r="E30" i="38659" s="1"/>
  <c r="G30" i="38659" s="1"/>
  <c r="D28" i="5"/>
  <c r="E28" i="70"/>
  <c r="D14" i="5"/>
  <c r="E14" i="70"/>
  <c r="F14" i="5" l="1"/>
  <c r="C14" i="38"/>
  <c r="E14" i="38"/>
  <c r="G14" i="38"/>
  <c r="I14" i="20"/>
  <c r="C14" i="11"/>
  <c r="C14" i="10"/>
  <c r="E14" i="34"/>
  <c r="C14" i="38656"/>
  <c r="I14" i="25"/>
  <c r="C14" i="8"/>
  <c r="I14" i="38655"/>
  <c r="F14" i="11"/>
  <c r="F14" i="38655"/>
  <c r="C14" i="82"/>
  <c r="G14" i="34"/>
  <c r="C14" i="35"/>
  <c r="C14" i="36"/>
  <c r="C14" i="37"/>
  <c r="G14" i="25"/>
  <c r="F14" i="10"/>
  <c r="I14" i="11"/>
  <c r="G14" i="36"/>
  <c r="C14" i="7"/>
  <c r="C14" i="25"/>
  <c r="E14" i="36"/>
  <c r="E14" i="25"/>
  <c r="C14" i="9"/>
  <c r="E14" i="82"/>
  <c r="C14" i="34"/>
  <c r="E14" i="35"/>
  <c r="F14" i="38656"/>
  <c r="I14" i="9"/>
  <c r="F14" i="9"/>
  <c r="I14" i="10"/>
  <c r="I14" i="26"/>
  <c r="C14" i="27"/>
  <c r="C14" i="76" s="1"/>
  <c r="E14" i="37"/>
  <c r="C14" i="26"/>
  <c r="F14" i="26"/>
  <c r="F14" i="8"/>
  <c r="F14" i="20"/>
  <c r="C14" i="20"/>
  <c r="I14" i="18"/>
  <c r="C14" i="38655"/>
  <c r="C14" i="19"/>
  <c r="E14" i="19"/>
  <c r="F14" i="18"/>
  <c r="C14" i="18"/>
  <c r="H14" i="19"/>
  <c r="D35" i="6"/>
  <c r="E35" i="6" s="1"/>
  <c r="C35" i="38648" s="1"/>
  <c r="K40" i="38659"/>
  <c r="L40" i="38659"/>
  <c r="F13" i="5"/>
  <c r="G13" i="38"/>
  <c r="C13" i="38"/>
  <c r="E13" i="38"/>
  <c r="I13" i="20"/>
  <c r="C13" i="8"/>
  <c r="C13" i="9"/>
  <c r="I13" i="11"/>
  <c r="E13" i="36"/>
  <c r="E13" i="82"/>
  <c r="I13" i="25"/>
  <c r="I13" i="38655"/>
  <c r="F13" i="38655"/>
  <c r="F13" i="8"/>
  <c r="G13" i="25"/>
  <c r="C13" i="82"/>
  <c r="C13" i="11"/>
  <c r="C13" i="10"/>
  <c r="I13" i="10"/>
  <c r="G13" i="34"/>
  <c r="I13" i="9"/>
  <c r="C13" i="36"/>
  <c r="F13" i="10"/>
  <c r="C13" i="34"/>
  <c r="C13" i="35"/>
  <c r="G13" i="36"/>
  <c r="E13" i="34"/>
  <c r="C13" i="27"/>
  <c r="C13" i="76" s="1"/>
  <c r="F13" i="11"/>
  <c r="C13" i="25"/>
  <c r="C13" i="7"/>
  <c r="E13" i="37"/>
  <c r="I13" i="26"/>
  <c r="F13" i="26"/>
  <c r="E13" i="35"/>
  <c r="F13" i="38656"/>
  <c r="C13" i="26"/>
  <c r="C13" i="37"/>
  <c r="E13" i="25"/>
  <c r="F13" i="9"/>
  <c r="C13" i="38656"/>
  <c r="F13" i="18"/>
  <c r="C13" i="38655"/>
  <c r="C13" i="20"/>
  <c r="C13" i="18"/>
  <c r="I13" i="18"/>
  <c r="C13" i="19"/>
  <c r="E13" i="19"/>
  <c r="F13" i="20"/>
  <c r="H13" i="19"/>
  <c r="K17" i="38659"/>
  <c r="L17" i="38659"/>
  <c r="K35" i="38659"/>
  <c r="L35" i="38659"/>
  <c r="K47" i="38659"/>
  <c r="L47" i="38659"/>
  <c r="F18" i="5"/>
  <c r="E18" i="38"/>
  <c r="G18" i="38"/>
  <c r="C18" i="38"/>
  <c r="I18" i="20"/>
  <c r="C18" i="8"/>
  <c r="C18" i="34"/>
  <c r="G18" i="36"/>
  <c r="E18" i="36"/>
  <c r="C18" i="36"/>
  <c r="E18" i="37"/>
  <c r="I18" i="26"/>
  <c r="C18" i="82"/>
  <c r="E18" i="34"/>
  <c r="F18" i="26"/>
  <c r="G18" i="34"/>
  <c r="C18" i="37"/>
  <c r="C18" i="11"/>
  <c r="C18" i="25"/>
  <c r="C18" i="35"/>
  <c r="C18" i="26"/>
  <c r="C18" i="9"/>
  <c r="I18" i="25"/>
  <c r="F18" i="11"/>
  <c r="F18" i="8"/>
  <c r="C18" i="27"/>
  <c r="C18" i="76" s="1"/>
  <c r="E18" i="35"/>
  <c r="E18" i="25"/>
  <c r="C18" i="7"/>
  <c r="E18" i="82"/>
  <c r="F18" i="38656"/>
  <c r="F18" i="38655"/>
  <c r="I18" i="9"/>
  <c r="C18" i="10"/>
  <c r="F18" i="10"/>
  <c r="G18" i="25"/>
  <c r="I18" i="11"/>
  <c r="I18" i="10"/>
  <c r="I18" i="18"/>
  <c r="C18" i="38655"/>
  <c r="F18" i="9"/>
  <c r="C18" i="20"/>
  <c r="E18" i="19"/>
  <c r="F18" i="20"/>
  <c r="F18" i="18"/>
  <c r="C18" i="19"/>
  <c r="I18" i="38655"/>
  <c r="C18" i="38656"/>
  <c r="C18" i="18"/>
  <c r="H18" i="19"/>
  <c r="E48" i="70"/>
  <c r="I48" i="45"/>
  <c r="C11" i="45"/>
  <c r="G11" i="42" s="1"/>
  <c r="C11" i="44"/>
  <c r="C11" i="42" s="1"/>
  <c r="I11" i="44"/>
  <c r="F11" i="42" s="1"/>
  <c r="E11" i="44"/>
  <c r="D11" i="42" s="1"/>
  <c r="G11" i="45"/>
  <c r="E11" i="45"/>
  <c r="H11" i="42" s="1"/>
  <c r="G11" i="44"/>
  <c r="E11" i="42" s="1"/>
  <c r="K41" i="38659"/>
  <c r="L41" i="38659"/>
  <c r="F24" i="5"/>
  <c r="C24" i="38"/>
  <c r="E24" i="38"/>
  <c r="G24" i="38"/>
  <c r="I24" i="20"/>
  <c r="G24" i="36"/>
  <c r="C24" i="82"/>
  <c r="C24" i="37"/>
  <c r="G24" i="34"/>
  <c r="F24" i="11"/>
  <c r="I24" i="25"/>
  <c r="I24" i="38655"/>
  <c r="C24" i="35"/>
  <c r="C24" i="8"/>
  <c r="C24" i="11"/>
  <c r="C24" i="9"/>
  <c r="C24" i="27"/>
  <c r="C24" i="76" s="1"/>
  <c r="E24" i="25"/>
  <c r="I24" i="11"/>
  <c r="F24" i="8"/>
  <c r="E24" i="82"/>
  <c r="I24" i="26"/>
  <c r="C24" i="36"/>
  <c r="F24" i="26"/>
  <c r="C24" i="26"/>
  <c r="F24" i="38655"/>
  <c r="E24" i="34"/>
  <c r="E24" i="37"/>
  <c r="G24" i="25"/>
  <c r="C24" i="34"/>
  <c r="E24" i="35"/>
  <c r="C24" i="38656"/>
  <c r="E24" i="36"/>
  <c r="I24" i="10"/>
  <c r="C24" i="7"/>
  <c r="F24" i="38656"/>
  <c r="I24" i="9"/>
  <c r="F24" i="9"/>
  <c r="F24" i="10"/>
  <c r="C24" i="10"/>
  <c r="C24" i="25"/>
  <c r="C24" i="18"/>
  <c r="F24" i="20"/>
  <c r="E24" i="19"/>
  <c r="I24" i="18"/>
  <c r="F24" i="18"/>
  <c r="C24" i="19"/>
  <c r="C24" i="20"/>
  <c r="C24" i="38655"/>
  <c r="H24" i="19"/>
  <c r="F37" i="5"/>
  <c r="C37" i="38"/>
  <c r="G37" i="38"/>
  <c r="E37" i="38"/>
  <c r="I37" i="38655"/>
  <c r="G37" i="34"/>
  <c r="E37" i="36"/>
  <c r="E37" i="25"/>
  <c r="I37" i="20"/>
  <c r="F37" i="9"/>
  <c r="F37" i="38655"/>
  <c r="E37" i="34"/>
  <c r="C37" i="36"/>
  <c r="C37" i="9"/>
  <c r="F37" i="10"/>
  <c r="I37" i="25"/>
  <c r="G37" i="36"/>
  <c r="C37" i="82"/>
  <c r="E37" i="82"/>
  <c r="C37" i="25"/>
  <c r="C37" i="10"/>
  <c r="E37" i="35"/>
  <c r="G37" i="25"/>
  <c r="C37" i="26"/>
  <c r="C37" i="8"/>
  <c r="C37" i="37"/>
  <c r="C37" i="35"/>
  <c r="F37" i="26"/>
  <c r="C37" i="7"/>
  <c r="I37" i="11"/>
  <c r="C37" i="34"/>
  <c r="C37" i="11"/>
  <c r="I37" i="9"/>
  <c r="F37" i="11"/>
  <c r="F37" i="8"/>
  <c r="I37" i="26"/>
  <c r="I37" i="10"/>
  <c r="F37" i="38656"/>
  <c r="E37" i="37"/>
  <c r="F37" i="18"/>
  <c r="E37" i="19"/>
  <c r="C37" i="27"/>
  <c r="C37" i="76" s="1"/>
  <c r="C37" i="38655"/>
  <c r="I37" i="18"/>
  <c r="C37" i="19"/>
  <c r="C37" i="20"/>
  <c r="F37" i="20"/>
  <c r="C37" i="18"/>
  <c r="C37" i="38656"/>
  <c r="H37" i="19"/>
  <c r="D34" i="6"/>
  <c r="E34" i="6" s="1"/>
  <c r="C34" i="38648" s="1"/>
  <c r="K42" i="38659"/>
  <c r="L42" i="38659"/>
  <c r="F43" i="5"/>
  <c r="C43" i="38"/>
  <c r="E43" i="38"/>
  <c r="G43" i="38"/>
  <c r="I43" i="20"/>
  <c r="I43" i="25"/>
  <c r="C43" i="37"/>
  <c r="C43" i="27"/>
  <c r="C43" i="76" s="1"/>
  <c r="C43" i="8"/>
  <c r="E43" i="37"/>
  <c r="I43" i="38655"/>
  <c r="F43" i="9"/>
  <c r="C43" i="9"/>
  <c r="F43" i="11"/>
  <c r="E43" i="82"/>
  <c r="C43" i="26"/>
  <c r="C43" i="25"/>
  <c r="E43" i="35"/>
  <c r="F43" i="10"/>
  <c r="C43" i="7"/>
  <c r="C43" i="38656"/>
  <c r="C43" i="11"/>
  <c r="E43" i="36"/>
  <c r="C43" i="34"/>
  <c r="C43" i="35"/>
  <c r="G43" i="36"/>
  <c r="I43" i="10"/>
  <c r="F43" i="8"/>
  <c r="I43" i="9"/>
  <c r="F43" i="26"/>
  <c r="E43" i="25"/>
  <c r="I43" i="26"/>
  <c r="E43" i="34"/>
  <c r="C43" i="36"/>
  <c r="F43" i="38656"/>
  <c r="C43" i="10"/>
  <c r="G43" i="25"/>
  <c r="C43" i="82"/>
  <c r="G43" i="34"/>
  <c r="F43" i="38655"/>
  <c r="C43" i="20"/>
  <c r="F43" i="20"/>
  <c r="E43" i="19"/>
  <c r="C43" i="19"/>
  <c r="I43" i="11"/>
  <c r="C43" i="18"/>
  <c r="C43" i="38655"/>
  <c r="F43" i="18"/>
  <c r="I43" i="18"/>
  <c r="H43" i="19"/>
  <c r="F17" i="5"/>
  <c r="C17" i="38"/>
  <c r="E17" i="38"/>
  <c r="G17" i="38"/>
  <c r="I17" i="20"/>
  <c r="G17" i="36"/>
  <c r="C17" i="27"/>
  <c r="C17" i="76" s="1"/>
  <c r="C17" i="37"/>
  <c r="C17" i="9"/>
  <c r="I17" i="10"/>
  <c r="C17" i="34"/>
  <c r="E17" i="25"/>
  <c r="G17" i="34"/>
  <c r="I17" i="26"/>
  <c r="F17" i="38656"/>
  <c r="C17" i="10"/>
  <c r="F17" i="26"/>
  <c r="I17" i="11"/>
  <c r="E17" i="34"/>
  <c r="C17" i="35"/>
  <c r="C17" i="25"/>
  <c r="C17" i="26"/>
  <c r="F17" i="10"/>
  <c r="F17" i="38655"/>
  <c r="G17" i="25"/>
  <c r="E17" i="35"/>
  <c r="E17" i="37"/>
  <c r="E17" i="36"/>
  <c r="E17" i="82"/>
  <c r="F17" i="8"/>
  <c r="C17" i="11"/>
  <c r="I17" i="25"/>
  <c r="I17" i="38655"/>
  <c r="C17" i="82"/>
  <c r="F17" i="11"/>
  <c r="C17" i="8"/>
  <c r="C17" i="36"/>
  <c r="F17" i="9"/>
  <c r="C17" i="7"/>
  <c r="I17" i="18"/>
  <c r="F17" i="18"/>
  <c r="C17" i="19"/>
  <c r="I17" i="9"/>
  <c r="F17" i="20"/>
  <c r="C17" i="20"/>
  <c r="E17" i="19"/>
  <c r="C17" i="38656"/>
  <c r="C17" i="38655"/>
  <c r="H17" i="19"/>
  <c r="C17" i="18"/>
  <c r="F20" i="5"/>
  <c r="E20" i="38"/>
  <c r="C20" i="38"/>
  <c r="G20" i="38"/>
  <c r="C20" i="37"/>
  <c r="I20" i="20"/>
  <c r="C20" i="8"/>
  <c r="C20" i="25"/>
  <c r="F20" i="10"/>
  <c r="F20" i="38655"/>
  <c r="G20" i="36"/>
  <c r="F20" i="38656"/>
  <c r="I20" i="11"/>
  <c r="E20" i="35"/>
  <c r="C20" i="35"/>
  <c r="F20" i="8"/>
  <c r="C20" i="82"/>
  <c r="C20" i="9"/>
  <c r="C20" i="11"/>
  <c r="C20" i="10"/>
  <c r="G20" i="25"/>
  <c r="C20" i="38656"/>
  <c r="I20" i="25"/>
  <c r="I20" i="9"/>
  <c r="C20" i="34"/>
  <c r="F20" i="9"/>
  <c r="I20" i="26"/>
  <c r="I20" i="38655"/>
  <c r="F20" i="26"/>
  <c r="F20" i="11"/>
  <c r="E20" i="82"/>
  <c r="I20" i="10"/>
  <c r="G20" i="34"/>
  <c r="C20" i="36"/>
  <c r="C20" i="7"/>
  <c r="E20" i="34"/>
  <c r="C20" i="26"/>
  <c r="E20" i="36"/>
  <c r="E20" i="25"/>
  <c r="E20" i="37"/>
  <c r="F20" i="18"/>
  <c r="F20" i="20"/>
  <c r="I20" i="18"/>
  <c r="C20" i="20"/>
  <c r="C20" i="27"/>
  <c r="C20" i="76" s="1"/>
  <c r="C20" i="19"/>
  <c r="C20" i="18"/>
  <c r="E20" i="19"/>
  <c r="C20" i="38655"/>
  <c r="H20" i="19"/>
  <c r="F22" i="5"/>
  <c r="C22" i="38"/>
  <c r="G22" i="38"/>
  <c r="E22" i="38"/>
  <c r="I22" i="20"/>
  <c r="I22" i="11"/>
  <c r="E22" i="34"/>
  <c r="F22" i="38656"/>
  <c r="F22" i="8"/>
  <c r="C22" i="37"/>
  <c r="C22" i="8"/>
  <c r="F22" i="11"/>
  <c r="G22" i="25"/>
  <c r="F22" i="38655"/>
  <c r="C22" i="34"/>
  <c r="F22" i="26"/>
  <c r="E22" i="36"/>
  <c r="I22" i="10"/>
  <c r="C22" i="25"/>
  <c r="F22" i="10"/>
  <c r="I22" i="9"/>
  <c r="C22" i="35"/>
  <c r="I22" i="26"/>
  <c r="I22" i="25"/>
  <c r="C22" i="11"/>
  <c r="I22" i="38655"/>
  <c r="C22" i="27"/>
  <c r="C22" i="76" s="1"/>
  <c r="E22" i="37"/>
  <c r="E22" i="35"/>
  <c r="C22" i="10"/>
  <c r="E22" i="25"/>
  <c r="C22" i="7"/>
  <c r="C22" i="36"/>
  <c r="C22" i="26"/>
  <c r="C22" i="9"/>
  <c r="E22" i="82"/>
  <c r="G22" i="36"/>
  <c r="F22" i="9"/>
  <c r="G22" i="34"/>
  <c r="C22" i="82"/>
  <c r="C22" i="19"/>
  <c r="C22" i="38655"/>
  <c r="E22" i="19"/>
  <c r="C22" i="38656"/>
  <c r="I22" i="18"/>
  <c r="C22" i="20"/>
  <c r="F22" i="20"/>
  <c r="C22" i="18"/>
  <c r="F22" i="18"/>
  <c r="H22" i="19"/>
  <c r="K27" i="38659"/>
  <c r="L27" i="38659"/>
  <c r="F50" i="5"/>
  <c r="D50" i="6" s="1"/>
  <c r="E50" i="6" s="1"/>
  <c r="C50" i="38648" s="1"/>
  <c r="G50" i="38"/>
  <c r="C50" i="38"/>
  <c r="E50" i="38"/>
  <c r="F50" i="26"/>
  <c r="I50" i="20"/>
  <c r="I50" i="11"/>
  <c r="F50" i="8"/>
  <c r="C50" i="34"/>
  <c r="E50" i="25"/>
  <c r="C50" i="11"/>
  <c r="C50" i="9"/>
  <c r="E50" i="37"/>
  <c r="G50" i="25"/>
  <c r="C50" i="8"/>
  <c r="F50" i="11"/>
  <c r="E50" i="34"/>
  <c r="C50" i="37"/>
  <c r="C50" i="35"/>
  <c r="I50" i="9"/>
  <c r="G50" i="36"/>
  <c r="F50" i="9"/>
  <c r="F50" i="38655"/>
  <c r="F50" i="38656"/>
  <c r="I50" i="38655"/>
  <c r="I50" i="25"/>
  <c r="E50" i="36"/>
  <c r="C50" i="10"/>
  <c r="E50" i="35"/>
  <c r="C50" i="27"/>
  <c r="C50" i="76" s="1"/>
  <c r="C50" i="25"/>
  <c r="C50" i="7"/>
  <c r="G50" i="34"/>
  <c r="C50" i="26"/>
  <c r="C50" i="36"/>
  <c r="F50" i="10"/>
  <c r="E50" i="82"/>
  <c r="I50" i="26"/>
  <c r="C50" i="82"/>
  <c r="I50" i="10"/>
  <c r="C50" i="20"/>
  <c r="C50" i="18"/>
  <c r="F50" i="20"/>
  <c r="E50" i="19"/>
  <c r="C50" i="38656"/>
  <c r="C50" i="19"/>
  <c r="C50" i="38655"/>
  <c r="F50" i="18"/>
  <c r="I50" i="18"/>
  <c r="H50" i="19"/>
  <c r="K15" i="38659"/>
  <c r="L15" i="38659"/>
  <c r="K18" i="38659"/>
  <c r="L18" i="38659"/>
  <c r="D29" i="6"/>
  <c r="E29" i="6" s="1"/>
  <c r="C29" i="38648" s="1"/>
  <c r="F45" i="5"/>
  <c r="C45" i="38"/>
  <c r="G45" i="38"/>
  <c r="E45" i="38"/>
  <c r="G45" i="36"/>
  <c r="I45" i="20"/>
  <c r="G45" i="34"/>
  <c r="C45" i="36"/>
  <c r="I45" i="25"/>
  <c r="I45" i="10"/>
  <c r="F45" i="38656"/>
  <c r="C45" i="25"/>
  <c r="C45" i="34"/>
  <c r="I45" i="26"/>
  <c r="C45" i="37"/>
  <c r="F45" i="8"/>
  <c r="I45" i="11"/>
  <c r="F45" i="10"/>
  <c r="F45" i="11"/>
  <c r="G45" i="25"/>
  <c r="E45" i="35"/>
  <c r="C45" i="10"/>
  <c r="F45" i="38655"/>
  <c r="E45" i="36"/>
  <c r="C45" i="26"/>
  <c r="F45" i="26"/>
  <c r="F45" i="9"/>
  <c r="C45" i="9"/>
  <c r="I45" i="38655"/>
  <c r="E45" i="25"/>
  <c r="C45" i="11"/>
  <c r="E45" i="82"/>
  <c r="C45" i="7"/>
  <c r="E45" i="34"/>
  <c r="C45" i="35"/>
  <c r="E45" i="37"/>
  <c r="C45" i="38656"/>
  <c r="I45" i="9"/>
  <c r="C45" i="82"/>
  <c r="C45" i="8"/>
  <c r="C45" i="38655"/>
  <c r="E45" i="19"/>
  <c r="C45" i="27"/>
  <c r="C45" i="76" s="1"/>
  <c r="C45" i="19"/>
  <c r="F45" i="18"/>
  <c r="I45" i="18"/>
  <c r="C45" i="20"/>
  <c r="F45" i="20"/>
  <c r="H45" i="19"/>
  <c r="C45" i="18"/>
  <c r="K14" i="38659"/>
  <c r="L14" i="38659"/>
  <c r="K21" i="38659"/>
  <c r="L21" i="38659"/>
  <c r="F39" i="5"/>
  <c r="E39" i="38"/>
  <c r="C39" i="38"/>
  <c r="G39" i="38"/>
  <c r="C39" i="38656"/>
  <c r="I39" i="20"/>
  <c r="F39" i="9"/>
  <c r="G39" i="34"/>
  <c r="C39" i="9"/>
  <c r="E39" i="25"/>
  <c r="C39" i="82"/>
  <c r="I39" i="9"/>
  <c r="C39" i="35"/>
  <c r="E39" i="34"/>
  <c r="F39" i="38656"/>
  <c r="F39" i="38655"/>
  <c r="G39" i="25"/>
  <c r="C39" i="37"/>
  <c r="F39" i="8"/>
  <c r="C39" i="8"/>
  <c r="I39" i="26"/>
  <c r="C39" i="10"/>
  <c r="C39" i="27"/>
  <c r="C39" i="76" s="1"/>
  <c r="G39" i="36"/>
  <c r="F39" i="11"/>
  <c r="E39" i="36"/>
  <c r="E39" i="35"/>
  <c r="F39" i="26"/>
  <c r="I39" i="10"/>
  <c r="C39" i="26"/>
  <c r="C39" i="7"/>
  <c r="C39" i="11"/>
  <c r="C39" i="36"/>
  <c r="C39" i="34"/>
  <c r="I39" i="38655"/>
  <c r="F39" i="10"/>
  <c r="C39" i="25"/>
  <c r="E39" i="82"/>
  <c r="E39" i="37"/>
  <c r="I39" i="11"/>
  <c r="I39" i="25"/>
  <c r="F39" i="20"/>
  <c r="I39" i="18"/>
  <c r="F39" i="18"/>
  <c r="C39" i="38655"/>
  <c r="E39" i="19"/>
  <c r="C39" i="18"/>
  <c r="C39" i="19"/>
  <c r="C39" i="20"/>
  <c r="H39" i="19"/>
  <c r="K39" i="38659"/>
  <c r="L39" i="38659"/>
  <c r="K45" i="38659"/>
  <c r="L45" i="38659"/>
  <c r="K46" i="38659"/>
  <c r="L46" i="38659"/>
  <c r="K19" i="38659"/>
  <c r="L19" i="38659"/>
  <c r="F36" i="5"/>
  <c r="E36" i="38"/>
  <c r="G36" i="38"/>
  <c r="C36" i="38"/>
  <c r="F36" i="26"/>
  <c r="I36" i="20"/>
  <c r="G36" i="34"/>
  <c r="I36" i="11"/>
  <c r="F36" i="38655"/>
  <c r="C36" i="11"/>
  <c r="E36" i="25"/>
  <c r="I36" i="9"/>
  <c r="E36" i="82"/>
  <c r="F36" i="11"/>
  <c r="I36" i="25"/>
  <c r="F36" i="10"/>
  <c r="I36" i="26"/>
  <c r="E36" i="37"/>
  <c r="C36" i="35"/>
  <c r="C36" i="37"/>
  <c r="C36" i="9"/>
  <c r="C36" i="25"/>
  <c r="F36" i="8"/>
  <c r="C36" i="36"/>
  <c r="G36" i="36"/>
  <c r="F36" i="38656"/>
  <c r="C36" i="7"/>
  <c r="C36" i="38656"/>
  <c r="F36" i="9"/>
  <c r="I36" i="10"/>
  <c r="C36" i="10"/>
  <c r="E36" i="36"/>
  <c r="C36" i="82"/>
  <c r="E36" i="34"/>
  <c r="C36" i="34"/>
  <c r="C36" i="8"/>
  <c r="C36" i="26"/>
  <c r="E36" i="35"/>
  <c r="G36" i="25"/>
  <c r="C36" i="38655"/>
  <c r="F36" i="20"/>
  <c r="I36" i="18"/>
  <c r="C36" i="20"/>
  <c r="C36" i="18"/>
  <c r="F36" i="18"/>
  <c r="C36" i="27"/>
  <c r="C36" i="76" s="1"/>
  <c r="I36" i="38655"/>
  <c r="E36" i="19"/>
  <c r="C36" i="19"/>
  <c r="H36" i="19"/>
  <c r="K24" i="38659"/>
  <c r="L24" i="38659"/>
  <c r="K43" i="38659"/>
  <c r="L43" i="38659"/>
  <c r="K30" i="38659"/>
  <c r="L30" i="38659"/>
  <c r="D27" i="6"/>
  <c r="E27" i="6" s="1"/>
  <c r="C27" i="38648" s="1"/>
  <c r="F31" i="5"/>
  <c r="G31" i="38"/>
  <c r="C31" i="38"/>
  <c r="E31" i="38"/>
  <c r="I31" i="20"/>
  <c r="G31" i="34"/>
  <c r="C31" i="37"/>
  <c r="E31" i="25"/>
  <c r="C31" i="11"/>
  <c r="I31" i="26"/>
  <c r="I31" i="38655"/>
  <c r="E31" i="35"/>
  <c r="E31" i="37"/>
  <c r="G31" i="36"/>
  <c r="C31" i="27"/>
  <c r="C31" i="76" s="1"/>
  <c r="F31" i="10"/>
  <c r="F31" i="9"/>
  <c r="C31" i="10"/>
  <c r="F31" i="38655"/>
  <c r="I31" i="11"/>
  <c r="F31" i="26"/>
  <c r="I31" i="25"/>
  <c r="C31" i="34"/>
  <c r="E31" i="34"/>
  <c r="F31" i="8"/>
  <c r="I31" i="9"/>
  <c r="I31" i="10"/>
  <c r="C31" i="35"/>
  <c r="C31" i="9"/>
  <c r="C31" i="82"/>
  <c r="C31" i="25"/>
  <c r="C31" i="8"/>
  <c r="F31" i="11"/>
  <c r="C31" i="7"/>
  <c r="E31" i="82"/>
  <c r="C31" i="26"/>
  <c r="E31" i="36"/>
  <c r="G31" i="25"/>
  <c r="C31" i="36"/>
  <c r="F31" i="38656"/>
  <c r="C31" i="38656"/>
  <c r="F31" i="20"/>
  <c r="C31" i="38655"/>
  <c r="C31" i="19"/>
  <c r="I31" i="18"/>
  <c r="C31" i="20"/>
  <c r="C31" i="18"/>
  <c r="E31" i="19"/>
  <c r="F31" i="18"/>
  <c r="H31" i="19"/>
  <c r="K23" i="38659"/>
  <c r="L23" i="38659"/>
  <c r="F44" i="5"/>
  <c r="C44" i="38"/>
  <c r="E44" i="38"/>
  <c r="G44" i="38"/>
  <c r="E44" i="36"/>
  <c r="I44" i="20"/>
  <c r="C44" i="7"/>
  <c r="C44" i="27"/>
  <c r="C44" i="76" s="1"/>
  <c r="F44" i="8"/>
  <c r="C44" i="25"/>
  <c r="C44" i="9"/>
  <c r="E44" i="35"/>
  <c r="C44" i="8"/>
  <c r="F44" i="9"/>
  <c r="I44" i="26"/>
  <c r="E44" i="37"/>
  <c r="C44" i="10"/>
  <c r="I44" i="38655"/>
  <c r="C44" i="37"/>
  <c r="F44" i="38655"/>
  <c r="C44" i="36"/>
  <c r="E44" i="82"/>
  <c r="F44" i="10"/>
  <c r="I44" i="9"/>
  <c r="C44" i="11"/>
  <c r="G44" i="25"/>
  <c r="C44" i="26"/>
  <c r="F44" i="26"/>
  <c r="E44" i="25"/>
  <c r="C44" i="82"/>
  <c r="I44" i="10"/>
  <c r="G44" i="34"/>
  <c r="C44" i="34"/>
  <c r="I44" i="25"/>
  <c r="C44" i="35"/>
  <c r="F44" i="38656"/>
  <c r="G44" i="36"/>
  <c r="I44" i="11"/>
  <c r="E44" i="34"/>
  <c r="F44" i="11"/>
  <c r="C44" i="19"/>
  <c r="C44" i="38655"/>
  <c r="F44" i="20"/>
  <c r="C44" i="38656"/>
  <c r="C44" i="20"/>
  <c r="E44" i="19"/>
  <c r="I44" i="18"/>
  <c r="F44" i="18"/>
  <c r="C44" i="18"/>
  <c r="H44" i="19"/>
  <c r="K38" i="38659"/>
  <c r="L38" i="38659"/>
  <c r="F23" i="5"/>
  <c r="C23" i="38"/>
  <c r="G23" i="38"/>
  <c r="E23" i="38"/>
  <c r="I23" i="20"/>
  <c r="F23" i="8"/>
  <c r="C23" i="34"/>
  <c r="E23" i="82"/>
  <c r="E23" i="35"/>
  <c r="I23" i="10"/>
  <c r="G23" i="25"/>
  <c r="F23" i="26"/>
  <c r="C23" i="82"/>
  <c r="C23" i="36"/>
  <c r="I23" i="26"/>
  <c r="C23" i="26"/>
  <c r="C23" i="9"/>
  <c r="C23" i="25"/>
  <c r="F23" i="9"/>
  <c r="F23" i="10"/>
  <c r="G23" i="34"/>
  <c r="C23" i="10"/>
  <c r="I23" i="25"/>
  <c r="E23" i="37"/>
  <c r="F23" i="11"/>
  <c r="F23" i="38656"/>
  <c r="E23" i="25"/>
  <c r="E23" i="34"/>
  <c r="E23" i="36"/>
  <c r="I23" i="9"/>
  <c r="F23" i="38655"/>
  <c r="I23" i="11"/>
  <c r="G23" i="36"/>
  <c r="C23" i="8"/>
  <c r="C23" i="38656"/>
  <c r="C23" i="7"/>
  <c r="C23" i="37"/>
  <c r="C23" i="11"/>
  <c r="C23" i="35"/>
  <c r="I23" i="38655"/>
  <c r="C23" i="27"/>
  <c r="C23" i="76" s="1"/>
  <c r="C23" i="19"/>
  <c r="C23" i="18"/>
  <c r="F23" i="20"/>
  <c r="F23" i="18"/>
  <c r="C23" i="20"/>
  <c r="I23" i="18"/>
  <c r="C23" i="38655"/>
  <c r="H23" i="19"/>
  <c r="E23" i="19"/>
  <c r="F41" i="5"/>
  <c r="C41" i="38"/>
  <c r="G41" i="38"/>
  <c r="E41" i="38"/>
  <c r="I41" i="10"/>
  <c r="I41" i="20"/>
  <c r="C41" i="26"/>
  <c r="E41" i="36"/>
  <c r="I41" i="38655"/>
  <c r="I41" i="9"/>
  <c r="C41" i="34"/>
  <c r="F41" i="26"/>
  <c r="F41" i="38655"/>
  <c r="C41" i="82"/>
  <c r="C41" i="7"/>
  <c r="I41" i="11"/>
  <c r="C41" i="35"/>
  <c r="C41" i="10"/>
  <c r="G41" i="36"/>
  <c r="F41" i="10"/>
  <c r="C41" i="36"/>
  <c r="E41" i="37"/>
  <c r="C41" i="9"/>
  <c r="C41" i="11"/>
  <c r="F41" i="11"/>
  <c r="C41" i="27"/>
  <c r="C41" i="76" s="1"/>
  <c r="F41" i="38656"/>
  <c r="E41" i="34"/>
  <c r="G41" i="34"/>
  <c r="I41" i="26"/>
  <c r="I41" i="25"/>
  <c r="C41" i="8"/>
  <c r="E41" i="82"/>
  <c r="E41" i="35"/>
  <c r="C41" i="38656"/>
  <c r="F41" i="9"/>
  <c r="G41" i="25"/>
  <c r="C41" i="25"/>
  <c r="F41" i="8"/>
  <c r="C41" i="37"/>
  <c r="E41" i="25"/>
  <c r="F41" i="18"/>
  <c r="C41" i="18"/>
  <c r="F41" i="20"/>
  <c r="C41" i="38655"/>
  <c r="I41" i="18"/>
  <c r="C41" i="19"/>
  <c r="E41" i="19"/>
  <c r="C41" i="20"/>
  <c r="H41" i="19"/>
  <c r="D30" i="6"/>
  <c r="E30" i="6" s="1"/>
  <c r="C30" i="38648" s="1"/>
  <c r="F16" i="5"/>
  <c r="G16" i="38"/>
  <c r="C16" i="38"/>
  <c r="E16" i="38"/>
  <c r="G16" i="34"/>
  <c r="E16" i="36"/>
  <c r="I16" i="20"/>
  <c r="I16" i="25"/>
  <c r="E16" i="25"/>
  <c r="I16" i="11"/>
  <c r="C16" i="38656"/>
  <c r="C16" i="8"/>
  <c r="F16" i="11"/>
  <c r="C16" i="11"/>
  <c r="I16" i="26"/>
  <c r="C16" i="26"/>
  <c r="C16" i="36"/>
  <c r="E16" i="37"/>
  <c r="I16" i="9"/>
  <c r="F16" i="10"/>
  <c r="F16" i="26"/>
  <c r="G16" i="25"/>
  <c r="C16" i="10"/>
  <c r="C16" i="34"/>
  <c r="G16" i="36"/>
  <c r="F16" i="9"/>
  <c r="F16" i="38655"/>
  <c r="E16" i="35"/>
  <c r="C16" i="9"/>
  <c r="E16" i="82"/>
  <c r="E16" i="34"/>
  <c r="C16" i="25"/>
  <c r="C16" i="82"/>
  <c r="F16" i="38656"/>
  <c r="I16" i="10"/>
  <c r="C16" i="37"/>
  <c r="C16" i="35"/>
  <c r="C16" i="20"/>
  <c r="C16" i="7"/>
  <c r="F16" i="8"/>
  <c r="I16" i="38655"/>
  <c r="C16" i="38655"/>
  <c r="C16" i="27"/>
  <c r="C16" i="76" s="1"/>
  <c r="F16" i="18"/>
  <c r="F16" i="20"/>
  <c r="I16" i="18"/>
  <c r="C16" i="19"/>
  <c r="C16" i="18"/>
  <c r="H16" i="19"/>
  <c r="E16" i="19"/>
  <c r="K48" i="38659"/>
  <c r="L48" i="38659"/>
  <c r="F12" i="5"/>
  <c r="E12" i="38"/>
  <c r="G12" i="38"/>
  <c r="C12" i="38"/>
  <c r="C12" i="37"/>
  <c r="I12" i="20"/>
  <c r="I12" i="10"/>
  <c r="C12" i="11"/>
  <c r="F12" i="26"/>
  <c r="F12" i="8"/>
  <c r="C12" i="10"/>
  <c r="I12" i="38655"/>
  <c r="E12" i="35"/>
  <c r="C12" i="36"/>
  <c r="C12" i="25"/>
  <c r="I12" i="9"/>
  <c r="C12" i="8"/>
  <c r="F12" i="9"/>
  <c r="G12" i="34"/>
  <c r="I12" i="11"/>
  <c r="E12" i="82"/>
  <c r="C12" i="38656"/>
  <c r="F12" i="38656"/>
  <c r="C12" i="26"/>
  <c r="C12" i="35"/>
  <c r="G12" i="25"/>
  <c r="F12" i="10"/>
  <c r="F12" i="11"/>
  <c r="C12" i="34"/>
  <c r="E12" i="34"/>
  <c r="C12" i="7"/>
  <c r="F12" i="38655"/>
  <c r="C12" i="82"/>
  <c r="I12" i="25"/>
  <c r="E12" i="37"/>
  <c r="C12" i="27"/>
  <c r="C12" i="76" s="1"/>
  <c r="G12" i="36"/>
  <c r="I12" i="26"/>
  <c r="C12" i="9"/>
  <c r="E12" i="36"/>
  <c r="E12" i="25"/>
  <c r="E12" i="19"/>
  <c r="I12" i="18"/>
  <c r="C12" i="19"/>
  <c r="F12" i="18"/>
  <c r="C12" i="18"/>
  <c r="F12" i="20"/>
  <c r="C12" i="38655"/>
  <c r="C12" i="20"/>
  <c r="H12" i="19"/>
  <c r="F19" i="5"/>
  <c r="C19" i="38"/>
  <c r="G19" i="38"/>
  <c r="E19" i="38"/>
  <c r="F19" i="11"/>
  <c r="G19" i="34"/>
  <c r="I19" i="20"/>
  <c r="C19" i="37"/>
  <c r="C19" i="10"/>
  <c r="I19" i="11"/>
  <c r="F19" i="26"/>
  <c r="C19" i="82"/>
  <c r="C19" i="25"/>
  <c r="C19" i="36"/>
  <c r="E19" i="82"/>
  <c r="C19" i="9"/>
  <c r="I19" i="26"/>
  <c r="E19" i="36"/>
  <c r="C19" i="27"/>
  <c r="C19" i="76" s="1"/>
  <c r="E19" i="34"/>
  <c r="E19" i="35"/>
  <c r="F19" i="38656"/>
  <c r="I19" i="25"/>
  <c r="G19" i="25"/>
  <c r="C19" i="26"/>
  <c r="C19" i="35"/>
  <c r="E19" i="37"/>
  <c r="C19" i="8"/>
  <c r="F19" i="9"/>
  <c r="C19" i="34"/>
  <c r="F19" i="10"/>
  <c r="I19" i="10"/>
  <c r="F19" i="38655"/>
  <c r="I19" i="9"/>
  <c r="C19" i="7"/>
  <c r="C19" i="11"/>
  <c r="E19" i="25"/>
  <c r="G19" i="36"/>
  <c r="I19" i="38655"/>
  <c r="F19" i="8"/>
  <c r="C19" i="18"/>
  <c r="C19" i="38656"/>
  <c r="C19" i="20"/>
  <c r="C19" i="19"/>
  <c r="F19" i="18"/>
  <c r="F19" i="20"/>
  <c r="C19" i="38655"/>
  <c r="I19" i="18"/>
  <c r="E19" i="19"/>
  <c r="H19" i="19"/>
  <c r="F42" i="5"/>
  <c r="C42" i="38"/>
  <c r="E42" i="38"/>
  <c r="G42" i="38"/>
  <c r="I42" i="20"/>
  <c r="G42" i="34"/>
  <c r="C42" i="35"/>
  <c r="C42" i="7"/>
  <c r="E42" i="34"/>
  <c r="F42" i="8"/>
  <c r="C42" i="11"/>
  <c r="C42" i="37"/>
  <c r="C42" i="36"/>
  <c r="E42" i="37"/>
  <c r="E42" i="25"/>
  <c r="C42" i="26"/>
  <c r="F42" i="9"/>
  <c r="I42" i="10"/>
  <c r="C42" i="10"/>
  <c r="F42" i="10"/>
  <c r="I42" i="26"/>
  <c r="F42" i="38655"/>
  <c r="C42" i="8"/>
  <c r="F42" i="26"/>
  <c r="E42" i="36"/>
  <c r="E42" i="35"/>
  <c r="C42" i="34"/>
  <c r="G42" i="25"/>
  <c r="I42" i="11"/>
  <c r="F42" i="38656"/>
  <c r="C42" i="9"/>
  <c r="C42" i="25"/>
  <c r="E42" i="82"/>
  <c r="I42" i="25"/>
  <c r="I42" i="38655"/>
  <c r="C42" i="82"/>
  <c r="I42" i="9"/>
  <c r="G42" i="36"/>
  <c r="C42" i="27"/>
  <c r="C42" i="76" s="1"/>
  <c r="F42" i="11"/>
  <c r="I42" i="18"/>
  <c r="C42" i="20"/>
  <c r="F42" i="20"/>
  <c r="C42" i="18"/>
  <c r="C42" i="38656"/>
  <c r="C42" i="38655"/>
  <c r="F42" i="18"/>
  <c r="C42" i="19"/>
  <c r="E42" i="19"/>
  <c r="H42" i="19"/>
  <c r="E13" i="38659"/>
  <c r="G13" i="38659" s="1"/>
  <c r="B50" i="38659"/>
  <c r="F51" i="5"/>
  <c r="D51" i="6" s="1"/>
  <c r="E51" i="6" s="1"/>
  <c r="C51" i="38648" s="1"/>
  <c r="C51" i="38"/>
  <c r="E51" i="38"/>
  <c r="G51" i="38"/>
  <c r="F51" i="26"/>
  <c r="I51" i="20"/>
  <c r="G51" i="34"/>
  <c r="C51" i="9"/>
  <c r="C51" i="7"/>
  <c r="I51" i="38655"/>
  <c r="C51" i="38656"/>
  <c r="C51" i="11"/>
  <c r="I51" i="26"/>
  <c r="G51" i="36"/>
  <c r="E51" i="36"/>
  <c r="F51" i="9"/>
  <c r="F51" i="38656"/>
  <c r="F51" i="38655"/>
  <c r="C51" i="26"/>
  <c r="C51" i="27"/>
  <c r="C51" i="76" s="1"/>
  <c r="C51" i="37"/>
  <c r="E51" i="34"/>
  <c r="C51" i="8"/>
  <c r="C51" i="25"/>
  <c r="C51" i="38655"/>
  <c r="F51" i="10"/>
  <c r="E51" i="82"/>
  <c r="F51" i="11"/>
  <c r="C51" i="36"/>
  <c r="F51" i="8"/>
  <c r="C51" i="10"/>
  <c r="I51" i="10"/>
  <c r="I51" i="25"/>
  <c r="C51" i="35"/>
  <c r="E51" i="25"/>
  <c r="I51" i="9"/>
  <c r="C51" i="34"/>
  <c r="E51" i="37"/>
  <c r="C51" i="82"/>
  <c r="E51" i="35"/>
  <c r="I51" i="11"/>
  <c r="G51" i="25"/>
  <c r="E51" i="19"/>
  <c r="I51" i="18"/>
  <c r="H51" i="19"/>
  <c r="C51" i="19"/>
  <c r="C51" i="20"/>
  <c r="F51" i="18"/>
  <c r="F51" i="20"/>
  <c r="C51" i="18"/>
  <c r="F28" i="5"/>
  <c r="E28" i="38"/>
  <c r="G28" i="38"/>
  <c r="C28" i="38"/>
  <c r="E28" i="36"/>
  <c r="I28" i="20"/>
  <c r="F28" i="9"/>
  <c r="C28" i="34"/>
  <c r="C28" i="36"/>
  <c r="E28" i="82"/>
  <c r="C28" i="26"/>
  <c r="F28" i="11"/>
  <c r="F28" i="38655"/>
  <c r="C28" i="10"/>
  <c r="I28" i="25"/>
  <c r="I28" i="10"/>
  <c r="G28" i="36"/>
  <c r="E28" i="34"/>
  <c r="I28" i="38655"/>
  <c r="F28" i="38656"/>
  <c r="C28" i="38656"/>
  <c r="C28" i="82"/>
  <c r="I28" i="9"/>
  <c r="F28" i="10"/>
  <c r="C28" i="25"/>
  <c r="C28" i="11"/>
  <c r="C28" i="27"/>
  <c r="C28" i="76" s="1"/>
  <c r="F28" i="26"/>
  <c r="G28" i="25"/>
  <c r="E28" i="37"/>
  <c r="E28" i="35"/>
  <c r="G28" i="34"/>
  <c r="C28" i="35"/>
  <c r="I28" i="26"/>
  <c r="F28" i="8"/>
  <c r="C28" i="37"/>
  <c r="I28" i="11"/>
  <c r="C28" i="8"/>
  <c r="E28" i="25"/>
  <c r="C28" i="9"/>
  <c r="C28" i="7"/>
  <c r="E28" i="19"/>
  <c r="F28" i="20"/>
  <c r="C28" i="19"/>
  <c r="C28" i="18"/>
  <c r="C28" i="38655"/>
  <c r="C28" i="20"/>
  <c r="I28" i="18"/>
  <c r="F28" i="18"/>
  <c r="H28" i="19"/>
  <c r="F38" i="5"/>
  <c r="E38" i="38"/>
  <c r="C38" i="38"/>
  <c r="G38" i="38"/>
  <c r="I38" i="20"/>
  <c r="C38" i="35"/>
  <c r="F38" i="38656"/>
  <c r="I38" i="38655"/>
  <c r="C38" i="9"/>
  <c r="E38" i="25"/>
  <c r="C38" i="25"/>
  <c r="C38" i="82"/>
  <c r="G38" i="34"/>
  <c r="C38" i="34"/>
  <c r="I38" i="26"/>
  <c r="C38" i="27"/>
  <c r="C38" i="76" s="1"/>
  <c r="E38" i="34"/>
  <c r="I38" i="25"/>
  <c r="F38" i="9"/>
  <c r="F38" i="11"/>
  <c r="G38" i="36"/>
  <c r="F38" i="10"/>
  <c r="C38" i="11"/>
  <c r="F38" i="38655"/>
  <c r="I38" i="9"/>
  <c r="F38" i="8"/>
  <c r="E38" i="35"/>
  <c r="C38" i="26"/>
  <c r="E38" i="82"/>
  <c r="C38" i="7"/>
  <c r="C38" i="36"/>
  <c r="E38" i="36"/>
  <c r="C38" i="10"/>
  <c r="E38" i="37"/>
  <c r="G38" i="25"/>
  <c r="C38" i="8"/>
  <c r="I38" i="10"/>
  <c r="F38" i="26"/>
  <c r="C38" i="37"/>
  <c r="C38" i="20"/>
  <c r="C38" i="38656"/>
  <c r="C38" i="18"/>
  <c r="F38" i="20"/>
  <c r="I38" i="11"/>
  <c r="C38" i="38655"/>
  <c r="C38" i="19"/>
  <c r="I38" i="18"/>
  <c r="E38" i="19"/>
  <c r="F38" i="18"/>
  <c r="H38" i="19"/>
  <c r="K33" i="38659"/>
  <c r="L33" i="38659"/>
  <c r="F15" i="5"/>
  <c r="G15" i="38"/>
  <c r="E15" i="38"/>
  <c r="C15" i="38"/>
  <c r="E15" i="36"/>
  <c r="I15" i="20"/>
  <c r="C15" i="10"/>
  <c r="F15" i="10"/>
  <c r="F15" i="11"/>
  <c r="C15" i="9"/>
  <c r="I15" i="11"/>
  <c r="C15" i="26"/>
  <c r="E15" i="34"/>
  <c r="F15" i="8"/>
  <c r="E15" i="37"/>
  <c r="C15" i="37"/>
  <c r="C15" i="34"/>
  <c r="C15" i="7"/>
  <c r="I15" i="9"/>
  <c r="E15" i="82"/>
  <c r="I15" i="26"/>
  <c r="C15" i="35"/>
  <c r="C15" i="25"/>
  <c r="G15" i="34"/>
  <c r="F15" i="38656"/>
  <c r="C15" i="82"/>
  <c r="C15" i="11"/>
  <c r="E15" i="35"/>
  <c r="E15" i="25"/>
  <c r="C15" i="27"/>
  <c r="C15" i="76" s="1"/>
  <c r="F15" i="26"/>
  <c r="C15" i="8"/>
  <c r="F15" i="9"/>
  <c r="I15" i="25"/>
  <c r="C15" i="36"/>
  <c r="F15" i="38655"/>
  <c r="I15" i="10"/>
  <c r="C15" i="38656"/>
  <c r="G15" i="36"/>
  <c r="G15" i="25"/>
  <c r="C15" i="38655"/>
  <c r="I15" i="18"/>
  <c r="C15" i="18"/>
  <c r="C15" i="20"/>
  <c r="F15" i="18"/>
  <c r="F15" i="20"/>
  <c r="C15" i="19"/>
  <c r="E15" i="19"/>
  <c r="I15" i="38655"/>
  <c r="H15" i="19"/>
  <c r="F46" i="5"/>
  <c r="E46" i="38"/>
  <c r="G46" i="38"/>
  <c r="C46" i="38"/>
  <c r="C46" i="37"/>
  <c r="E46" i="35"/>
  <c r="C46" i="35"/>
  <c r="G46" i="36"/>
  <c r="I46" i="20"/>
  <c r="F46" i="38656"/>
  <c r="F46" i="11"/>
  <c r="C46" i="7"/>
  <c r="E46" i="36"/>
  <c r="C46" i="8"/>
  <c r="I46" i="11"/>
  <c r="E46" i="25"/>
  <c r="E46" i="82"/>
  <c r="E46" i="37"/>
  <c r="F46" i="9"/>
  <c r="G46" i="34"/>
  <c r="G46" i="25"/>
  <c r="F46" i="8"/>
  <c r="F46" i="26"/>
  <c r="C46" i="36"/>
  <c r="C46" i="11"/>
  <c r="E46" i="34"/>
  <c r="F46" i="10"/>
  <c r="C46" i="25"/>
  <c r="C46" i="34"/>
  <c r="I46" i="9"/>
  <c r="I46" i="10"/>
  <c r="C46" i="10"/>
  <c r="C46" i="20"/>
  <c r="I46" i="26"/>
  <c r="F46" i="38655"/>
  <c r="C46" i="82"/>
  <c r="C46" i="26"/>
  <c r="I46" i="38655"/>
  <c r="C46" i="9"/>
  <c r="I46" i="25"/>
  <c r="C46" i="27"/>
  <c r="C46" i="76" s="1"/>
  <c r="C46" i="38656"/>
  <c r="F46" i="20"/>
  <c r="I46" i="18"/>
  <c r="C46" i="18"/>
  <c r="C46" i="38655"/>
  <c r="C46" i="19"/>
  <c r="F46" i="18"/>
  <c r="E46" i="19"/>
  <c r="H46" i="19"/>
  <c r="F33" i="5"/>
  <c r="G33" i="38"/>
  <c r="E33" i="38"/>
  <c r="C33" i="38"/>
  <c r="I33" i="20"/>
  <c r="C33" i="37"/>
  <c r="E33" i="36"/>
  <c r="G33" i="34"/>
  <c r="C33" i="8"/>
  <c r="C33" i="38656"/>
  <c r="F33" i="11"/>
  <c r="C33" i="26"/>
  <c r="F33" i="9"/>
  <c r="E33" i="82"/>
  <c r="I33" i="9"/>
  <c r="I33" i="11"/>
  <c r="C33" i="82"/>
  <c r="F33" i="26"/>
  <c r="F33" i="38656"/>
  <c r="C33" i="11"/>
  <c r="G33" i="25"/>
  <c r="F33" i="10"/>
  <c r="E33" i="37"/>
  <c r="C33" i="25"/>
  <c r="C33" i="9"/>
  <c r="F33" i="38655"/>
  <c r="C33" i="36"/>
  <c r="I33" i="38655"/>
  <c r="C33" i="35"/>
  <c r="C33" i="34"/>
  <c r="F33" i="8"/>
  <c r="I33" i="25"/>
  <c r="G33" i="36"/>
  <c r="E33" i="25"/>
  <c r="C33" i="10"/>
  <c r="I33" i="10"/>
  <c r="C33" i="7"/>
  <c r="I33" i="26"/>
  <c r="E33" i="35"/>
  <c r="E33" i="34"/>
  <c r="F33" i="20"/>
  <c r="C33" i="27"/>
  <c r="C33" i="76" s="1"/>
  <c r="E33" i="19"/>
  <c r="C33" i="19"/>
  <c r="C33" i="18"/>
  <c r="I33" i="18"/>
  <c r="F33" i="18"/>
  <c r="C33" i="20"/>
  <c r="C33" i="38655"/>
  <c r="H33" i="19"/>
  <c r="F21" i="5"/>
  <c r="E21" i="38"/>
  <c r="C21" i="38"/>
  <c r="G21" i="38"/>
  <c r="I21" i="20"/>
  <c r="E21" i="36"/>
  <c r="E21" i="37"/>
  <c r="C21" i="27"/>
  <c r="C21" i="76" s="1"/>
  <c r="I21" i="25"/>
  <c r="C21" i="26"/>
  <c r="G21" i="34"/>
  <c r="C21" i="11"/>
  <c r="F21" i="38655"/>
  <c r="C21" i="38656"/>
  <c r="F21" i="38656"/>
  <c r="C21" i="35"/>
  <c r="C21" i="9"/>
  <c r="F21" i="26"/>
  <c r="E21" i="82"/>
  <c r="F21" i="10"/>
  <c r="I21" i="10"/>
  <c r="F21" i="8"/>
  <c r="I21" i="11"/>
  <c r="C21" i="34"/>
  <c r="C21" i="8"/>
  <c r="F21" i="11"/>
  <c r="C21" i="25"/>
  <c r="F21" i="9"/>
  <c r="C21" i="10"/>
  <c r="G21" i="36"/>
  <c r="I21" i="26"/>
  <c r="C21" i="36"/>
  <c r="E21" i="25"/>
  <c r="C21" i="37"/>
  <c r="E21" i="35"/>
  <c r="C21" i="7"/>
  <c r="G21" i="25"/>
  <c r="E21" i="34"/>
  <c r="C21" i="82"/>
  <c r="I21" i="9"/>
  <c r="C21" i="38655"/>
  <c r="C21" i="19"/>
  <c r="I21" i="38655"/>
  <c r="C21" i="18"/>
  <c r="I21" i="18"/>
  <c r="E21" i="19"/>
  <c r="F21" i="20"/>
  <c r="F21" i="18"/>
  <c r="C21" i="20"/>
  <c r="H21" i="19"/>
  <c r="K44" i="38659"/>
  <c r="L44" i="38659"/>
  <c r="F11" i="5"/>
  <c r="D48" i="5"/>
  <c r="C11" i="38"/>
  <c r="E11" i="38"/>
  <c r="G11" i="38"/>
  <c r="I11" i="20"/>
  <c r="I11" i="26"/>
  <c r="C11" i="8"/>
  <c r="F11" i="38655"/>
  <c r="C11" i="37"/>
  <c r="G11" i="34"/>
  <c r="C11" i="10"/>
  <c r="G11" i="25"/>
  <c r="C11" i="38656"/>
  <c r="C11" i="9"/>
  <c r="I11" i="25"/>
  <c r="E11" i="37"/>
  <c r="E11" i="34"/>
  <c r="F11" i="9"/>
  <c r="F11" i="10"/>
  <c r="C11" i="25"/>
  <c r="I11" i="11"/>
  <c r="C11" i="26"/>
  <c r="E11" i="35"/>
  <c r="F11" i="26"/>
  <c r="C11" i="36"/>
  <c r="C11" i="27"/>
  <c r="C11" i="76" s="1"/>
  <c r="I11" i="10"/>
  <c r="E11" i="25"/>
  <c r="I11" i="9"/>
  <c r="C11" i="11"/>
  <c r="E11" i="36"/>
  <c r="G11" i="36"/>
  <c r="C11" i="7"/>
  <c r="F11" i="11"/>
  <c r="F11" i="38656"/>
  <c r="F11" i="8"/>
  <c r="C11" i="82"/>
  <c r="C11" i="35"/>
  <c r="C11" i="34"/>
  <c r="E11" i="82"/>
  <c r="F11" i="20"/>
  <c r="I11" i="38655"/>
  <c r="F11" i="18"/>
  <c r="C11" i="19"/>
  <c r="C11" i="38655"/>
  <c r="I11" i="18"/>
  <c r="C11" i="18"/>
  <c r="E11" i="19"/>
  <c r="C11" i="20"/>
  <c r="H11" i="19"/>
  <c r="K26" i="38659"/>
  <c r="L26" i="38659"/>
  <c r="F40" i="5"/>
  <c r="C40" i="38"/>
  <c r="G40" i="38"/>
  <c r="E40" i="38"/>
  <c r="C40" i="7"/>
  <c r="I40" i="20"/>
  <c r="C40" i="26"/>
  <c r="F40" i="8"/>
  <c r="G40" i="25"/>
  <c r="E40" i="82"/>
  <c r="F40" i="38655"/>
  <c r="E40" i="34"/>
  <c r="G40" i="36"/>
  <c r="C40" i="11"/>
  <c r="C40" i="35"/>
  <c r="C40" i="9"/>
  <c r="C40" i="8"/>
  <c r="C40" i="82"/>
  <c r="C40" i="34"/>
  <c r="E40" i="37"/>
  <c r="E40" i="35"/>
  <c r="C40" i="37"/>
  <c r="C40" i="10"/>
  <c r="E40" i="25"/>
  <c r="I40" i="9"/>
  <c r="C40" i="36"/>
  <c r="F40" i="10"/>
  <c r="I40" i="25"/>
  <c r="F40" i="11"/>
  <c r="I40" i="11"/>
  <c r="I40" i="26"/>
  <c r="E40" i="36"/>
  <c r="I40" i="10"/>
  <c r="F40" i="26"/>
  <c r="I40" i="38655"/>
  <c r="F40" i="9"/>
  <c r="F40" i="38656"/>
  <c r="G40" i="34"/>
  <c r="C40" i="38656"/>
  <c r="C40" i="25"/>
  <c r="I40" i="18"/>
  <c r="C40" i="19"/>
  <c r="C40" i="27"/>
  <c r="C40" i="76" s="1"/>
  <c r="C40" i="20"/>
  <c r="F40" i="20"/>
  <c r="C40" i="18"/>
  <c r="F40" i="18"/>
  <c r="C40" i="38655"/>
  <c r="H40" i="19"/>
  <c r="E40" i="19"/>
  <c r="D32" i="6"/>
  <c r="E32" i="6" s="1"/>
  <c r="C32" i="38648" s="1"/>
  <c r="K25" i="38659"/>
  <c r="L25" i="38659"/>
  <c r="K22" i="38659"/>
  <c r="L22" i="38659"/>
  <c r="F25" i="5"/>
  <c r="C25" i="38"/>
  <c r="E25" i="38"/>
  <c r="G25" i="38"/>
  <c r="E25" i="36"/>
  <c r="E25" i="37"/>
  <c r="C25" i="8"/>
  <c r="I25" i="20"/>
  <c r="E25" i="35"/>
  <c r="E25" i="82"/>
  <c r="C25" i="25"/>
  <c r="F25" i="38655"/>
  <c r="I25" i="9"/>
  <c r="E25" i="34"/>
  <c r="C25" i="36"/>
  <c r="C25" i="7"/>
  <c r="F25" i="10"/>
  <c r="I25" i="25"/>
  <c r="F25" i="26"/>
  <c r="E25" i="25"/>
  <c r="C25" i="37"/>
  <c r="C25" i="27"/>
  <c r="C25" i="76" s="1"/>
  <c r="I25" i="38655"/>
  <c r="F25" i="11"/>
  <c r="G25" i="25"/>
  <c r="F25" i="8"/>
  <c r="C25" i="34"/>
  <c r="I25" i="10"/>
  <c r="C25" i="9"/>
  <c r="I25" i="26"/>
  <c r="C25" i="26"/>
  <c r="C25" i="10"/>
  <c r="C25" i="82"/>
  <c r="G25" i="34"/>
  <c r="C25" i="35"/>
  <c r="F25" i="9"/>
  <c r="C25" i="11"/>
  <c r="G25" i="36"/>
  <c r="F25" i="38656"/>
  <c r="C25" i="38656"/>
  <c r="C25" i="38655"/>
  <c r="C25" i="18"/>
  <c r="C25" i="20"/>
  <c r="F25" i="18"/>
  <c r="F25" i="20"/>
  <c r="C25" i="19"/>
  <c r="I25" i="11"/>
  <c r="I25" i="18"/>
  <c r="E25" i="19"/>
  <c r="H25" i="19"/>
  <c r="D26" i="6"/>
  <c r="E26" i="6" s="1"/>
  <c r="C26" i="38648" s="1"/>
  <c r="J11" i="42" l="1"/>
  <c r="D11" i="6"/>
  <c r="F48" i="5"/>
  <c r="D21" i="6"/>
  <c r="E21" i="6" s="1"/>
  <c r="C21" i="38648" s="1"/>
  <c r="D46" i="6"/>
  <c r="E46" i="6" s="1"/>
  <c r="C46" i="38648" s="1"/>
  <c r="D28" i="6"/>
  <c r="E28" i="6" s="1"/>
  <c r="C28" i="38648" s="1"/>
  <c r="E50" i="38659"/>
  <c r="G50" i="38659" s="1"/>
  <c r="K13" i="38659"/>
  <c r="L13" i="38659"/>
  <c r="D19" i="6"/>
  <c r="E19" i="6" s="1"/>
  <c r="C19" i="38648" s="1"/>
  <c r="D23" i="6"/>
  <c r="E23" i="6" s="1"/>
  <c r="C23" i="38648" s="1"/>
  <c r="D44" i="6"/>
  <c r="E44" i="6" s="1"/>
  <c r="C44" i="38648" s="1"/>
  <c r="D31" i="6"/>
  <c r="E31" i="6" s="1"/>
  <c r="C31" i="38648" s="1"/>
  <c r="D14" i="6"/>
  <c r="E14" i="6" s="1"/>
  <c r="C14" i="38648" s="1"/>
  <c r="J54" i="23"/>
  <c r="M25" i="21"/>
  <c r="G48" i="38"/>
  <c r="C48" i="38"/>
  <c r="I48" i="20"/>
  <c r="C48" i="10"/>
  <c r="E48" i="35"/>
  <c r="I48" i="26"/>
  <c r="F48" i="11"/>
  <c r="C48" i="37"/>
  <c r="C48" i="11"/>
  <c r="C48" i="26"/>
  <c r="I48" i="10"/>
  <c r="C48" i="25"/>
  <c r="I48" i="25"/>
  <c r="F48" i="38655"/>
  <c r="F48" i="26"/>
  <c r="C48" i="82"/>
  <c r="E48" i="36"/>
  <c r="I48" i="11"/>
  <c r="C48" i="38656"/>
  <c r="C48" i="9"/>
  <c r="E48" i="25"/>
  <c r="E48" i="37"/>
  <c r="E48" i="34"/>
  <c r="G48" i="25"/>
  <c r="F48" i="38656"/>
  <c r="E48" i="82"/>
  <c r="C48" i="34"/>
  <c r="F48" i="10"/>
  <c r="C48" i="35"/>
  <c r="I48" i="9"/>
  <c r="G48" i="34"/>
  <c r="C48" i="36"/>
  <c r="G48" i="36"/>
  <c r="C48" i="19"/>
  <c r="I48" i="38655"/>
  <c r="C48" i="27"/>
  <c r="C48" i="76" s="1"/>
  <c r="C48" i="8"/>
  <c r="C48" i="7"/>
  <c r="F48" i="8"/>
  <c r="F48" i="18"/>
  <c r="F48" i="20"/>
  <c r="C48" i="38655"/>
  <c r="C48" i="20"/>
  <c r="I48" i="18"/>
  <c r="F48" i="9"/>
  <c r="E48" i="19"/>
  <c r="C48" i="18"/>
  <c r="H48" i="19"/>
  <c r="D39" i="6"/>
  <c r="E39" i="6" s="1"/>
  <c r="C39" i="38648" s="1"/>
  <c r="D20" i="6"/>
  <c r="E20" i="6" s="1"/>
  <c r="C20" i="38648" s="1"/>
  <c r="D43" i="6"/>
  <c r="E43" i="6" s="1"/>
  <c r="C43" i="38648" s="1"/>
  <c r="D24" i="6"/>
  <c r="E24" i="6" s="1"/>
  <c r="C24" i="38648" s="1"/>
  <c r="D15" i="6"/>
  <c r="E15" i="6" s="1"/>
  <c r="C15" i="38648" s="1"/>
  <c r="D38" i="6"/>
  <c r="E38" i="6" s="1"/>
  <c r="C38" i="38648" s="1"/>
  <c r="D42" i="6"/>
  <c r="E42" i="6" s="1"/>
  <c r="C42" i="38648" s="1"/>
  <c r="D12" i="6"/>
  <c r="E12" i="6" s="1"/>
  <c r="C12" i="38648" s="1"/>
  <c r="D16" i="6"/>
  <c r="E16" i="6" s="1"/>
  <c r="C16" i="38648" s="1"/>
  <c r="D41" i="6"/>
  <c r="E41" i="6" s="1"/>
  <c r="C41" i="38648" s="1"/>
  <c r="D18" i="6"/>
  <c r="E18" i="6" s="1"/>
  <c r="C18" i="38648" s="1"/>
  <c r="D13" i="6"/>
  <c r="E13" i="6" s="1"/>
  <c r="C13" i="38648" s="1"/>
  <c r="D33" i="6"/>
  <c r="E33" i="6" s="1"/>
  <c r="C33" i="38648" s="1"/>
  <c r="D25" i="6"/>
  <c r="E25" i="6" s="1"/>
  <c r="C25" i="38648" s="1"/>
  <c r="D40" i="6"/>
  <c r="E40" i="6" s="1"/>
  <c r="C40" i="38648" s="1"/>
  <c r="D36" i="6"/>
  <c r="E36" i="6" s="1"/>
  <c r="C36" i="38648" s="1"/>
  <c r="D45" i="6"/>
  <c r="E45" i="6" s="1"/>
  <c r="C45" i="38648" s="1"/>
  <c r="D22" i="6"/>
  <c r="E22" i="6" s="1"/>
  <c r="C22" i="38648" s="1"/>
  <c r="D17" i="6"/>
  <c r="E17" i="6" s="1"/>
  <c r="C17" i="38648" s="1"/>
  <c r="D37" i="6"/>
  <c r="E37" i="6" s="1"/>
  <c r="C37" i="38648" s="1"/>
  <c r="I48" i="43"/>
  <c r="B48" i="42" s="1"/>
  <c r="C48" i="45"/>
  <c r="G48" i="42" s="1"/>
  <c r="L16" i="42" s="1"/>
  <c r="I48" i="44"/>
  <c r="F48" i="42" s="1"/>
  <c r="L15" i="42" s="1"/>
  <c r="E48" i="44"/>
  <c r="D48" i="42" s="1"/>
  <c r="L13" i="42" s="1"/>
  <c r="C48" i="44"/>
  <c r="C48" i="42" s="1"/>
  <c r="L12" i="42" s="1"/>
  <c r="G48" i="45"/>
  <c r="G48" i="44"/>
  <c r="E48" i="42" s="1"/>
  <c r="L14" i="42" s="1"/>
  <c r="E48" i="45"/>
  <c r="H48" i="42" s="1"/>
  <c r="L17" i="42" s="1"/>
  <c r="L11" i="42" l="1"/>
  <c r="L19" i="42" s="1"/>
  <c r="J48" i="42"/>
  <c r="E11" i="6"/>
  <c r="C11" i="38648" s="1"/>
  <c r="D48" i="6"/>
  <c r="E48" i="6" s="1"/>
  <c r="C48" i="38648" s="1"/>
  <c r="K50" i="38659"/>
  <c r="E48" i="38"/>
  <c r="G29" i="38663" l="1"/>
  <c r="D29" i="32" l="1"/>
  <c r="E29" i="38648" l="1"/>
  <c r="G29" i="38667" l="1"/>
  <c r="I29" i="38667"/>
  <c r="E29" i="38667"/>
  <c r="G30" i="38663" l="1"/>
  <c r="D48" i="38663" l="1"/>
  <c r="E48" i="38663"/>
  <c r="D30" i="32"/>
  <c r="F27" i="39"/>
  <c r="E48" i="39"/>
  <c r="F48" i="39" s="1"/>
  <c r="G13" i="38663"/>
  <c r="F48" i="38663"/>
  <c r="G17" i="38663"/>
  <c r="G21" i="38663"/>
  <c r="G25" i="38663"/>
  <c r="G31" i="38663"/>
  <c r="G35" i="38663"/>
  <c r="G50" i="38663"/>
  <c r="G12" i="38663"/>
  <c r="G16" i="38663"/>
  <c r="G24" i="38663"/>
  <c r="G42" i="38663"/>
  <c r="G46" i="38663"/>
  <c r="C48" i="39"/>
  <c r="D48" i="39" s="1"/>
  <c r="D27" i="39"/>
  <c r="G19" i="38663"/>
  <c r="G23" i="38663"/>
  <c r="G27" i="38663"/>
  <c r="G33" i="38663"/>
  <c r="G41" i="38663"/>
  <c r="G45" i="38663"/>
  <c r="H27" i="39"/>
  <c r="G48" i="39"/>
  <c r="H48" i="39" s="1"/>
  <c r="G14" i="38663"/>
  <c r="G18" i="38663"/>
  <c r="G20" i="38663"/>
  <c r="G22" i="38663"/>
  <c r="G26" i="38663"/>
  <c r="G28" i="38663"/>
  <c r="G32" i="38663"/>
  <c r="G36" i="38663"/>
  <c r="G38" i="38663"/>
  <c r="G40" i="38663"/>
  <c r="G44" i="38663"/>
  <c r="G51" i="38663"/>
  <c r="D42" i="32"/>
  <c r="D51" i="32" l="1"/>
  <c r="G37" i="38663"/>
  <c r="G39" i="38663"/>
  <c r="G29" i="54"/>
  <c r="F29" i="54"/>
  <c r="D22" i="32"/>
  <c r="D43" i="32"/>
  <c r="D41" i="32"/>
  <c r="D21" i="32"/>
  <c r="D26" i="32"/>
  <c r="G34" i="38663"/>
  <c r="G15" i="38663"/>
  <c r="B48" i="38663"/>
  <c r="D45" i="32"/>
  <c r="D34" i="32"/>
  <c r="D25" i="32"/>
  <c r="D16" i="32"/>
  <c r="D13" i="32"/>
  <c r="D35" i="32"/>
  <c r="D32" i="32"/>
  <c r="D15" i="32"/>
  <c r="D14" i="32"/>
  <c r="D24" i="32"/>
  <c r="J29" i="54"/>
  <c r="I29" i="54"/>
  <c r="G30" i="54"/>
  <c r="F30" i="54"/>
  <c r="B48" i="32"/>
  <c r="D46" i="32"/>
  <c r="D37" i="32"/>
  <c r="D28" i="32"/>
  <c r="D17" i="32"/>
  <c r="D39" i="32"/>
  <c r="D36" i="32"/>
  <c r="D33" i="32"/>
  <c r="J30" i="54"/>
  <c r="I30" i="54"/>
  <c r="E29" i="76"/>
  <c r="D29" i="54"/>
  <c r="C29" i="54"/>
  <c r="D30" i="54"/>
  <c r="E30" i="76"/>
  <c r="C30" i="54"/>
  <c r="G11" i="38663"/>
  <c r="C48" i="38663"/>
  <c r="D12" i="32"/>
  <c r="D31" i="32"/>
  <c r="D38" i="32"/>
  <c r="D20" i="32"/>
  <c r="D27" i="32"/>
  <c r="D50" i="32"/>
  <c r="D44" i="32"/>
  <c r="D40" i="32"/>
  <c r="D23" i="32"/>
  <c r="D19" i="32"/>
  <c r="G43" i="38663"/>
  <c r="D18" i="32"/>
  <c r="E16" i="38648"/>
  <c r="E35" i="38648"/>
  <c r="E28" i="38648"/>
  <c r="E23" i="38648"/>
  <c r="E12" i="38648"/>
  <c r="E41" i="38648"/>
  <c r="E32" i="38648"/>
  <c r="E13" i="38648"/>
  <c r="E19" i="38648"/>
  <c r="E31" i="38648"/>
  <c r="E36" i="38648"/>
  <c r="E14" i="38648"/>
  <c r="E44" i="38648"/>
  <c r="E34" i="38648"/>
  <c r="E17" i="38648"/>
  <c r="E46" i="38648"/>
  <c r="E42" i="38648"/>
  <c r="E38" i="38648"/>
  <c r="E20" i="38648"/>
  <c r="E26" i="38648"/>
  <c r="E15" i="38648"/>
  <c r="E45" i="38648"/>
  <c r="E21" i="38648"/>
  <c r="E50" i="38648"/>
  <c r="E43" i="38648"/>
  <c r="E22" i="38648"/>
  <c r="E33" i="38648"/>
  <c r="E27" i="38648"/>
  <c r="E18" i="38648"/>
  <c r="E51" i="38648"/>
  <c r="E40" i="38648"/>
  <c r="E25" i="38648"/>
  <c r="C48" i="32"/>
  <c r="E11" i="38648"/>
  <c r="E39" i="38648"/>
  <c r="E30" i="38648"/>
  <c r="E24" i="38648"/>
  <c r="E37" i="38648"/>
  <c r="G13" i="54" l="1"/>
  <c r="F13" i="54"/>
  <c r="J27" i="54"/>
  <c r="I27" i="54"/>
  <c r="D20" i="54"/>
  <c r="E20" i="76"/>
  <c r="C20" i="54"/>
  <c r="J35" i="54"/>
  <c r="I35" i="54"/>
  <c r="J18" i="54"/>
  <c r="I18" i="54"/>
  <c r="D38" i="54"/>
  <c r="E38" i="76"/>
  <c r="C38" i="54"/>
  <c r="D25" i="54"/>
  <c r="E25" i="76"/>
  <c r="C25" i="54"/>
  <c r="G17" i="54"/>
  <c r="F17" i="54"/>
  <c r="D21" i="54"/>
  <c r="C21" i="54"/>
  <c r="G14" i="54"/>
  <c r="F14" i="54"/>
  <c r="J14" i="54"/>
  <c r="I14" i="54"/>
  <c r="J32" i="54"/>
  <c r="I32" i="54"/>
  <c r="D23" i="54"/>
  <c r="E23" i="76"/>
  <c r="C23" i="54"/>
  <c r="J23" i="54"/>
  <c r="I23" i="54"/>
  <c r="G44" i="54"/>
  <c r="F44" i="54"/>
  <c r="G22" i="54"/>
  <c r="F22" i="54"/>
  <c r="G33" i="54"/>
  <c r="F33" i="54"/>
  <c r="G50" i="54"/>
  <c r="F50" i="54"/>
  <c r="J41" i="54"/>
  <c r="I41" i="54"/>
  <c r="G37" i="54"/>
  <c r="F37" i="54"/>
  <c r="D40" i="54"/>
  <c r="E40" i="76"/>
  <c r="C40" i="54"/>
  <c r="G40" i="54"/>
  <c r="F40" i="54"/>
  <c r="G24" i="54"/>
  <c r="F24" i="54"/>
  <c r="G42" i="54"/>
  <c r="F42" i="54"/>
  <c r="D22" i="54"/>
  <c r="E22" i="76"/>
  <c r="C22" i="54"/>
  <c r="J51" i="54"/>
  <c r="I51" i="54"/>
  <c r="D24" i="54"/>
  <c r="E24" i="76"/>
  <c r="C24" i="54"/>
  <c r="G21" i="54"/>
  <c r="F21" i="54"/>
  <c r="D11" i="54"/>
  <c r="C11" i="54"/>
  <c r="G19" i="54"/>
  <c r="F19" i="54"/>
  <c r="G51" i="54"/>
  <c r="F51" i="54"/>
  <c r="G36" i="54"/>
  <c r="F36" i="54"/>
  <c r="D50" i="54"/>
  <c r="E50" i="76"/>
  <c r="C50" i="54"/>
  <c r="G16" i="54"/>
  <c r="F16" i="54"/>
  <c r="D44" i="54"/>
  <c r="E44" i="76"/>
  <c r="C44" i="54"/>
  <c r="J40" i="54"/>
  <c r="I40" i="54"/>
  <c r="J34" i="54"/>
  <c r="I34" i="54"/>
  <c r="G39" i="54"/>
  <c r="F39" i="54"/>
  <c r="D51" i="54"/>
  <c r="E51" i="76"/>
  <c r="C51" i="54"/>
  <c r="D13" i="54"/>
  <c r="E13" i="76"/>
  <c r="C13" i="54"/>
  <c r="G25" i="54"/>
  <c r="F25" i="54"/>
  <c r="J13" i="54"/>
  <c r="I13" i="54"/>
  <c r="G15" i="54"/>
  <c r="F15" i="54"/>
  <c r="G35" i="54"/>
  <c r="F35" i="54"/>
  <c r="G45" i="54"/>
  <c r="F45" i="54"/>
  <c r="D31" i="54"/>
  <c r="E31" i="76"/>
  <c r="C31" i="54"/>
  <c r="D41" i="54"/>
  <c r="E41" i="76"/>
  <c r="C41" i="54"/>
  <c r="J39" i="54"/>
  <c r="I39" i="54"/>
  <c r="D14" i="54"/>
  <c r="E14" i="76"/>
  <c r="C14" i="54"/>
  <c r="G30" i="76"/>
  <c r="F30" i="76"/>
  <c r="G29" i="76"/>
  <c r="F29" i="76"/>
  <c r="D43" i="54"/>
  <c r="C43" i="54"/>
  <c r="J20" i="54"/>
  <c r="I20" i="54"/>
  <c r="J24" i="54"/>
  <c r="I24" i="54"/>
  <c r="G41" i="54"/>
  <c r="F41" i="54"/>
  <c r="J15" i="54"/>
  <c r="I15" i="54"/>
  <c r="G32" i="54"/>
  <c r="F32" i="54"/>
  <c r="J22" i="54"/>
  <c r="I22" i="54"/>
  <c r="D28" i="54"/>
  <c r="E28" i="76"/>
  <c r="C28" i="54"/>
  <c r="D46" i="54"/>
  <c r="E46" i="76"/>
  <c r="C46" i="54"/>
  <c r="G28" i="54"/>
  <c r="F28" i="54"/>
  <c r="J31" i="54"/>
  <c r="I31" i="54"/>
  <c r="D35" i="54"/>
  <c r="E35" i="76"/>
  <c r="C35" i="54"/>
  <c r="J50" i="54"/>
  <c r="I50" i="54"/>
  <c r="J45" i="54"/>
  <c r="I45" i="54"/>
  <c r="D33" i="54"/>
  <c r="E33" i="76"/>
  <c r="C33" i="54"/>
  <c r="J42" i="54"/>
  <c r="I42" i="54"/>
  <c r="G23" i="54"/>
  <c r="F23" i="54"/>
  <c r="G34" i="54"/>
  <c r="F34" i="54"/>
  <c r="G46" i="54"/>
  <c r="F46" i="54"/>
  <c r="D42" i="54"/>
  <c r="E42" i="76"/>
  <c r="C42" i="54"/>
  <c r="G38" i="54"/>
  <c r="F38" i="54"/>
  <c r="D45" i="54"/>
  <c r="E45" i="76"/>
  <c r="C45" i="54"/>
  <c r="J46" i="54"/>
  <c r="I46" i="54"/>
  <c r="D15" i="54"/>
  <c r="E15" i="76"/>
  <c r="C15" i="54"/>
  <c r="G31" i="54"/>
  <c r="F31" i="54"/>
  <c r="J44" i="54"/>
  <c r="I44" i="54"/>
  <c r="J17" i="54"/>
  <c r="I17" i="54"/>
  <c r="G11" i="54"/>
  <c r="F11" i="54"/>
  <c r="J25" i="54"/>
  <c r="I25" i="54"/>
  <c r="J16" i="54"/>
  <c r="I16" i="54"/>
  <c r="J37" i="54"/>
  <c r="I37" i="54"/>
  <c r="D39" i="54"/>
  <c r="E39" i="76"/>
  <c r="C39" i="54"/>
  <c r="D34" i="54"/>
  <c r="E34" i="76"/>
  <c r="C34" i="54"/>
  <c r="G12" i="54"/>
  <c r="F12" i="54"/>
  <c r="J26" i="54"/>
  <c r="I26" i="54"/>
  <c r="D26" i="54"/>
  <c r="C26" i="54"/>
  <c r="D12" i="54"/>
  <c r="C12" i="54"/>
  <c r="G27" i="54"/>
  <c r="F27" i="54"/>
  <c r="E17" i="76"/>
  <c r="D17" i="54"/>
  <c r="C17" i="54"/>
  <c r="J36" i="54"/>
  <c r="I36" i="54"/>
  <c r="J38" i="54"/>
  <c r="I38" i="54"/>
  <c r="D18" i="54"/>
  <c r="C18" i="54"/>
  <c r="D37" i="54"/>
  <c r="E37" i="76"/>
  <c r="C37" i="54"/>
  <c r="J28" i="54"/>
  <c r="I28" i="54"/>
  <c r="G20" i="54"/>
  <c r="F20" i="54"/>
  <c r="J33" i="54"/>
  <c r="I33" i="54"/>
  <c r="D19" i="54"/>
  <c r="E19" i="76"/>
  <c r="C19" i="54"/>
  <c r="D32" i="54"/>
  <c r="E32" i="76"/>
  <c r="C32" i="54"/>
  <c r="D16" i="54"/>
  <c r="E16" i="76"/>
  <c r="C16" i="54"/>
  <c r="J19" i="54"/>
  <c r="I19" i="54"/>
  <c r="D27" i="54"/>
  <c r="E27" i="76"/>
  <c r="C27" i="54"/>
  <c r="G48" i="38663"/>
  <c r="D11" i="32"/>
  <c r="D48" i="32" s="1"/>
  <c r="E11" i="76"/>
  <c r="E26" i="76"/>
  <c r="E21" i="76"/>
  <c r="G21" i="76" l="1"/>
  <c r="F21" i="76"/>
  <c r="G26" i="76"/>
  <c r="F26" i="76"/>
  <c r="G11" i="76"/>
  <c r="F11" i="76"/>
  <c r="D36" i="54"/>
  <c r="E36" i="76"/>
  <c r="C36" i="54"/>
  <c r="G43" i="54"/>
  <c r="F43" i="54"/>
  <c r="G30" i="38667"/>
  <c r="I30" i="38667"/>
  <c r="E30" i="38667"/>
  <c r="G45" i="76"/>
  <c r="F45" i="76"/>
  <c r="G33" i="76"/>
  <c r="F33" i="76"/>
  <c r="G41" i="76"/>
  <c r="F41" i="76"/>
  <c r="G13" i="76"/>
  <c r="F13" i="76"/>
  <c r="G44" i="76"/>
  <c r="F44" i="76"/>
  <c r="G24" i="76"/>
  <c r="F24" i="76"/>
  <c r="G38" i="76"/>
  <c r="F38" i="76"/>
  <c r="E43" i="76"/>
  <c r="G26" i="54"/>
  <c r="F26" i="54"/>
  <c r="J12" i="54"/>
  <c r="I12" i="54"/>
  <c r="G16" i="76"/>
  <c r="F16" i="76"/>
  <c r="G34" i="76"/>
  <c r="F34" i="76"/>
  <c r="G15" i="76"/>
  <c r="F15" i="76"/>
  <c r="G35" i="76"/>
  <c r="F35" i="76"/>
  <c r="G14" i="76"/>
  <c r="F14" i="76"/>
  <c r="G31" i="76"/>
  <c r="F31" i="76"/>
  <c r="G51" i="76"/>
  <c r="F51" i="76"/>
  <c r="G23" i="76"/>
  <c r="F23" i="76"/>
  <c r="G20" i="76"/>
  <c r="F20" i="76"/>
  <c r="J43" i="54"/>
  <c r="I43" i="54"/>
  <c r="J11" i="54"/>
  <c r="I11" i="54"/>
  <c r="G27" i="76"/>
  <c r="F27" i="76"/>
  <c r="G32" i="76"/>
  <c r="F32" i="76"/>
  <c r="G37" i="76"/>
  <c r="F37" i="76"/>
  <c r="G39" i="76"/>
  <c r="F39" i="76"/>
  <c r="G46" i="76"/>
  <c r="F46" i="76"/>
  <c r="G40" i="76"/>
  <c r="F40" i="76"/>
  <c r="B48" i="54"/>
  <c r="J21" i="54"/>
  <c r="I21" i="54"/>
  <c r="G44" i="38667"/>
  <c r="I44" i="38667"/>
  <c r="E44" i="38667"/>
  <c r="G18" i="54"/>
  <c r="F18" i="54"/>
  <c r="G19" i="76"/>
  <c r="F19" i="76"/>
  <c r="G17" i="76"/>
  <c r="F17" i="76"/>
  <c r="G42" i="76"/>
  <c r="F42" i="76"/>
  <c r="G28" i="76"/>
  <c r="F28" i="76"/>
  <c r="G50" i="76"/>
  <c r="F50" i="76"/>
  <c r="G22" i="76"/>
  <c r="F22" i="76"/>
  <c r="G25" i="76"/>
  <c r="F25" i="76"/>
  <c r="E18" i="76"/>
  <c r="E12" i="76"/>
  <c r="E48" i="38648"/>
  <c r="C72" i="3188" l="1"/>
  <c r="G23" i="38667"/>
  <c r="I23" i="38667"/>
  <c r="E23" i="38667"/>
  <c r="G14" i="38667"/>
  <c r="I14" i="38667"/>
  <c r="E14" i="38667"/>
  <c r="G15" i="38667"/>
  <c r="I15" i="38667"/>
  <c r="E15" i="38667"/>
  <c r="G35" i="38667"/>
  <c r="I35" i="38667"/>
  <c r="E35" i="38667"/>
  <c r="G45" i="38667"/>
  <c r="I45" i="38667"/>
  <c r="E45" i="38667"/>
  <c r="G21" i="38667"/>
  <c r="I21" i="38667"/>
  <c r="E21" i="38667"/>
  <c r="G40" i="38667"/>
  <c r="I40" i="38667"/>
  <c r="E40" i="38667"/>
  <c r="G16" i="38667"/>
  <c r="I16" i="38667"/>
  <c r="E16" i="38667"/>
  <c r="G48" i="54"/>
  <c r="F48" i="54"/>
  <c r="G22" i="38667"/>
  <c r="I22" i="38667"/>
  <c r="E22" i="38667"/>
  <c r="D48" i="54"/>
  <c r="E48" i="76"/>
  <c r="C48" i="54"/>
  <c r="G24" i="38667"/>
  <c r="I24" i="38667"/>
  <c r="E24" i="38667"/>
  <c r="G34" i="38667"/>
  <c r="I34" i="38667"/>
  <c r="E34" i="38667"/>
  <c r="G25" i="38667"/>
  <c r="I25" i="38667"/>
  <c r="E25" i="38667"/>
  <c r="I32" i="38667"/>
  <c r="G32" i="38667"/>
  <c r="E32" i="38667"/>
  <c r="I13" i="38667"/>
  <c r="G13" i="38667"/>
  <c r="E13" i="38667"/>
  <c r="G43" i="76"/>
  <c r="F43" i="76"/>
  <c r="G41" i="38667"/>
  <c r="I41" i="38667"/>
  <c r="E41" i="38667"/>
  <c r="G46" i="38667"/>
  <c r="I46" i="38667"/>
  <c r="E46" i="38667"/>
  <c r="G36" i="38667"/>
  <c r="I36" i="38667"/>
  <c r="E36" i="38667"/>
  <c r="G28" i="38667"/>
  <c r="I28" i="38667"/>
  <c r="E28" i="38667"/>
  <c r="G38" i="38667"/>
  <c r="I38" i="38667"/>
  <c r="E38" i="38667"/>
  <c r="G18" i="76"/>
  <c r="F18" i="76"/>
  <c r="J48" i="54"/>
  <c r="I48" i="54"/>
  <c r="G26" i="38667"/>
  <c r="I26" i="38667"/>
  <c r="E26" i="38667"/>
  <c r="G12" i="76"/>
  <c r="F12" i="76"/>
  <c r="G36" i="76"/>
  <c r="F36" i="76"/>
  <c r="G20" i="38667" l="1"/>
  <c r="I20" i="38667"/>
  <c r="E20" i="38667"/>
  <c r="G31" i="38667"/>
  <c r="I31" i="38667"/>
  <c r="E31" i="38667"/>
  <c r="G27" i="38667"/>
  <c r="I27" i="38667"/>
  <c r="E27" i="38667"/>
  <c r="G42" i="38667"/>
  <c r="I42" i="38667"/>
  <c r="E42" i="38667"/>
  <c r="G18" i="38667"/>
  <c r="I18" i="38667"/>
  <c r="E18" i="38667"/>
  <c r="G11" i="38667"/>
  <c r="I11" i="38667"/>
  <c r="D48" i="38667"/>
  <c r="E11" i="38667"/>
  <c r="I17" i="38667"/>
  <c r="G17" i="38667"/>
  <c r="E17" i="38667"/>
  <c r="G37" i="38667"/>
  <c r="I37" i="38667"/>
  <c r="E37" i="38667"/>
  <c r="G19" i="38667"/>
  <c r="I19" i="38667"/>
  <c r="E19" i="38667"/>
  <c r="I43" i="38667"/>
  <c r="G43" i="38667"/>
  <c r="E43" i="38667"/>
  <c r="G48" i="76"/>
  <c r="F48" i="76"/>
  <c r="I12" i="38667"/>
  <c r="G12" i="38667"/>
  <c r="E12" i="38667"/>
  <c r="G39" i="38667"/>
  <c r="I39" i="38667"/>
  <c r="E39" i="38667"/>
  <c r="G33" i="38667"/>
  <c r="I33" i="38667"/>
  <c r="E33" i="38667"/>
  <c r="G48" i="38667" l="1"/>
  <c r="I48" i="38667"/>
  <c r="E48" i="38667"/>
</calcChain>
</file>

<file path=xl/comments1.xml><?xml version="1.0" encoding="utf-8"?>
<comments xmlns="http://schemas.openxmlformats.org/spreadsheetml/2006/main">
  <authors>
    <author>GPizzaro</author>
  </authors>
  <commentList>
    <comment ref="J8" authorId="0" shapeId="0">
      <text>
        <r>
          <rPr>
            <sz val="8"/>
            <color indexed="81"/>
            <rFont val="Tahoma"/>
            <family val="2"/>
          </rPr>
          <t>Portioned assessment come from W:\Edusfb\Total School Assessment\YYYY F assessment.</t>
        </r>
      </text>
    </comment>
    <comment ref="H16" authorId="0" shapeId="0">
      <text>
        <r>
          <rPr>
            <b/>
            <sz val="8"/>
            <color indexed="81"/>
            <rFont val="Tahoma"/>
            <family val="2"/>
          </rPr>
          <t>GPizzaro:</t>
        </r>
        <r>
          <rPr>
            <sz val="8"/>
            <color indexed="81"/>
            <rFont val="Tahoma"/>
            <family val="2"/>
          </rPr>
          <t xml:space="preserve">
Take it from the folder</t>
        </r>
      </text>
    </comment>
  </commentList>
</comments>
</file>

<file path=xl/sharedStrings.xml><?xml version="1.0" encoding="utf-8"?>
<sst xmlns="http://schemas.openxmlformats.org/spreadsheetml/2006/main" count="3226" uniqueCount="660">
  <si>
    <t>REVENUE AND TRANSFERS</t>
  </si>
  <si>
    <t xml:space="preserve"> EXPENSE BY CATEGORY</t>
  </si>
  <si>
    <t xml:space="preserve">  REVENUE BY CATEGORY</t>
  </si>
  <si>
    <t>TANGIBLE CAPITAL ASSETS</t>
  </si>
  <si>
    <t>FALLYR</t>
  </si>
  <si>
    <t>SPRINGYR</t>
  </si>
  <si>
    <t>PAGE 1 OF 3</t>
  </si>
  <si>
    <t xml:space="preserve"> </t>
  </si>
  <si>
    <t>PAGE 2 OF 3</t>
  </si>
  <si>
    <t>PAGE 3 OF 3</t>
  </si>
  <si>
    <t xml:space="preserve"> FRAME STUDENT STATISTICS</t>
  </si>
  <si>
    <t>PAGE 1 OF 2</t>
  </si>
  <si>
    <t xml:space="preserve">PAGE 2 OF 2 </t>
  </si>
  <si>
    <t xml:space="preserve"> FUNCTION 100: REGULAR INSTRUCTION</t>
  </si>
  <si>
    <t xml:space="preserve"> FUNCTION 400: COMMUNITY EDUCATION AND SERVICES</t>
  </si>
  <si>
    <t xml:space="preserve"> FUNCTION 700: TRANSPORTATION OF PUPILS</t>
  </si>
  <si>
    <t xml:space="preserve"> FUNCTION 800: OPERATIONS AND MAINTENANCE</t>
  </si>
  <si>
    <t xml:space="preserve"> FUNCTION 900: FISCAL</t>
  </si>
  <si>
    <t>REGULAR TRANSPORTATION</t>
  </si>
  <si>
    <t>ADMINISTRATION</t>
  </si>
  <si>
    <t>ENGLISH LANGUAGE</t>
  </si>
  <si>
    <t>FRANÇAIS</t>
  </si>
  <si>
    <t>FRENCH IMMERSION</t>
  </si>
  <si>
    <t>BOARD OF TRUSTEES</t>
  </si>
  <si>
    <t>OTHER</t>
  </si>
  <si>
    <t>SCHOOL BUILDINGS</t>
  </si>
  <si>
    <t>REGULAR INSTRUCTION</t>
  </si>
  <si>
    <t>EXCEPTIONAL</t>
  </si>
  <si>
    <t>COMMUNITY EDUCATION</t>
  </si>
  <si>
    <t>MAINTENANCE</t>
  </si>
  <si>
    <t>FISCAL</t>
  </si>
  <si>
    <t>TOTAL</t>
  </si>
  <si>
    <t>(PROGRAM 720)</t>
  </si>
  <si>
    <t>EXPENDITURES</t>
  </si>
  <si>
    <t>REGULAR</t>
  </si>
  <si>
    <t>OTHER BUILDINGS</t>
  </si>
  <si>
    <t>GROUNDS</t>
  </si>
  <si>
    <t>DEBT SERVICES</t>
  </si>
  <si>
    <t>ENGLISH</t>
  </si>
  <si>
    <t>EDUCATION</t>
  </si>
  <si>
    <t xml:space="preserve">    TRANSFERS BY FUNCTION</t>
  </si>
  <si>
    <t>AREA</t>
  </si>
  <si>
    <t xml:space="preserve"> DIVISION / DISTRICT</t>
  </si>
  <si>
    <t>AMOUNT</t>
  </si>
  <si>
    <t>%</t>
  </si>
  <si>
    <t xml:space="preserve">PER PUPIL </t>
  </si>
  <si>
    <t>RECHARGE</t>
  </si>
  <si>
    <t>TRANSFERS</t>
  </si>
  <si>
    <t>TOTAL PORTIONED ASSESSMENT, SPECIAL LEVY AND MILL RATES</t>
  </si>
  <si>
    <t>DATE:</t>
  </si>
  <si>
    <t>PROVINCIAL GOVERNMENT</t>
  </si>
  <si>
    <t>BASE SUPPORT</t>
  </si>
  <si>
    <t>CATEGORICAL SUPPORT</t>
  </si>
  <si>
    <t>PRIVATE</t>
  </si>
  <si>
    <t>% OF OPERATING FUND REVENUES</t>
  </si>
  <si>
    <t>PORTIONED ASSESSMENT</t>
  </si>
  <si>
    <t>FEDERAL</t>
  </si>
  <si>
    <t>MUNICIPAL</t>
  </si>
  <si>
    <t>GOVERNMENTS</t>
  </si>
  <si>
    <t>CATEGORICAL</t>
  </si>
  <si>
    <t>PROVINCIAL</t>
  </si>
  <si>
    <t>FIRST NATIONS</t>
  </si>
  <si>
    <t>REVENUE</t>
  </si>
  <si>
    <t>LEVY</t>
  </si>
  <si>
    <t>MINING</t>
  </si>
  <si>
    <t>SUPPORT</t>
  </si>
  <si>
    <t>OCCUPANCY</t>
  </si>
  <si>
    <t>SERVICES</t>
  </si>
  <si>
    <t xml:space="preserve">OTHER  </t>
  </si>
  <si>
    <t>SPECIAL LEVY</t>
  </si>
  <si>
    <t>OTHER DIVISIONS</t>
  </si>
  <si>
    <t>OBJECT</t>
  </si>
  <si>
    <t>SALARIES</t>
  </si>
  <si>
    <t>TOTALS</t>
  </si>
  <si>
    <t>COMMUNITY EDUCATION &amp; SERVICES</t>
  </si>
  <si>
    <t>TRANSPORTATION OF PUPILS</t>
  </si>
  <si>
    <t>OPERATIONS AND MAINTENANCE</t>
  </si>
  <si>
    <t>PAGE 2 OF 2</t>
  </si>
  <si>
    <t>FUNCTION</t>
  </si>
  <si>
    <t>INSTRUCTION</t>
  </si>
  <si>
    <t>EMPLOYEE BENEFITS AND ALLOWANCES</t>
  </si>
  <si>
    <t>FRAME STUDENT STATISTICS</t>
  </si>
  <si>
    <t xml:space="preserve">PAGE 1 OF 2 </t>
  </si>
  <si>
    <t>%  IN DUAL TRACK SCHOOLS</t>
  </si>
  <si>
    <t>SUPPLEMENTARY DATA FOR FRAME REPORT</t>
  </si>
  <si>
    <t>CHECK</t>
  </si>
  <si>
    <t>ENROLMENTS - HEADCOUNT, FRAME AND ELIGIBLE</t>
  </si>
  <si>
    <t>PUPIL / TEACHER RATIOS</t>
  </si>
  <si>
    <t>INSURANCE</t>
  </si>
  <si>
    <t>EMPLOYEE BENEFITS</t>
  </si>
  <si>
    <t>SUPPLIES &amp; MATERIALS</t>
  </si>
  <si>
    <t>OPERATIONS &amp; MAINTENANCE</t>
  </si>
  <si>
    <t>INSTRUCTIONAL &amp; PUPIL SUPPORT SERVICES</t>
  </si>
  <si>
    <t>DIVISIONAL ADMINISTRATION</t>
  </si>
  <si>
    <t xml:space="preserve"> FUNCTION 500: DIVISIONAL ADMINISTRATION</t>
  </si>
  <si>
    <t xml:space="preserve">N/A </t>
  </si>
  <si>
    <t>(1)</t>
  </si>
  <si>
    <t>- 10 -</t>
  </si>
  <si>
    <t>PAGE 1 OF 5</t>
  </si>
  <si>
    <t>PAGE 2 OF 5</t>
  </si>
  <si>
    <t>PAGE 3 OF 5</t>
  </si>
  <si>
    <t>PAGE 4 OF 5</t>
  </si>
  <si>
    <t>PAGE 5 OF 5</t>
  </si>
  <si>
    <t>PROGRAMS</t>
  </si>
  <si>
    <t>(Grants-</t>
  </si>
  <si>
    <t>in-Lieu)</t>
  </si>
  <si>
    <t>ADULT LEARNING CENTRES</t>
  </si>
  <si>
    <t>- 13 -</t>
  </si>
  <si>
    <t>- 12 -</t>
  </si>
  <si>
    <t>REPAIRS</t>
  </si>
  <si>
    <t xml:space="preserve"> BEAUTIFUL PLAINS</t>
  </si>
  <si>
    <t xml:space="preserve"> BORDER LAND</t>
  </si>
  <si>
    <t xml:space="preserve"> BRANDON</t>
  </si>
  <si>
    <t xml:space="preserve"> EVERGREEN</t>
  </si>
  <si>
    <t xml:space="preserve"> FLIN FLON</t>
  </si>
  <si>
    <t xml:space="preserve"> FORT LA BOSSE</t>
  </si>
  <si>
    <t xml:space="preserve"> FRONTIER</t>
  </si>
  <si>
    <t xml:space="preserve"> GARDEN VALLEY</t>
  </si>
  <si>
    <t xml:space="preserve"> HANOVER</t>
  </si>
  <si>
    <t xml:space="preserve"> INTERLAKE</t>
  </si>
  <si>
    <t xml:space="preserve"> KELSEY</t>
  </si>
  <si>
    <t xml:space="preserve"> LAKESHORE</t>
  </si>
  <si>
    <t xml:space="preserve"> LORD SELKIRK</t>
  </si>
  <si>
    <t xml:space="preserve"> LOUIS RIEL</t>
  </si>
  <si>
    <t xml:space="preserve"> MOUNTAIN VIEW</t>
  </si>
  <si>
    <t xml:space="preserve"> MYSTERY LAKE</t>
  </si>
  <si>
    <t xml:space="preserve"> PARK WEST</t>
  </si>
  <si>
    <t xml:space="preserve"> PEMBINA TRAILS</t>
  </si>
  <si>
    <t xml:space="preserve"> PINE CREEK</t>
  </si>
  <si>
    <t xml:space="preserve"> PORTAGE LA PRAIRIE</t>
  </si>
  <si>
    <t xml:space="preserve"> PRAIRIE ROSE</t>
  </si>
  <si>
    <t xml:space="preserve"> PRAIRIE SPIRIT</t>
  </si>
  <si>
    <t xml:space="preserve"> RED RIVER VALLEY</t>
  </si>
  <si>
    <t xml:space="preserve"> RIVER EAST TRANSCONA</t>
  </si>
  <si>
    <t xml:space="preserve"> ROLLING RIVER</t>
  </si>
  <si>
    <t xml:space="preserve"> SEINE RIVER</t>
  </si>
  <si>
    <t xml:space="preserve"> SEVEN OAKS</t>
  </si>
  <si>
    <t xml:space="preserve"> SOUTHWEST HORIZON</t>
  </si>
  <si>
    <t xml:space="preserve"> ST. JAMES-ASSINIBOIA</t>
  </si>
  <si>
    <t xml:space="preserve"> SUNRISE</t>
  </si>
  <si>
    <t xml:space="preserve"> SWAN VALLEY</t>
  </si>
  <si>
    <t xml:space="preserve"> TURTLE MOUNTAIN</t>
  </si>
  <si>
    <t xml:space="preserve"> TURTLE RIVER</t>
  </si>
  <si>
    <t xml:space="preserve"> WESTERN</t>
  </si>
  <si>
    <t xml:space="preserve"> WINNIPEG</t>
  </si>
  <si>
    <t xml:space="preserve"> PROVINCE</t>
  </si>
  <si>
    <t xml:space="preserve"> WHITESHELL</t>
  </si>
  <si>
    <t xml:space="preserve"> D.S.F.M.</t>
  </si>
  <si>
    <t>EXPENSES</t>
  </si>
  <si>
    <t xml:space="preserve">CO. </t>
  </si>
  <si>
    <t>DIVISION/DISTRICT</t>
  </si>
  <si>
    <t>BE</t>
  </si>
  <si>
    <t>BO</t>
  </si>
  <si>
    <t>BR</t>
  </si>
  <si>
    <t>DI</t>
  </si>
  <si>
    <t>EV</t>
  </si>
  <si>
    <t>FL</t>
  </si>
  <si>
    <t>FO</t>
  </si>
  <si>
    <t>FR</t>
  </si>
  <si>
    <t>GA</t>
  </si>
  <si>
    <t>HA</t>
  </si>
  <si>
    <t>IN</t>
  </si>
  <si>
    <t>KE</t>
  </si>
  <si>
    <t>LA</t>
  </si>
  <si>
    <t>LO</t>
  </si>
  <si>
    <t>LR</t>
  </si>
  <si>
    <t>MO</t>
  </si>
  <si>
    <t>MY</t>
  </si>
  <si>
    <t>PA</t>
  </si>
  <si>
    <t>PE</t>
  </si>
  <si>
    <t>PI</t>
  </si>
  <si>
    <t>PO</t>
  </si>
  <si>
    <t>PR</t>
  </si>
  <si>
    <t>PS</t>
  </si>
  <si>
    <t>RE</t>
  </si>
  <si>
    <t>RI</t>
  </si>
  <si>
    <t>RO</t>
  </si>
  <si>
    <t>SE</t>
  </si>
  <si>
    <t>SO</t>
  </si>
  <si>
    <t>SR</t>
  </si>
  <si>
    <t>ST</t>
  </si>
  <si>
    <t>SU</t>
  </si>
  <si>
    <t>SW</t>
  </si>
  <si>
    <t>TM</t>
  </si>
  <si>
    <t>TR</t>
  </si>
  <si>
    <t>WE</t>
  </si>
  <si>
    <t>WI</t>
  </si>
  <si>
    <t>WT</t>
  </si>
  <si>
    <t>XW</t>
  </si>
  <si>
    <t xml:space="preserve"> FUNCTION 300: ADULT LEARNING CENTRES</t>
  </si>
  <si>
    <t xml:space="preserve">  TRUSTEES REMUNERATION</t>
  </si>
  <si>
    <t xml:space="preserve">  INSTRUCTIONAL - TEACHING</t>
  </si>
  <si>
    <t xml:space="preserve">  INSTRUCTIONAL - OTHER</t>
  </si>
  <si>
    <t xml:space="preserve">  TECHNICAL, SPECIALIZED AND SERVICE</t>
  </si>
  <si>
    <t xml:space="preserve">  SECRETARIAL, CLERICAL AND OTHER</t>
  </si>
  <si>
    <t xml:space="preserve">  CLINICIAN</t>
  </si>
  <si>
    <t xml:space="preserve">  INFORMATION TECHNOLOGY</t>
  </si>
  <si>
    <t xml:space="preserve">  TOTAL SALARIES</t>
  </si>
  <si>
    <t xml:space="preserve">  PROFESSIONAL, TECHNICAL &amp; SPECIALIZED</t>
  </si>
  <si>
    <t xml:space="preserve">  COMMUNICATIONS</t>
  </si>
  <si>
    <t xml:space="preserve">  UTILITY SERVICES</t>
  </si>
  <si>
    <t xml:space="preserve">  TRANSPORTATION OF PUPILS</t>
  </si>
  <si>
    <t xml:space="preserve">  TUITION</t>
  </si>
  <si>
    <t xml:space="preserve">  PRINTING AND BINDING</t>
  </si>
  <si>
    <t xml:space="preserve">  INSURANCE AND BOND PREMIUMS</t>
  </si>
  <si>
    <t xml:space="preserve">  MAINTENANCE AND REPAIR SERVICES</t>
  </si>
  <si>
    <t xml:space="preserve">  RENTALS</t>
  </si>
  <si>
    <t xml:space="preserve">  ADVERTISING</t>
  </si>
  <si>
    <t xml:space="preserve">  DUES AND FEES</t>
  </si>
  <si>
    <t xml:space="preserve">  PROFESSIONAL AND STAFF DEVELOPMENT</t>
  </si>
  <si>
    <t xml:space="preserve">  INFORMATION TECHNOLOGY SERVICES</t>
  </si>
  <si>
    <t xml:space="preserve">  TOTAL SERVICES</t>
  </si>
  <si>
    <t>SUPPLIES AND EQUIPMENT</t>
  </si>
  <si>
    <t xml:space="preserve">  SUPPLIES</t>
  </si>
  <si>
    <t xml:space="preserve">  CURRICULAR AND MEDIA MATERIALS</t>
  </si>
  <si>
    <t xml:space="preserve">  MINOR EQUIPMENT</t>
  </si>
  <si>
    <t xml:space="preserve">  INFORMATION TECHNOLOGY EQUIPMENT</t>
  </si>
  <si>
    <t xml:space="preserve">  TOTAL SUPPLIES AND EQUIPMENT</t>
  </si>
  <si>
    <t xml:space="preserve">  DEBT SERVICES</t>
  </si>
  <si>
    <t xml:space="preserve">  OTHER GOVERNMENT AUTHORITIES</t>
  </si>
  <si>
    <t xml:space="preserve">  TOTAL TRANSFERS</t>
  </si>
  <si>
    <t>PROVINCE</t>
  </si>
  <si>
    <t xml:space="preserve">  TRAVEL AND MEETINGS</t>
  </si>
  <si>
    <t>OPERATING FUND - ACCUMULATED SURPLUS/(DEFICIT)</t>
  </si>
  <si>
    <t>(2)</t>
  </si>
  <si>
    <t>LOCAL TAXATION AND ASSESSMENT PER RESIDENT PUPIL</t>
  </si>
  <si>
    <t xml:space="preserve">  EXECUTIVE, MANAGERIAL &amp; SUPERVISORY</t>
  </si>
  <si>
    <t>ACTUAL</t>
  </si>
  <si>
    <t xml:space="preserve"> DIVISION/DISTRICT TOTAL</t>
  </si>
  <si>
    <t xml:space="preserve"> L.G.D. OF PINAWA</t>
  </si>
  <si>
    <t xml:space="preserve"> NOT IN ANY DIVISION</t>
  </si>
  <si>
    <t>STATISTICAL SUMMARY</t>
  </si>
  <si>
    <t>LIABILITY</t>
  </si>
  <si>
    <t>SELF-FUNDED</t>
  </si>
  <si>
    <t>CALCULATION OF EXPENDITURE BASE AND ADMINISTRATION PERCENTAGE</t>
  </si>
  <si>
    <t>ADMIN. COSTS</t>
  </si>
  <si>
    <r>
      <t xml:space="preserve">SINGLE TRACK </t>
    </r>
    <r>
      <rPr>
        <b/>
        <vertAlign val="superscript"/>
        <sz val="10"/>
        <rFont val="Arial"/>
        <family val="2"/>
      </rPr>
      <t>(1)</t>
    </r>
  </si>
  <si>
    <r>
      <t xml:space="preserve">DUAL TRACK </t>
    </r>
    <r>
      <rPr>
        <b/>
        <vertAlign val="superscript"/>
        <sz val="10"/>
        <rFont val="Arial"/>
        <family val="2"/>
      </rPr>
      <t>(2)</t>
    </r>
  </si>
  <si>
    <r>
      <t xml:space="preserve">HEADCOUNT </t>
    </r>
    <r>
      <rPr>
        <b/>
        <vertAlign val="superscript"/>
        <sz val="10"/>
        <rFont val="Arial"/>
        <family val="2"/>
      </rPr>
      <t>(1)</t>
    </r>
  </si>
  <si>
    <r>
      <t xml:space="preserve">FRAME </t>
    </r>
    <r>
      <rPr>
        <b/>
        <vertAlign val="superscript"/>
        <sz val="10"/>
        <rFont val="Arial"/>
        <family val="2"/>
      </rPr>
      <t>(2)</t>
    </r>
  </si>
  <si>
    <r>
      <t xml:space="preserve">ELIGIBLE </t>
    </r>
    <r>
      <rPr>
        <b/>
        <vertAlign val="superscript"/>
        <sz val="10"/>
        <rFont val="Arial"/>
        <family val="2"/>
      </rPr>
      <t>(3)</t>
    </r>
  </si>
  <si>
    <r>
      <t>(1)</t>
    </r>
    <r>
      <rPr>
        <sz val="9"/>
        <rFont val="Arial"/>
        <family val="2"/>
      </rPr>
      <t xml:space="preserve">  Pupils taught in schools, whether or not they are counted for grant purposes.</t>
    </r>
  </si>
  <si>
    <r>
      <t xml:space="preserve">EDUCATOR </t>
    </r>
    <r>
      <rPr>
        <b/>
        <vertAlign val="superscript"/>
        <sz val="10"/>
        <rFont val="Arial"/>
        <family val="2"/>
      </rPr>
      <t>(2)</t>
    </r>
  </si>
  <si>
    <r>
      <t xml:space="preserve">  RECHARGE </t>
    </r>
    <r>
      <rPr>
        <vertAlign val="superscript"/>
        <sz val="10"/>
        <rFont val="Arial"/>
        <family val="2"/>
      </rPr>
      <t>(1)</t>
    </r>
  </si>
  <si>
    <r>
      <t xml:space="preserve">SINGLE TRACK SCHOOLS </t>
    </r>
    <r>
      <rPr>
        <b/>
        <vertAlign val="superscript"/>
        <sz val="10"/>
        <rFont val="Arial"/>
        <family val="2"/>
      </rPr>
      <t>(1)</t>
    </r>
  </si>
  <si>
    <r>
      <t xml:space="preserve">DUAL TRACK SCHOOLS </t>
    </r>
    <r>
      <rPr>
        <b/>
        <vertAlign val="superscript"/>
        <sz val="10"/>
        <rFont val="Arial"/>
        <family val="2"/>
      </rPr>
      <t>(1)</t>
    </r>
  </si>
  <si>
    <r>
      <t xml:space="preserve">PROVINCIAL </t>
    </r>
    <r>
      <rPr>
        <b/>
        <vertAlign val="superscript"/>
        <sz val="10"/>
        <rFont val="Arial"/>
        <family val="2"/>
      </rPr>
      <t>(1)</t>
    </r>
  </si>
  <si>
    <t xml:space="preserve">  PROPERTY TAXES</t>
  </si>
  <si>
    <t xml:space="preserve"> FUNCTION 200: STUDENT SUPPORT SERVICES</t>
  </si>
  <si>
    <t xml:space="preserve"> FUNCTION 600: INSTRUCTIONAL &amp; OTHER SUPPORT SERVICES</t>
  </si>
  <si>
    <t>TOTAL DEFINED ADMINISTRATION EXPENSES</t>
  </si>
  <si>
    <t>RECONCILIATION  OF  EXPENSES</t>
  </si>
  <si>
    <r>
      <t xml:space="preserve">EXPENSES </t>
    </r>
    <r>
      <rPr>
        <b/>
        <vertAlign val="superscript"/>
        <sz val="10"/>
        <rFont val="Arial"/>
        <family val="2"/>
      </rPr>
      <t>(1)</t>
    </r>
    <r>
      <rPr>
        <sz val="9"/>
        <color indexed="9"/>
        <rFont val="Arial"/>
        <family val="2"/>
      </rPr>
      <t>X</t>
    </r>
  </si>
  <si>
    <t>PAGE 1 OF 4</t>
  </si>
  <si>
    <t>PAGE 3 OF 4</t>
  </si>
  <si>
    <t>PAGE 2 OF 4</t>
  </si>
  <si>
    <t>PAGE 4 OF 4</t>
  </si>
  <si>
    <t>EXPENSE BY FUNCTION AND OBJECT</t>
  </si>
  <si>
    <t>EXPENSE BY 2ND LEVEL OBJECT</t>
  </si>
  <si>
    <t>AS A PERCENTAGE OF TOTAL OPERATING FUND EXPENSES</t>
  </si>
  <si>
    <t>STUDENT SUPPORT SERVICES</t>
  </si>
  <si>
    <t>ANALYSIS OF EXPENSE BY FUNCTION</t>
  </si>
  <si>
    <t xml:space="preserve"> ANALYSIS OF OPERATIONS AND MAINTENANCE EXPENSES FOR SCHOOL BUILDINGS</t>
  </si>
  <si>
    <t>ANALYSIS OF EXPENSE BY PROGRAM</t>
  </si>
  <si>
    <t>OPERATING FUND COST PER PUPIL</t>
  </si>
  <si>
    <r>
      <t xml:space="preserve"> INFORMATION TECHNOLOGY EXPENSES </t>
    </r>
    <r>
      <rPr>
        <b/>
        <vertAlign val="superscript"/>
        <sz val="10"/>
        <rFont val="Arial"/>
        <family val="2"/>
      </rPr>
      <t>(1)</t>
    </r>
  </si>
  <si>
    <t>ANALYSIS OF TRANSPORTATION EXPENSES (CONT'D)</t>
  </si>
  <si>
    <t>ANALYSIS OF TRANSPORTATION EXPENSES</t>
  </si>
  <si>
    <t>COMPRISED OF:</t>
  </si>
  <si>
    <r>
      <t xml:space="preserve">  RECHARGE </t>
    </r>
    <r>
      <rPr>
        <vertAlign val="superscript"/>
        <sz val="9"/>
        <rFont val="Arial"/>
        <family val="2"/>
      </rPr>
      <t>(1)</t>
    </r>
  </si>
  <si>
    <t xml:space="preserve">  BAD DEBT EXPENSE</t>
  </si>
  <si>
    <r>
      <t xml:space="preserve">LAND </t>
    </r>
    <r>
      <rPr>
        <b/>
        <vertAlign val="superscript"/>
        <sz val="10"/>
        <rFont val="Arial"/>
        <family val="2"/>
      </rPr>
      <t>(1)</t>
    </r>
  </si>
  <si>
    <t xml:space="preserve">  ACCUMULATED SURPLUS / EQUITY</t>
  </si>
  <si>
    <r>
      <t xml:space="preserve">AMORTIZATION </t>
    </r>
    <r>
      <rPr>
        <b/>
        <vertAlign val="superscript"/>
        <sz val="9"/>
        <rFont val="Arial"/>
        <family val="2"/>
      </rPr>
      <t>(1)</t>
    </r>
  </si>
  <si>
    <r>
      <t>EQUIPMENT</t>
    </r>
    <r>
      <rPr>
        <b/>
        <vertAlign val="superscript"/>
        <sz val="10"/>
        <rFont val="Arial"/>
        <family val="2"/>
      </rPr>
      <t xml:space="preserve"> (2)</t>
    </r>
  </si>
  <si>
    <t xml:space="preserve">  FISCAL YEAR ADDITIONS TO TANGIBLE CAPITAL ASSETS</t>
  </si>
  <si>
    <t>UNDESIGNATED</t>
  </si>
  <si>
    <t>Health and Education Levy</t>
  </si>
  <si>
    <t>Dates</t>
  </si>
  <si>
    <t>September 30,</t>
  </si>
  <si>
    <r>
      <t xml:space="preserve">ADMINISTRATION EXPENSES </t>
    </r>
    <r>
      <rPr>
        <b/>
        <vertAlign val="superscript"/>
        <sz val="10"/>
        <rFont val="Arial"/>
        <family val="2"/>
      </rPr>
      <t>(1)</t>
    </r>
    <r>
      <rPr>
        <b/>
        <sz val="9"/>
        <rFont val="Arial"/>
        <family val="2"/>
      </rPr>
      <t xml:space="preserve"> </t>
    </r>
  </si>
  <si>
    <r>
      <t xml:space="preserve">OTHER  </t>
    </r>
    <r>
      <rPr>
        <b/>
        <vertAlign val="superscript"/>
        <sz val="9"/>
        <rFont val="Arial"/>
        <family val="2"/>
      </rPr>
      <t>(1)</t>
    </r>
  </si>
  <si>
    <r>
      <t>BUILDINGS</t>
    </r>
    <r>
      <rPr>
        <b/>
        <vertAlign val="superscript"/>
        <sz val="9"/>
        <rFont val="Arial"/>
        <family val="2"/>
      </rPr>
      <t xml:space="preserve"> </t>
    </r>
    <r>
      <rPr>
        <b/>
        <vertAlign val="superscript"/>
        <sz val="10"/>
        <rFont val="Arial"/>
        <family val="2"/>
      </rPr>
      <t>(2)</t>
    </r>
  </si>
  <si>
    <t>INSTRUCTIONAL AND OTHER SUPPORT SERVICES</t>
  </si>
  <si>
    <t>ANALYSIS OF INFORMATION TECHNOLOGY EXPENSES</t>
  </si>
  <si>
    <t xml:space="preserve">  EXECUTIVE, MANAGERIAL
 AND SUPERVISORY</t>
  </si>
  <si>
    <t xml:space="preserve"> TECHNICAL, 
SPECIALIZED AND SERVICE</t>
  </si>
  <si>
    <t>SECRETARIAL 
CLERICAL
 AND OTHER</t>
  </si>
  <si>
    <t>TOTAL 
FTE</t>
  </si>
  <si>
    <t xml:space="preserve"> DIVISION/DISTRICT</t>
  </si>
  <si>
    <t>BEAUTIFUL PLAINS</t>
  </si>
  <si>
    <t>BORDER LAND</t>
  </si>
  <si>
    <t>BRANDON</t>
  </si>
  <si>
    <t>EVERGREEN</t>
  </si>
  <si>
    <t>FLIN FLON</t>
  </si>
  <si>
    <t>FORT LA BOSSE</t>
  </si>
  <si>
    <t>FRONTIER</t>
  </si>
  <si>
    <t>GARDEN VALLEY</t>
  </si>
  <si>
    <t>HANOVER</t>
  </si>
  <si>
    <t>INTERLAKE</t>
  </si>
  <si>
    <t>KELSEY</t>
  </si>
  <si>
    <t>LAKESHORE</t>
  </si>
  <si>
    <t>LORD SELKIRK</t>
  </si>
  <si>
    <t>LOUIS RIEL</t>
  </si>
  <si>
    <t>MOUNTAIN VIEW</t>
  </si>
  <si>
    <t>MYSTERY LAKE</t>
  </si>
  <si>
    <t>PARK WEST</t>
  </si>
  <si>
    <t>PEMBINA TRAILS</t>
  </si>
  <si>
    <t>PINE CREEK</t>
  </si>
  <si>
    <t>PORTAGE LA PRAIRIE</t>
  </si>
  <si>
    <t>PRAIRIE ROSE</t>
  </si>
  <si>
    <t>PRAIRIE SPIRIT</t>
  </si>
  <si>
    <t>RED RIVER VALLEY</t>
  </si>
  <si>
    <t>RIVER EAST TRANSCONA</t>
  </si>
  <si>
    <t>ROLLING RIVER</t>
  </si>
  <si>
    <t>SEINE RIVER</t>
  </si>
  <si>
    <t>SEVEN OAKS</t>
  </si>
  <si>
    <t>SOUTHWEST HORIZON</t>
  </si>
  <si>
    <t>ST. JAMES-ASSINIBOIA</t>
  </si>
  <si>
    <t>SUNRISE</t>
  </si>
  <si>
    <t>SWAN VALLEY</t>
  </si>
  <si>
    <t>TURTLE MOUNTAIN</t>
  </si>
  <si>
    <t>TURTLE RIVER</t>
  </si>
  <si>
    <t>WESTERN</t>
  </si>
  <si>
    <t>WINNIPEG</t>
  </si>
  <si>
    <t>WHITESHELL</t>
  </si>
  <si>
    <t>DIRECT SUPPORT TO PUPILS</t>
  </si>
  <si>
    <t>PER PUPIL</t>
  </si>
  <si>
    <t>NET SPECIAL LEVY</t>
  </si>
  <si>
    <t>GROSS SPECIAL</t>
  </si>
  <si>
    <t>NET SPECIAL</t>
  </si>
  <si>
    <t xml:space="preserve">      </t>
  </si>
  <si>
    <t>CurrY</t>
  </si>
  <si>
    <t>PrevY</t>
  </si>
  <si>
    <r>
      <t xml:space="preserve">REGULAR INSTRUCTION </t>
    </r>
    <r>
      <rPr>
        <b/>
        <vertAlign val="superscript"/>
        <sz val="9"/>
        <rFont val="Arial"/>
        <family val="2"/>
      </rPr>
      <t>(1)</t>
    </r>
  </si>
  <si>
    <t>(1)  From page 4 (for more information, see page 4).</t>
  </si>
  <si>
    <t>(2)  From page 9 (for more information, see page 9).</t>
  </si>
  <si>
    <t>(1)  90% or more of Regular Instruction enrolment is in one language program.</t>
  </si>
  <si>
    <t>(2)  No one language program comprises 90% or more of Regular Instruction enrolment.</t>
  </si>
  <si>
    <t>(1)  Total operating expenses as reported on the Schedule of Revenue, Expenses and Accumulated Surplus by each school division.</t>
  </si>
  <si>
    <t>(3)  As reported on pages 10 and 13 (on a provincial basis).</t>
  </si>
  <si>
    <t>(4)  Expenses for Adult Learning Centres and Community Education and Services (Functions 300 and 400).</t>
  </si>
  <si>
    <t>(5)  As reported on page 4.</t>
  </si>
  <si>
    <t>(1)  90% or more of Regular Instruction enrolment is in one language.</t>
  </si>
  <si>
    <t>(1)  No one language program comprises 90% or more of Regular Instruction enrolment.</t>
  </si>
  <si>
    <t>(1)  Expenses shown are extra costs associated with special needs students in regular classes, not the total cost of educating those students.</t>
  </si>
  <si>
    <t>(1)  Includes food services, health services, and other activities related to instructional and other support not included in previous programs.</t>
  </si>
  <si>
    <t>(2)  Square footage (as per note above) divided by total F.T.E. enrolment (from page 7).</t>
  </si>
  <si>
    <t>(1)  Excludes information technology expenses in Function 300 (Adult Learning Centres) and Function 400 (Community Education and Services).</t>
  </si>
  <si>
    <t>(1)  See appendix for more detail.</t>
  </si>
  <si>
    <t>(5)  Includes revenue from other provincial government departments.</t>
  </si>
  <si>
    <t>(1)  Includes amortization of capital assets over their useful lives as defined in section 8 of the FRAME Manual - available on the Internet at:</t>
  </si>
  <si>
    <t>(2)  Includes other governments, investment income, donations and gain/(loss) on disposal of capital assets. .</t>
  </si>
  <si>
    <t>(1)  Land and improvements.</t>
  </si>
  <si>
    <t>(4)  Includes school buses and other vehicles.</t>
  </si>
  <si>
    <t>(2)  Mill rates for Flin Flon and Mystery Lake are adjusted for mining revenue.</t>
  </si>
  <si>
    <t>(2)  Provided in recognition of the higher costs associated with sparsely populated rural and northern divisions.</t>
  </si>
  <si>
    <t>(1)  Includes vehicle support for school buses.</t>
  </si>
  <si>
    <t xml:space="preserve"> DSFM</t>
  </si>
  <si>
    <t>DSFM</t>
  </si>
  <si>
    <r>
      <rPr>
        <sz val="9"/>
        <color indexed="12"/>
        <rFont val="Arial"/>
        <family val="2"/>
      </rPr>
      <t xml:space="preserve"> </t>
    </r>
    <r>
      <rPr>
        <u/>
        <sz val="9"/>
        <color indexed="12"/>
        <rFont val="Arial"/>
        <family val="2"/>
      </rPr>
      <t>http://www.edu.gov.mb.ca/k12/finance/frame_manual/index.html</t>
    </r>
  </si>
  <si>
    <t>(2)  For a definition of Divisional Administration, see expense definitions, page iii.</t>
  </si>
  <si>
    <r>
      <t xml:space="preserve">  VEHICLES </t>
    </r>
    <r>
      <rPr>
        <vertAlign val="superscript"/>
        <sz val="10"/>
        <rFont val="Arial"/>
        <family val="2"/>
      </rPr>
      <t>(4)</t>
    </r>
  </si>
  <si>
    <r>
      <t xml:space="preserve">PORTIONED ASSESSMENT AND EDUCATION SUPPORT LEVY  </t>
    </r>
    <r>
      <rPr>
        <b/>
        <vertAlign val="superscript"/>
        <sz val="10"/>
        <rFont val="Arial"/>
        <family val="2"/>
      </rPr>
      <t>(1)</t>
    </r>
  </si>
  <si>
    <t>ADDITIONAL INSTRUCTIONAL SUPPORT FOR 
SMALL SCHOOLS</t>
  </si>
  <si>
    <r>
      <t xml:space="preserve">TRANSPORTATION </t>
    </r>
    <r>
      <rPr>
        <b/>
        <vertAlign val="superscript"/>
        <sz val="10"/>
        <rFont val="Arial"/>
        <family val="2"/>
      </rPr>
      <t>(1)</t>
    </r>
  </si>
  <si>
    <t xml:space="preserve"> TEACHING</t>
  </si>
  <si>
    <t xml:space="preserve"> INSTRUCTIONAL
</t>
  </si>
  <si>
    <r>
      <t xml:space="preserve"> 
 CLINICIAN</t>
    </r>
    <r>
      <rPr>
        <b/>
        <vertAlign val="superscript"/>
        <sz val="9"/>
        <rFont val="Arial"/>
        <family val="2"/>
      </rPr>
      <t xml:space="preserve"> </t>
    </r>
    <r>
      <rPr>
        <vertAlign val="superscript"/>
        <sz val="9"/>
        <rFont val="Arial"/>
        <family val="2"/>
      </rPr>
      <t>(2)</t>
    </r>
  </si>
  <si>
    <r>
      <t xml:space="preserve">  
  IT  </t>
    </r>
    <r>
      <rPr>
        <b/>
        <vertAlign val="superscript"/>
        <sz val="9"/>
        <rFont val="Arial"/>
        <family val="2"/>
      </rPr>
      <t>(3)</t>
    </r>
  </si>
  <si>
    <t>Per Funded</t>
  </si>
  <si>
    <t>Resident</t>
  </si>
  <si>
    <t>Pupil &lt; 21</t>
  </si>
  <si>
    <t>for Page 55</t>
  </si>
  <si>
    <t>SCHOOL GENERATED FUNDS</t>
  </si>
  <si>
    <t>(2)  Includes clinicians contracted/outsourced/private or employed by other divisions on a full time equivalent basis.</t>
  </si>
  <si>
    <r>
      <t>% of K-12 Expense</t>
    </r>
    <r>
      <rPr>
        <b/>
        <vertAlign val="superscript"/>
        <sz val="9"/>
        <rFont val="Arial"/>
        <family val="2"/>
      </rPr>
      <t xml:space="preserve"> (2)</t>
    </r>
  </si>
  <si>
    <t>(2) Expenses net of transfers (page 3).</t>
  </si>
  <si>
    <r>
      <t>FULL TIME EQUIVALENT (FTE) PERSONNEL EMPLOYED</t>
    </r>
    <r>
      <rPr>
        <b/>
        <vertAlign val="superscript"/>
        <sz val="9"/>
        <rFont val="Arial"/>
        <family val="2"/>
      </rPr>
      <t xml:space="preserve"> (1)</t>
    </r>
  </si>
  <si>
    <r>
      <t xml:space="preserve">DESIGNATED </t>
    </r>
    <r>
      <rPr>
        <b/>
        <vertAlign val="superscript"/>
        <sz val="9"/>
        <rFont val="Arial"/>
        <family val="2"/>
      </rPr>
      <t>(2)</t>
    </r>
  </si>
  <si>
    <r>
      <t xml:space="preserve">EXPENSES </t>
    </r>
    <r>
      <rPr>
        <b/>
        <vertAlign val="superscript"/>
        <sz val="10"/>
        <rFont val="Arial"/>
        <family val="2"/>
      </rPr>
      <t>(3)</t>
    </r>
  </si>
  <si>
    <t>(1)  Accumulated Surplus / (Deficit) at Year End is gross of estimated non-vested accumulated sick leave.</t>
  </si>
  <si>
    <r>
      <t xml:space="preserve">ACCUMULATED SURPLUS / (DEFICIT) AT YEAR END </t>
    </r>
    <r>
      <rPr>
        <b/>
        <vertAlign val="superscript"/>
        <sz val="9"/>
        <rFont val="Arial"/>
        <family val="2"/>
      </rPr>
      <t xml:space="preserve"> (1)</t>
    </r>
  </si>
  <si>
    <t>(4)  Includes School Buildings "D" Support, Technology Education Equipment and other minor capital support.</t>
  </si>
  <si>
    <t>(5)  Includes adjustment for days schools are closed (not shown).</t>
  </si>
  <si>
    <t>(2)  Represents long term debt servicing interest costs.</t>
  </si>
  <si>
    <r>
      <t>SPARSITY</t>
    </r>
    <r>
      <rPr>
        <b/>
        <vertAlign val="superscript"/>
        <sz val="9"/>
        <rFont val="Arial"/>
        <family val="2"/>
      </rPr>
      <t xml:space="preserve"> (2)</t>
    </r>
  </si>
  <si>
    <t>(1)  All other categorical support not shown elsewhere (eg. Aboriginal and International Languages, Northern Allowance, etc.).</t>
  </si>
  <si>
    <t>(4)  Includes other miscellaneous support (Institutional Programs, Nursing Supports, General Support Grant, Smaller Classes Initiative, etc.).</t>
  </si>
  <si>
    <t>EXPENSES, REVENUE AND ACCUMULATED SURPLUS</t>
  </si>
  <si>
    <t>Reallocation of administration costs associated with Adult Learning Centres and Community and Education &amp; Services.</t>
  </si>
  <si>
    <t>(1)  Reallocation of administration costs associated with Adult Learning Centres and Community Education.</t>
  </si>
  <si>
    <t>(1)  Excludes personnel in Function 300 (Adult Learning Centres) and Function 400 (Community Education and Services) who do not provide 
       educational services to K-12 pupils.</t>
  </si>
  <si>
    <t>(3)  Information Technology personnel.</t>
  </si>
  <si>
    <t xml:space="preserve"> &lt; from Lyndonna</t>
  </si>
  <si>
    <t>Waywayseecapo</t>
  </si>
  <si>
    <t>PAGE 1 OF 16</t>
  </si>
  <si>
    <t>PAGE 2 OF 16</t>
  </si>
  <si>
    <t>PAGE 3 OF 16</t>
  </si>
  <si>
    <t>PAGE 4 OF 16</t>
  </si>
  <si>
    <t>PAGE 5 OF 16</t>
  </si>
  <si>
    <t>PAGE 6 OF 16</t>
  </si>
  <si>
    <t>PAGE 7 OF 16</t>
  </si>
  <si>
    <t>PAGE 8 OF 16</t>
  </si>
  <si>
    <t>PAGE 9 OF 16</t>
  </si>
  <si>
    <t>PAGE 10 OF 16</t>
  </si>
  <si>
    <t>PAGE 11 OF 16</t>
  </si>
  <si>
    <t>PAGE 12 OF 16</t>
  </si>
  <si>
    <t>PAGE 13 OF 16</t>
  </si>
  <si>
    <t>PAGE 14 OF 16</t>
  </si>
  <si>
    <t>PAGE 15 OF 16</t>
  </si>
  <si>
    <t>PAGE 16 OF 16</t>
  </si>
  <si>
    <t>(2)  Capitalized Information Technology equipment is reported on page 48.</t>
  </si>
  <si>
    <t>(2)  Total Management Information Services expenses in Function 500 (from page 26).</t>
  </si>
  <si>
    <t>(3)  For information technology equipment purchased in Operating Fund, see page 37.</t>
  </si>
  <si>
    <t>(3)  From page 55 (for more information, see page 55).</t>
  </si>
  <si>
    <t xml:space="preserve">(4)  From page 53 (for more information, see page 53). </t>
  </si>
  <si>
    <t>OE799X</t>
  </si>
  <si>
    <t>OE1TRANS</t>
  </si>
  <si>
    <t>OE7TRANS</t>
  </si>
  <si>
    <t>OE2TRANS</t>
  </si>
  <si>
    <t>OE3TRANS</t>
  </si>
  <si>
    <t>OE4TRANS</t>
  </si>
  <si>
    <t>OE5TRANS</t>
  </si>
  <si>
    <t>OE6TRANS</t>
  </si>
  <si>
    <t>LIABINS</t>
  </si>
  <si>
    <t>ADMINSELF</t>
  </si>
  <si>
    <t>ADJUSTMENT</t>
  </si>
  <si>
    <t>FOR DAYS</t>
  </si>
  <si>
    <t>CLOSED</t>
  </si>
  <si>
    <t>DAYSCLOS</t>
  </si>
  <si>
    <t>CATSUP</t>
  </si>
  <si>
    <t>SPECIAL NEEDS</t>
  </si>
  <si>
    <t>COORDINATOR/</t>
  </si>
  <si>
    <t>CLINICIAN</t>
  </si>
  <si>
    <t>LEVEL II</t>
  </si>
  <si>
    <t>LEVEL III</t>
  </si>
  <si>
    <t>SPECNEEDCLIN</t>
  </si>
  <si>
    <t>SPECNEED2</t>
  </si>
  <si>
    <t>SPECNEED3</t>
  </si>
  <si>
    <t>Page</t>
  </si>
  <si>
    <t>Function</t>
  </si>
  <si>
    <t xml:space="preserve"> Function's check</t>
  </si>
  <si>
    <t>(2)  Operating fund transfers are payments to other school divisions, organizations and individuals. These are removed to provide more accurate
       per pupil costs.</t>
  </si>
  <si>
    <r>
      <t xml:space="preserve">TOTAL
EXPENSES </t>
    </r>
    <r>
      <rPr>
        <b/>
        <vertAlign val="superscript"/>
        <sz val="9"/>
        <rFont val="Arial"/>
        <family val="2"/>
      </rPr>
      <t>(1)</t>
    </r>
  </si>
  <si>
    <r>
      <t>LESS
OPERATING 
FUND 
TRANSFERS</t>
    </r>
    <r>
      <rPr>
        <b/>
        <vertAlign val="superscript"/>
        <sz val="9"/>
        <rFont val="Arial"/>
        <family val="2"/>
      </rPr>
      <t xml:space="preserve"> (2)</t>
    </r>
  </si>
  <si>
    <r>
      <t xml:space="preserve">EXPENSES NET 
OF TRANFERS </t>
    </r>
    <r>
      <rPr>
        <b/>
        <vertAlign val="superscript"/>
        <sz val="9"/>
        <rFont val="Arial"/>
        <family val="2"/>
      </rPr>
      <t>(3)</t>
    </r>
  </si>
  <si>
    <r>
      <t>LESS
 NON K-12 
EDUCATION &amp; 
SERVICES</t>
    </r>
    <r>
      <rPr>
        <b/>
        <vertAlign val="superscript"/>
        <sz val="9"/>
        <rFont val="Arial"/>
        <family val="2"/>
      </rPr>
      <t xml:space="preserve"> (4)</t>
    </r>
  </si>
  <si>
    <r>
      <t xml:space="preserve">TOTAL
 EXPENSES 
FOR PER PUPIL COSTS </t>
    </r>
    <r>
      <rPr>
        <b/>
        <vertAlign val="superscript"/>
        <sz val="9"/>
        <rFont val="Arial"/>
        <family val="2"/>
      </rPr>
      <t>(5)</t>
    </r>
  </si>
  <si>
    <t>(1)  Operating fund transfers (i.e. payments to other school divisions, organizations and individuals) are excluded to provide more accurate per
       pupil costs. Also excluded are expenditures on educational services not provided to K-12 pupils: Function 300 (Adult Learning Centres) and
       Function  400 (Community Education and Services).</t>
  </si>
  <si>
    <t>OTHER BILINGUAL</t>
  </si>
  <si>
    <t>K-12  F.T.E. ENROLMENT</t>
  </si>
  <si>
    <t>SENIOR YEARS TECHNOLOGY</t>
  </si>
  <si>
    <t>(1) Special Placement students are no longer reported separately. They are included in Regular Instruction Enrolment. As a result, total enrolment
      in Regular Instruction is equal to Total K-12 F.T.E. enrolment.</t>
  </si>
  <si>
    <t>N-12 ENROLMENT</t>
  </si>
  <si>
    <t>NURSERY ENROLMENT</t>
  </si>
  <si>
    <t>K-12 ENROLMENT</t>
  </si>
  <si>
    <r>
      <t xml:space="preserve">REGULAR 
 INSTRUCTION </t>
    </r>
    <r>
      <rPr>
        <b/>
        <vertAlign val="superscript"/>
        <sz val="9"/>
        <rFont val="Arial"/>
        <family val="2"/>
      </rPr>
      <t>(1)</t>
    </r>
  </si>
  <si>
    <t>EMPLOYEE
BENEFITS</t>
  </si>
  <si>
    <t>SUPPLIES AND MATERIALS</t>
  </si>
  <si>
    <t>BAD DEBT EXPENSE</t>
  </si>
  <si>
    <t>REGULAR 
INSTRUCTION</t>
  </si>
  <si>
    <t>COMMUNITY
 EDUCATION</t>
  </si>
  <si>
    <t>INSTRUCTIONAL &amp; OTHER SUPPORT SERVICES</t>
  </si>
  <si>
    <t>STUDENT SUPPORT
 SERVICES</t>
  </si>
  <si>
    <t>ADULT LEARNING 
CENTRES</t>
  </si>
  <si>
    <t>COMMUNITY EDUCATION
 AND SERVICES</t>
  </si>
  <si>
    <t>DIVISIONAL
 ADMINISTRATION</t>
  </si>
  <si>
    <t>INSTRUCTIONAL &amp; OTHER 
SUPPORT SERVICES</t>
  </si>
  <si>
    <t>TRANSPORTATION 
OF PUPILS</t>
  </si>
  <si>
    <t>OPERATIONS AND 
MAINTENANCE</t>
  </si>
  <si>
    <t>PER
PUPIL</t>
  </si>
  <si>
    <t>PER
 PUPIL</t>
  </si>
  <si>
    <t>SENIOR YEARS
 TECHNOLOGY EDUCATION</t>
  </si>
  <si>
    <t>NO. OF F.T.E. PUPILS</t>
  </si>
  <si>
    <t>ADMINISTRATION / 
COORDINATION</t>
  </si>
  <si>
    <t>CLINICAL AND RELATED SERVICES</t>
  </si>
  <si>
    <t>SPECIAL 
PLACEMENT</t>
  </si>
  <si>
    <r>
      <t xml:space="preserve">REGULAR 
PLACEMENT </t>
    </r>
    <r>
      <rPr>
        <b/>
        <vertAlign val="superscript"/>
        <sz val="9"/>
        <rFont val="Arial"/>
        <family val="2"/>
      </rPr>
      <t>(1)</t>
    </r>
  </si>
  <si>
    <t xml:space="preserve"> RESOURCE 
SERVICES</t>
  </si>
  <si>
    <t>COUNSELLING AND 
GUIDANCE</t>
  </si>
  <si>
    <t>ADMINISTRATION 
AND OTHER</t>
  </si>
  <si>
    <t>CONTINUING EDUCATION</t>
  </si>
  <si>
    <t>ENGLISH AS AN ADDITIONAL LANGUAGE FOR ADULTS</t>
  </si>
  <si>
    <t>COMMUNITY SERVICES &amp; RECREATION</t>
  </si>
  <si>
    <t>PRE-KINDERGARTEN EDUCATION</t>
  </si>
  <si>
    <t>INSTRUCTIONAL MGMT. 
AND ADMINISTRATION</t>
  </si>
  <si>
    <t>BUSINESS AND
ADMIN. SERVICES</t>
  </si>
  <si>
    <t>MANAGEMENT
 INFORMATION SERVICES</t>
  </si>
  <si>
    <t>CURRICULUM CONSULTING 
AND DEVELOPMENT ADMIN.</t>
  </si>
  <si>
    <t>CURRICULUM CONSULTING 
AND DEVELOPMENT</t>
  </si>
  <si>
    <t>LIBRARY / 
MEDIA CENTRE</t>
  </si>
  <si>
    <t>PROFESSIONAL AND
 STAFF DEVELOPMENT</t>
  </si>
  <si>
    <t>ALLOWANCES IN LIEU 
OF TRANSPORTATION</t>
  </si>
  <si>
    <t>BOARDING OF
 STUDENTS</t>
  </si>
  <si>
    <t>FIELD TRIPS
 AND OTHER</t>
  </si>
  <si>
    <t>INTEREST AND
 BANK CHARGES</t>
  </si>
  <si>
    <t>BAD
 DEBT</t>
  </si>
  <si>
    <t>HEALTH AND 
EDUCATION LEVY</t>
  </si>
  <si>
    <t>TRANSPORTED PUPILS</t>
  </si>
  <si>
    <t>TOTAL KM. (ROUTES)</t>
  </si>
  <si>
    <t>COST
 PER KM.</t>
  </si>
  <si>
    <t>LOADED 
KM.</t>
  </si>
  <si>
    <t>COST 
PER KM.</t>
  </si>
  <si>
    <t>TOTAL KM.
 (LOG BOOK)</t>
  </si>
  <si>
    <t>ADMINISTRATION, REGULAR AND OTHER
 (PROGRAMS 710, 720 AND 790)</t>
  </si>
  <si>
    <t>REPAIRS 
AND REPLACEMENTS</t>
  </si>
  <si>
    <t>COST PER PUPIL</t>
  </si>
  <si>
    <r>
      <t xml:space="preserve">COST PER 
SQ. FT. </t>
    </r>
    <r>
      <rPr>
        <b/>
        <vertAlign val="superscript"/>
        <sz val="9"/>
        <rFont val="Arial"/>
        <family val="2"/>
      </rPr>
      <t>(1)</t>
    </r>
  </si>
  <si>
    <r>
      <t>SQ. FT. PER PUPIL</t>
    </r>
    <r>
      <rPr>
        <b/>
        <vertAlign val="superscript"/>
        <sz val="9"/>
        <rFont val="Arial"/>
        <family val="2"/>
      </rPr>
      <t xml:space="preserve"> (2)</t>
    </r>
  </si>
  <si>
    <r>
      <t xml:space="preserve">COST PER
SQ. FT. </t>
    </r>
    <r>
      <rPr>
        <b/>
        <vertAlign val="superscript"/>
        <sz val="9"/>
        <rFont val="Arial"/>
        <family val="2"/>
      </rPr>
      <t>(1)</t>
    </r>
  </si>
  <si>
    <t>(1)  Excludes information technology expenses in Function 300 (Adult Learning Centres), Function 400 (Community Education and Services) 
       and, Management Information Services in Function 500. Total expenses for Management Information Services are included on page 38
       and form part of Total Information Technology Expenses.</t>
  </si>
  <si>
    <r>
      <t xml:space="preserve">MANAGEMENT
 INFORMATION SERVICES </t>
    </r>
    <r>
      <rPr>
        <b/>
        <vertAlign val="superscript"/>
        <sz val="9"/>
        <rFont val="Arial"/>
        <family val="2"/>
      </rPr>
      <t>(2)</t>
    </r>
  </si>
  <si>
    <t>PRIVATE 
ORG.'S &amp; 
INDIVIDUALS</t>
  </si>
  <si>
    <t>OTHER SCHOOL DIVISIONS</t>
  </si>
  <si>
    <t>TOTAL PROVINCIAL REVENUE</t>
  </si>
  <si>
    <r>
      <t>%
 OPERATING 
FUND
 REVENUE</t>
    </r>
    <r>
      <rPr>
        <b/>
        <vertAlign val="superscript"/>
        <sz val="9"/>
        <rFont val="Arial"/>
        <family val="2"/>
      </rPr>
      <t xml:space="preserve"> (6)</t>
    </r>
  </si>
  <si>
    <r>
      <t>OTHER PROVINCIAL REVENUE</t>
    </r>
    <r>
      <rPr>
        <b/>
        <vertAlign val="superscript"/>
        <sz val="9"/>
        <rFont val="Arial"/>
        <family val="2"/>
      </rPr>
      <t xml:space="preserve"> (5)</t>
    </r>
  </si>
  <si>
    <r>
      <t>OTHER REVENUE</t>
    </r>
    <r>
      <rPr>
        <b/>
        <vertAlign val="superscript"/>
        <sz val="9"/>
        <rFont val="Arial"/>
        <family val="2"/>
      </rPr>
      <t xml:space="preserve"> (4)</t>
    </r>
  </si>
  <si>
    <r>
      <t>TAX  INCENTIVE GRANT</t>
    </r>
    <r>
      <rPr>
        <b/>
        <vertAlign val="superscript"/>
        <sz val="9"/>
        <rFont val="Arial"/>
        <family val="2"/>
      </rPr>
      <t xml:space="preserve"> (3)</t>
    </r>
  </si>
  <si>
    <r>
      <t xml:space="preserve">EDUCATION PROPERTY 
TAX CREDIT </t>
    </r>
    <r>
      <rPr>
        <b/>
        <vertAlign val="superscript"/>
        <sz val="9"/>
        <rFont val="Arial"/>
        <family val="2"/>
      </rPr>
      <t>(2)</t>
    </r>
  </si>
  <si>
    <r>
      <t>FUNDING OF SCHOOLS
PROGRAM</t>
    </r>
    <r>
      <rPr>
        <b/>
        <vertAlign val="superscript"/>
        <sz val="9"/>
        <rFont val="Arial"/>
        <family val="2"/>
      </rPr>
      <t xml:space="preserve"> (1)</t>
    </r>
  </si>
  <si>
    <t>FEDERAL
 GOVERNMENT</t>
  </si>
  <si>
    <r>
      <t xml:space="preserve">MUNICIPAL GOVERNMENT </t>
    </r>
    <r>
      <rPr>
        <b/>
        <vertAlign val="superscript"/>
        <sz val="9"/>
        <rFont val="Arial"/>
        <family val="2"/>
      </rPr>
      <t>(1)</t>
    </r>
  </si>
  <si>
    <t>PRIVATE ORGANIZATIONS
 &amp; INDIVIDUALS</t>
  </si>
  <si>
    <t>TOTAL 
NON-PROVINCIAL
 REVENUE</t>
  </si>
  <si>
    <t>TOTAL
 OPERATING 
FUND</t>
  </si>
  <si>
    <t>(3) Operating expenses include transfers to other school divisions, organizations and individuals but not net transfers to capital. See
      page 3 for Total Expenses.</t>
  </si>
  <si>
    <t>(2) Designated Surplus is the amount that school divisions have set aside for specific purposes. For further information, please refer
      to the school divisions' financial statements.</t>
  </si>
  <si>
    <r>
      <t xml:space="preserve">DEBT
 INTEREST </t>
    </r>
    <r>
      <rPr>
        <b/>
        <vertAlign val="superscript"/>
        <sz val="9"/>
        <rFont val="Arial"/>
        <family val="2"/>
      </rPr>
      <t>(2)</t>
    </r>
  </si>
  <si>
    <t>OTHER 
CAPITAL
 ITEMS</t>
  </si>
  <si>
    <t>TOTAL EXPENSES</t>
  </si>
  <si>
    <t>TOTAL
 EXPENSES</t>
  </si>
  <si>
    <r>
      <t xml:space="preserve">PROVINCIAL GOVERNMENT </t>
    </r>
    <r>
      <rPr>
        <b/>
        <vertAlign val="superscript"/>
        <sz val="9"/>
        <rFont val="Arial"/>
        <family val="2"/>
      </rPr>
      <t>(1)</t>
    </r>
  </si>
  <si>
    <r>
      <t xml:space="preserve">OTHER
 SOURCES </t>
    </r>
    <r>
      <rPr>
        <b/>
        <vertAlign val="superscript"/>
        <sz val="9"/>
        <rFont val="Arial"/>
        <family val="2"/>
      </rPr>
      <t>(2)</t>
    </r>
  </si>
  <si>
    <t>TOTAL
 REVENUE</t>
  </si>
  <si>
    <t>NET TRANSFERS
 TO / (FROM) 
CAPITAL</t>
  </si>
  <si>
    <t>CLOSING ACCUMULATED SURPLUS / 
EQUITY</t>
  </si>
  <si>
    <r>
      <t xml:space="preserve">RESERVE ACCOUNTS </t>
    </r>
    <r>
      <rPr>
        <b/>
        <vertAlign val="superscript"/>
        <sz val="9"/>
        <rFont val="Arial"/>
        <family val="2"/>
      </rPr>
      <t>(2)</t>
    </r>
  </si>
  <si>
    <r>
      <t xml:space="preserve">EQUITY IN TANGIBLE 
ASSETS </t>
    </r>
    <r>
      <rPr>
        <b/>
        <vertAlign val="superscript"/>
        <sz val="9"/>
        <rFont val="Arial"/>
        <family val="2"/>
      </rPr>
      <t>(1)</t>
    </r>
  </si>
  <si>
    <t>FURNITURE / FIXTURES &amp; EQUIPMENT</t>
  </si>
  <si>
    <r>
      <t xml:space="preserve">COMPUTER HARDWARE &amp; SOFTWARE </t>
    </r>
    <r>
      <rPr>
        <b/>
        <vertAlign val="superscript"/>
        <sz val="9"/>
        <rFont val="Arial"/>
        <family val="2"/>
      </rPr>
      <t>(3)</t>
    </r>
  </si>
  <si>
    <t>OTHER 
FUNDS</t>
  </si>
  <si>
    <t>CLOSING ACCUMULATED SURPLUS /
 EQUITY</t>
  </si>
  <si>
    <t xml:space="preserve">(1) The Special Purpose Fund reports school generated funds and controlled charitable foundations. School generated funds are those funds which
      the school has authority to make decisions as to when, how, and on what the funds are to be spent (e.g. Parent council and student council
      funds are not included).  </t>
  </si>
  <si>
    <t>TOTAL SCHOOL GENERATED FUNDS</t>
  </si>
  <si>
    <r>
      <t>SCHOOL GENERATED FUNDS ACCUMULATED SURPLUS</t>
    </r>
    <r>
      <rPr>
        <b/>
        <vertAlign val="superscript"/>
        <sz val="9"/>
        <rFont val="Arial"/>
        <family val="2"/>
      </rPr>
      <t xml:space="preserve"> (1)</t>
    </r>
  </si>
  <si>
    <t xml:space="preserve">(1)  From page 49. School Generated Funds Accumulated surplus is money for which schools have authority to make decisions as to when,
       how, and on what the funds are to be spent. </t>
  </si>
  <si>
    <t>(2)  The liability is money held for designated projects in school bank accounts for which schools do not have authority to make decisions as to
        when, how, and on what the funds are to be spent (e.g. Parent council and student council funds).</t>
  </si>
  <si>
    <t>EDUCATION 
SUPPORT LEVY</t>
  </si>
  <si>
    <t xml:space="preserve">PORTIONED 
ASSESSMENT 
OTHER  </t>
  </si>
  <si>
    <r>
      <t>SPECIAL
 LEVY</t>
    </r>
    <r>
      <rPr>
        <b/>
        <vertAlign val="superscript"/>
        <sz val="9"/>
        <rFont val="Arial"/>
        <family val="2"/>
      </rPr>
      <t xml:space="preserve"> (1)</t>
    </r>
  </si>
  <si>
    <r>
      <t>SPECIAL
 LEVY 
MILL RATE</t>
    </r>
    <r>
      <rPr>
        <b/>
        <vertAlign val="superscript"/>
        <sz val="9"/>
        <rFont val="Arial"/>
        <family val="2"/>
      </rPr>
      <t xml:space="preserve"> (2)</t>
    </r>
  </si>
  <si>
    <t>FARM 
LAND AND BUILDINGS</t>
  </si>
  <si>
    <t>URBAN 
AND FARM RESIDENTIAL</t>
  </si>
  <si>
    <t>NET SPECIAL 
LEVY</t>
  </si>
  <si>
    <r>
      <t xml:space="preserve">TAX INCENTIVE
 GRANT </t>
    </r>
    <r>
      <rPr>
        <b/>
        <vertAlign val="superscript"/>
        <sz val="9"/>
        <rFont val="Arial"/>
        <family val="2"/>
      </rPr>
      <t>(1)</t>
    </r>
  </si>
  <si>
    <t>GROSS SPECIAL
 LEVY</t>
  </si>
  <si>
    <t>EDUCATION
 SUPPORT 
LEVY</t>
  </si>
  <si>
    <r>
      <t>ASSESSMENT
 PER
 RESIDENT PUPIL</t>
    </r>
    <r>
      <rPr>
        <b/>
        <vertAlign val="superscript"/>
        <sz val="9"/>
        <rFont val="Arial"/>
        <family val="2"/>
      </rPr>
      <t xml:space="preserve"> (1)</t>
    </r>
  </si>
  <si>
    <r>
      <t>INSTRUCTIONAL SUPPORT</t>
    </r>
    <r>
      <rPr>
        <b/>
        <vertAlign val="superscript"/>
        <sz val="9"/>
        <rFont val="Arial"/>
        <family val="2"/>
      </rPr>
      <t xml:space="preserve"> (1)</t>
    </r>
  </si>
  <si>
    <t>CURRICULAR MATERIALS</t>
  </si>
  <si>
    <t>INFORMATION TECHNOLOGY</t>
  </si>
  <si>
    <t>LIBRARY SERVICES</t>
  </si>
  <si>
    <t>EDUCATION 
FUNDING OF SCHOOLS PROGRAM</t>
  </si>
  <si>
    <t>COUNSELLING AND GUIDANCE</t>
  </si>
  <si>
    <t>PROFESSIONAL DEVELOPMENT</t>
  </si>
  <si>
    <t>PHYSICAL EDUCATION</t>
  </si>
  <si>
    <t>TOTAL
 BASE
 SUPPORT</t>
  </si>
  <si>
    <t>EDUCATION 
FUNDING OF SCHOOLS PROGRAM (CONT'D)</t>
  </si>
  <si>
    <r>
      <t>SPECIAL
 NEEDS</t>
    </r>
    <r>
      <rPr>
        <b/>
        <vertAlign val="superscript"/>
        <sz val="9"/>
        <rFont val="Arial"/>
        <family val="2"/>
      </rPr>
      <t xml:space="preserve"> (2)</t>
    </r>
  </si>
  <si>
    <t>ENGLISH AS AN ADDITIONAL LANGUAGE</t>
  </si>
  <si>
    <t>SENIOR YEARS TECHNOLOGY EDUCATION</t>
  </si>
  <si>
    <t>ABORIGINAL
 ACADEMIC 
ACHIEVEMENT</t>
  </si>
  <si>
    <t>FRENCH LANGUAGE PROGRAMS</t>
  </si>
  <si>
    <t>EARLY
 CHILDHOOD
 INITIATIVE</t>
  </si>
  <si>
    <t>EARLY 
LITERACY
 INTERVENTION</t>
  </si>
  <si>
    <r>
      <t>OTHER CATEGORICAL</t>
    </r>
    <r>
      <rPr>
        <b/>
        <vertAlign val="superscript"/>
        <sz val="9"/>
        <rFont val="Arial"/>
        <family val="2"/>
      </rPr>
      <t xml:space="preserve"> (1)</t>
    </r>
  </si>
  <si>
    <t>TOTAL CATEGORICAL SUPPORT</t>
  </si>
  <si>
    <r>
      <t>EQUALIZATION SUPPORT</t>
    </r>
    <r>
      <rPr>
        <b/>
        <vertAlign val="superscript"/>
        <sz val="9"/>
        <rFont val="Arial"/>
        <family val="2"/>
      </rPr>
      <t xml:space="preserve"> (1)</t>
    </r>
  </si>
  <si>
    <r>
      <t>ADDITIONAL EQUALIZATION SUPPORT</t>
    </r>
    <r>
      <rPr>
        <b/>
        <vertAlign val="superscript"/>
        <sz val="9"/>
        <rFont val="Arial"/>
        <family val="2"/>
      </rPr>
      <t xml:space="preserve"> (2)</t>
    </r>
  </si>
  <si>
    <r>
      <t xml:space="preserve">FORMULA GUARANTEE </t>
    </r>
    <r>
      <rPr>
        <b/>
        <vertAlign val="superscript"/>
        <sz val="9"/>
        <rFont val="Arial"/>
        <family val="2"/>
      </rPr>
      <t>(3)</t>
    </r>
  </si>
  <si>
    <r>
      <t>OTHER
 PROGRAM 
SUPPORT</t>
    </r>
    <r>
      <rPr>
        <b/>
        <vertAlign val="superscript"/>
        <sz val="9"/>
        <rFont val="Arial"/>
        <family val="2"/>
      </rPr>
      <t xml:space="preserve"> (4)</t>
    </r>
  </si>
  <si>
    <r>
      <t xml:space="preserve">TOTAL FUNDING 
OF SCHOOLS 
PROGRAM </t>
    </r>
    <r>
      <rPr>
        <b/>
        <vertAlign val="superscript"/>
        <sz val="9"/>
        <rFont val="Arial"/>
        <family val="2"/>
      </rPr>
      <t>(5)</t>
    </r>
  </si>
  <si>
    <t>(1)  Equalization is provided to recognize the varying ability of school divisions to meet the cost of unsupported program requirements
        through the property tax base of the school division.</t>
  </si>
  <si>
    <t>(1)  For a definition of Adult Learning Centres, see expense definitions, page iii. Expenses shown here may differ from those shown for Adult
       Learning Centres on page 15 owing to the inclusion of operating transfers for the purpose of calculating administration costs.</t>
  </si>
  <si>
    <t>TOTAL 
OPERATING 
EXPENSES
 (from page 3)</t>
  </si>
  <si>
    <t>PLUS
 TRANSFERS
 TO 
CAPITAL</t>
  </si>
  <si>
    <r>
      <t xml:space="preserve">LESS ADULT
 LEARNING
 CENTRES 
FUNCTION 300 </t>
    </r>
    <r>
      <rPr>
        <b/>
        <vertAlign val="superscript"/>
        <sz val="9"/>
        <rFont val="Arial"/>
        <family val="2"/>
      </rPr>
      <t>(1)</t>
    </r>
  </si>
  <si>
    <t>ADJUSTED EXPENDITURE BASE</t>
  </si>
  <si>
    <t>TOTAL
 ADMIN. 
EXPENSES
 AS % OF
 EXPENDITURE
 BASE</t>
  </si>
  <si>
    <t>DIRECT SUPPORT
 TO PUPILS
 PER PUPIL</t>
  </si>
  <si>
    <r>
      <t>DIRECT SUPPORT
 TO PUPILS
 FUNCTIONS 100 + 200 + 600</t>
    </r>
    <r>
      <rPr>
        <b/>
        <vertAlign val="superscript"/>
        <sz val="9"/>
        <rFont val="Arial"/>
        <family val="2"/>
      </rPr>
      <t xml:space="preserve"> (1)</t>
    </r>
  </si>
  <si>
    <t>(1) Total of Regular Instruction, Student Support Services and Instructional and Other Support Services. See pages 15 and
      16 for details.</t>
  </si>
  <si>
    <t>SPECIAL LEVY 
MILL RATE</t>
  </si>
  <si>
    <t>ASSESSMENT
 PER RESIDENT 
PUPIL</t>
  </si>
  <si>
    <t>PUPIL / EDUCATOR 
RATIO</t>
  </si>
  <si>
    <r>
      <t xml:space="preserve">OPERATING 
COST
 PER PUPIL </t>
    </r>
    <r>
      <rPr>
        <b/>
        <vertAlign val="superscript"/>
        <sz val="9"/>
        <rFont val="Arial"/>
        <family val="2"/>
      </rPr>
      <t>(1)</t>
    </r>
  </si>
  <si>
    <t>check</t>
  </si>
  <si>
    <t xml:space="preserve"> MITT</t>
  </si>
  <si>
    <r>
      <t xml:space="preserve">LIABILITY </t>
    </r>
    <r>
      <rPr>
        <b/>
        <vertAlign val="superscript"/>
        <sz val="9"/>
        <rFont val="Arial"/>
        <family val="2"/>
      </rPr>
      <t xml:space="preserve">(2) 
</t>
    </r>
    <r>
      <rPr>
        <b/>
        <sz val="9"/>
        <rFont val="Arial"/>
        <family val="2"/>
      </rPr>
      <t>(DESIGNATED FUNDS)</t>
    </r>
  </si>
  <si>
    <t>(2)  Effective with the 2005 tax year, the Resident Homeowner Advance portion of the Manitoba Education Property Tax Credit (EPTC) is provided directly to
       school divisions as revenue from the Province of Manitoba to more accurately reflect the amount of provincial funding provided in support of education. 
       Amounts shown here do not include the income tax portion of the EPTC nor the School Tax Assistance for Tenants and Homeowners (55+) because 
       these are not  quantifiable on a school division basis.  For the income tax portion of these credits, see page i.</t>
  </si>
  <si>
    <r>
      <t xml:space="preserve"> FUNCTION 200: STUDENT SUPPORT SERVICES </t>
    </r>
    <r>
      <rPr>
        <b/>
        <vertAlign val="superscript"/>
        <sz val="9"/>
        <rFont val="Arial"/>
        <family val="2"/>
      </rPr>
      <t>(1)</t>
    </r>
  </si>
  <si>
    <t>(1) Separate reporting for Gifted Education has been removed from Function 200 beginning 2014/15.  All costs related to gifted 
      students are included in Function 100 – Regular Instruction.  For a more complete description of programming under Function 100
      see “Expense Definitions” on page iii.</t>
  </si>
  <si>
    <t>STUDENT SERVICES</t>
  </si>
  <si>
    <t>TOTAL
 ADMIN. 
EXPENSES
 (from page 62)</t>
  </si>
  <si>
    <t>MITT</t>
  </si>
  <si>
    <t>Coming from Budget. Pg 48</t>
  </si>
  <si>
    <r>
      <t>DIVISIONAL ADMINISTRATION FUNCTION 500</t>
    </r>
    <r>
      <rPr>
        <b/>
        <vertAlign val="superscript"/>
        <sz val="9"/>
        <rFont val="Arial"/>
        <family val="2"/>
      </rPr>
      <t xml:space="preserve"> (2)</t>
    </r>
  </si>
  <si>
    <t>LESS:   LIABILITY INSURANCE, ADMIN. PORTION OF SELF-FUNDED EXPENSES &amp; TRUSTEE ELECTION COSTS</t>
  </si>
  <si>
    <t>DEFINED
ADMINISTRATION
EXPENSES</t>
  </si>
  <si>
    <t>Incremental administration costs related to Waywayseecappo</t>
  </si>
  <si>
    <t>TRUSTEE</t>
  </si>
  <si>
    <t>ELECTION</t>
  </si>
  <si>
    <t>PA_WAYWAY</t>
  </si>
  <si>
    <t>N/A</t>
  </si>
  <si>
    <t xml:space="preserve">
 ADMIN. 
LIMIT</t>
  </si>
  <si>
    <t>ADMIN</t>
  </si>
  <si>
    <t>Limit</t>
  </si>
  <si>
    <t>(1)  Comprised of principal and interest payments for long term debt issued to finance asset additions.</t>
  </si>
  <si>
    <t>(2)  Comprised of school and other building new construction and betterments financed primarily through long term debt. Includes
        leasehold improvements and assets under construction.</t>
  </si>
  <si>
    <t>SEPT. 30, 2017</t>
  </si>
  <si>
    <t>(3) The Tax Incentive Grant is a calendar year grant that is being phased-out over a 6 year period beginning in 2018. The amounts shown here are the 
       portions by division after the allocation to the DSFM and are expressed on a school year basis.</t>
  </si>
  <si>
    <t>2018/19</t>
  </si>
  <si>
    <t>2018/2019 ACTUAL</t>
  </si>
  <si>
    <t>SEPT. 30, 2018</t>
  </si>
  <si>
    <t>(2)  The total number of pupils enrolled in schools adjusted for full time equivalence (F.T.E.).  Full time equivalent means pupils are counted on 
       the basis of time attending school - eg. Kindergarten as 1/2.  This total is the same as reported on page 7.</t>
  </si>
  <si>
    <t>(1)  Based on object code 330 Instructional-Teaching personnel and F.T.E. students in Function 100. Included are teachers in physical education,  music, EAL, etc. in addition to regular classroom teachers. School-based administrative personnel and teachers in Student Support Services (Function 200) are excluded.</t>
  </si>
  <si>
    <t>(2)  Based on total instructional-teaching (excluding Community Education and Adult Learning Centres) as well as school-based administrative staff - eg. department heads, coordinators, principals and vice-principals - and K-12 F.T.E. enrolment. Division administrators (Function 500) are excluded.</t>
  </si>
  <si>
    <t>(1)  Residual interest (accounting value) in all tangible capital assets (i.e. land, buildings, vehicles and equipment) net of accumulated amortization and liabilities.</t>
  </si>
  <si>
    <t>(1)  Special levy net of the Tax Incentive Grant (page 54) requisitioned by school divisions for the 2018 tax year. Actual remittance to
       school divisions by municipalities is reduced by the Education Property Tax Credit. See pages 41 and 42 for more detail.</t>
  </si>
  <si>
    <t>(1)  Assessment per resident pupil is based on total portioned assessment adjusted for allocations to the DSFM and corresponds to data provided in the calculation of support to school divisions. Assessment per resident pupil for Flin Flon, Frontier and Mystery Lake reflects non-assessed mining properties. DSFM assessment per resident pupil is derived on a pro rata basis according to enrolment within DSFM boundaries.</t>
  </si>
  <si>
    <t>(2)  Additional Equalization is provided to specifically assist school divisions or districts that have both higher than average tax effort
       and lower than average assessment per pupil.</t>
  </si>
  <si>
    <t>P:\\Age and Area</t>
  </si>
  <si>
    <t>2019/20</t>
  </si>
  <si>
    <t>2019/2020 ACTUAL</t>
  </si>
  <si>
    <t xml:space="preserve">FOR THE 2019 TAXATION YEAR </t>
  </si>
  <si>
    <t>(1) The mill rate for other property in 2019 is 9.77.</t>
  </si>
  <si>
    <r>
      <t xml:space="preserve">2019/20 </t>
    </r>
    <r>
      <rPr>
        <b/>
        <vertAlign val="superscript"/>
        <sz val="10"/>
        <rFont val="Arial"/>
        <family val="2"/>
      </rPr>
      <t>(2)</t>
    </r>
  </si>
  <si>
    <r>
      <t xml:space="preserve">2019 </t>
    </r>
    <r>
      <rPr>
        <b/>
        <vertAlign val="superscript"/>
        <sz val="10"/>
        <rFont val="Arial"/>
        <family val="2"/>
      </rPr>
      <t>(3)</t>
    </r>
  </si>
  <si>
    <r>
      <t xml:space="preserve">2019 </t>
    </r>
    <r>
      <rPr>
        <b/>
        <vertAlign val="superscript"/>
        <sz val="10"/>
        <rFont val="Arial"/>
        <family val="2"/>
      </rPr>
      <t>(4)</t>
    </r>
  </si>
  <si>
    <t>2020 TSA</t>
  </si>
  <si>
    <t>Final 20</t>
  </si>
  <si>
    <t>P:\\Frame.fin\[Final20.xls]Scdatabase - Column AD</t>
  </si>
  <si>
    <t>SEPT. 30, 2019</t>
  </si>
  <si>
    <t>(3)  Provincially supported pupils (actual September 30, 2018 for 2019/20 and actual September 30, 2017 for 2018/19). The Whiteshell Special 
       Revenue District includes out-of-district pupils.</t>
  </si>
  <si>
    <t>Sept. 30 / 19</t>
  </si>
  <si>
    <t>(1)  Based on area (square footage) of active school buildings as at September 30, 2019. Includes rented and leased space.</t>
  </si>
  <si>
    <t>(1)  This appendix provides an analysis of divisional administration expenses as a percentage of the adjusted operating expense base. Frontier  School Division, DSFM, Whiteshell and Manitoba Institute of Trades and Technology are exempt from these limits and are not reflected in the above totals.  Expenses shown for Function 500 may differ from corresponding  amounts shown on page 16 owing to the inclusion of operating transfers for the purpose of calculating administration costs. Effective with fiscal year 2019/20, school divisions are required to limit the proportion of their operating expenses spent on divisional administration based on FTE enrolment and on meeting the Special Requirement cap.  The administration limit is between 2.7% to 3.5% if the 2019/20 Special Requirement is equal to or less than 2% of the 2018/19 Special Requirement, and if not rates between 2.4% and 3.42% apply. Northern school divisions are subject  to a 4.25% limit.</t>
  </si>
  <si>
    <t>(2)  Internally restricted and held for future capital expenditure purposes.</t>
  </si>
  <si>
    <t/>
  </si>
  <si>
    <t xml:space="preserve">(1)  The Tax Incentive Grant (TIG) was a voluntary program intended to assist school divisions that maintained their Special Levy amount 
       adjusted for real growth in property assessment.  Starting in 2018, it is being phased out at 1/6th per year and adjusted (per a TIG 
       Guarantee) to ensure that total operating support including the TIG is at least 98 per cent of last year’s funding.  The 2019 TIG of $45.5
       million is a $8.4 million reduction from the 2018 grant ($40.9 million 2/6th TIG phase-out plus $4.6 million TIG Guarantee).
</t>
  </si>
  <si>
    <t>All pages of the FRAME report containing the tables of financial and statistical data are included in this file.</t>
  </si>
  <si>
    <t>In most cases, formulas have been left intact to show how statistics such as percentages and average costs per pupil are derived.</t>
  </si>
  <si>
    <t>The cover page, table of contents, forward and introduction, etc. as well as the graphs (e.g. pie charts, bar charts, etc.) are not included.  The complete report is available in PDF format on the same web site from which you retrieved this Excel file.</t>
  </si>
  <si>
    <t>Each worksheet tab is numbered to match the corresponding page found in the published document so, for example, to see page 15, click the worksheet tab named "- 15 -".</t>
  </si>
  <si>
    <t>This file is unprotected for data manipulation and calculation.  Data may also be copied to other files or additional data copied to this one.  In cases of dispute however, the published FRAME reports and the corresponding files located on the Manitoba Government web site remain  the final authority.</t>
  </si>
  <si>
    <t>FRAME Report: 2019/20 Actual</t>
  </si>
  <si>
    <t>(1)  The portion shown here is comprised of operating support only. The total provincial contribution to K-12 public school education, which also
       includes teachers' retirement allowances, capital support and the education property tax credit, is 71.5% in 2019/20. See page i for more
       information.</t>
  </si>
  <si>
    <t>(6) Total provincial contribution to public education is 71.5%. See page i for more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</si>
</sst>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_(* \(#,##0.00\);_(* &quot;-&quot;??_);_(@_)"/>
    <numFmt numFmtId="165" formatCode=";;;"/>
    <numFmt numFmtId="166" formatCode="0.0%"/>
    <numFmt numFmtId="167" formatCode="#,##0.0_);\(#,##0.0\)"/>
    <numFmt numFmtId="168" formatCode="0.0_)"/>
    <numFmt numFmtId="169" formatCode="0.00_)"/>
    <numFmt numFmtId="170" formatCode="#,##0_ ;\(#,##0\)"/>
    <numFmt numFmtId="171" formatCode="#,##0\ ;\(#,##0\ \)"/>
    <numFmt numFmtId="172" formatCode="#,##0.0;\-#,##0.0"/>
    <numFmt numFmtId="173" formatCode="#,##0.0000;\-#,##0.0000"/>
    <numFmt numFmtId="174" formatCode="#,##0.0_ ;\(#,##0.0\)"/>
    <numFmt numFmtId="175" formatCode="#,##0.0_);[Red]\(#,##0.0\)"/>
    <numFmt numFmtId="176" formatCode="#,##0.00_ ;\(#,##0.00\)"/>
    <numFmt numFmtId="177" formatCode="dd\-mmm\-yy_)"/>
  </numFmts>
  <fonts count="32" x14ac:knownFonts="1">
    <font>
      <sz val="9"/>
      <name val="Times New Roman"/>
    </font>
    <font>
      <sz val="10"/>
      <name val="Times New Roman"/>
      <family val="1"/>
    </font>
    <font>
      <sz val="10"/>
      <name val="Courier"/>
      <family val="3"/>
    </font>
    <font>
      <sz val="10"/>
      <name val="Arial"/>
      <family val="2"/>
    </font>
    <font>
      <b/>
      <sz val="9"/>
      <name val="Arial"/>
      <family val="2"/>
    </font>
    <font>
      <vertAlign val="superscript"/>
      <sz val="9"/>
      <name val="Arial"/>
      <family val="2"/>
    </font>
    <font>
      <sz val="8"/>
      <name val="Times New Roman"/>
      <family val="1"/>
    </font>
    <font>
      <sz val="9"/>
      <name val="Arial"/>
      <family val="2"/>
    </font>
    <font>
      <sz val="8"/>
      <name val="Arial"/>
      <family val="2"/>
    </font>
    <font>
      <b/>
      <sz val="12"/>
      <name val="Arial"/>
      <family val="2"/>
    </font>
    <font>
      <sz val="9"/>
      <color indexed="12"/>
      <name val="Arial"/>
      <family val="2"/>
    </font>
    <font>
      <b/>
      <vertAlign val="superscript"/>
      <sz val="9"/>
      <name val="Arial"/>
      <family val="2"/>
    </font>
    <font>
      <b/>
      <vertAlign val="superscript"/>
      <sz val="10"/>
      <name val="Arial"/>
      <family val="2"/>
    </font>
    <font>
      <vertAlign val="superscript"/>
      <sz val="10"/>
      <name val="Arial"/>
      <family val="2"/>
    </font>
    <font>
      <u/>
      <sz val="9"/>
      <name val="Arial"/>
      <family val="2"/>
    </font>
    <font>
      <sz val="11"/>
      <name val="Arial"/>
      <family val="2"/>
    </font>
    <font>
      <sz val="9"/>
      <color indexed="9"/>
      <name val="Arial"/>
      <family val="2"/>
    </font>
    <font>
      <u/>
      <sz val="9"/>
      <color indexed="12"/>
      <name val="Times New Roman"/>
      <family val="1"/>
    </font>
    <font>
      <sz val="10"/>
      <name val="Arial"/>
      <family val="2"/>
    </font>
    <font>
      <sz val="8"/>
      <name val="Arial"/>
      <family val="2"/>
    </font>
    <font>
      <b/>
      <sz val="11"/>
      <name val="Arial"/>
      <family val="2"/>
    </font>
    <font>
      <u/>
      <sz val="9"/>
      <color indexed="12"/>
      <name val="Arial"/>
      <family val="2"/>
    </font>
    <font>
      <sz val="8"/>
      <color indexed="81"/>
      <name val="Tahoma"/>
      <family val="2"/>
    </font>
    <font>
      <b/>
      <sz val="9"/>
      <color indexed="10"/>
      <name val="Arial"/>
      <family val="2"/>
    </font>
    <font>
      <sz val="9"/>
      <name val="Times New Roman"/>
      <family val="1"/>
    </font>
    <font>
      <sz val="11"/>
      <name val="Calibri"/>
      <family val="2"/>
    </font>
    <font>
      <sz val="9"/>
      <color theme="0"/>
      <name val="Arial"/>
      <family val="2"/>
    </font>
    <font>
      <sz val="9"/>
      <color rgb="FFFF0000"/>
      <name val="Arial"/>
      <family val="2"/>
    </font>
    <font>
      <sz val="9"/>
      <color rgb="FF0070C0"/>
      <name val="Arial"/>
      <family val="2"/>
    </font>
    <font>
      <b/>
      <sz val="5"/>
      <name val="Arial"/>
      <family val="2"/>
    </font>
    <font>
      <sz val="9"/>
      <color rgb="FF000000"/>
      <name val="Times New Roman"/>
      <family val="1"/>
    </font>
    <font>
      <b/>
      <sz val="8"/>
      <color indexed="81"/>
      <name val="Tahoma"/>
      <family val="2"/>
    </font>
  </fonts>
  <fills count="15">
    <fill>
      <patternFill patternType="none"/>
    </fill>
    <fill>
      <patternFill patternType="gray125"/>
    </fill>
    <fill>
      <patternFill patternType="solid">
        <fgColor indexed="22"/>
        <bgColor indexed="22"/>
      </patternFill>
    </fill>
    <fill>
      <patternFill patternType="solid">
        <fgColor indexed="9"/>
        <bgColor indexed="9"/>
      </patternFill>
    </fill>
    <fill>
      <patternFill patternType="solid">
        <fgColor indexed="65"/>
        <bgColor indexed="64"/>
      </patternFill>
    </fill>
    <fill>
      <patternFill patternType="solid">
        <fgColor indexed="9"/>
        <bgColor indexed="8"/>
      </patternFill>
    </fill>
    <fill>
      <patternFill patternType="solid">
        <fgColor indexed="27"/>
        <bgColor indexed="8"/>
      </patternFill>
    </fill>
    <fill>
      <patternFill patternType="solid">
        <fgColor indexed="27"/>
        <bgColor indexed="64"/>
      </patternFill>
    </fill>
    <fill>
      <patternFill patternType="solid">
        <fgColor indexed="41"/>
        <bgColor indexed="64"/>
      </patternFill>
    </fill>
    <fill>
      <patternFill patternType="solid">
        <fgColor indexed="27"/>
        <bgColor indexed="27"/>
      </patternFill>
    </fill>
    <fill>
      <patternFill patternType="solid">
        <fgColor indexed="41"/>
        <bgColor indexed="8"/>
      </patternFill>
    </fill>
    <fill>
      <patternFill patternType="solid">
        <fgColor indexed="41"/>
        <bgColor indexed="42"/>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s>
  <borders count="78">
    <border>
      <left/>
      <right/>
      <top/>
      <bottom/>
      <diagonal/>
    </border>
    <border>
      <left style="thin">
        <color indexed="8"/>
      </left>
      <right style="thin">
        <color indexed="8"/>
      </right>
      <top/>
      <bottom/>
      <diagonal/>
    </border>
    <border>
      <left/>
      <right/>
      <top style="thin">
        <color indexed="8"/>
      </top>
      <bottom/>
      <diagonal/>
    </border>
    <border>
      <left/>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64"/>
      </bottom>
      <diagonal/>
    </border>
    <border>
      <left/>
      <right/>
      <top style="thin">
        <color indexed="64"/>
      </top>
      <bottom/>
      <diagonal/>
    </border>
    <border>
      <left/>
      <right/>
      <top style="thin">
        <color indexed="8"/>
      </top>
      <bottom style="thin">
        <color indexed="8"/>
      </bottom>
      <diagonal/>
    </border>
    <border>
      <left style="thin">
        <color indexed="8"/>
      </left>
      <right/>
      <top style="thin">
        <color indexed="8"/>
      </top>
      <bottom/>
      <diagonal/>
    </border>
    <border>
      <left style="thin">
        <color indexed="64"/>
      </left>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double">
        <color indexed="8"/>
      </left>
      <right/>
      <top/>
      <bottom style="thin">
        <color indexed="8"/>
      </bottom>
      <diagonal/>
    </border>
    <border>
      <left style="thin">
        <color indexed="8"/>
      </left>
      <right style="double">
        <color indexed="8"/>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right/>
      <top style="thin">
        <color indexed="8"/>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8"/>
      </left>
      <right style="double">
        <color indexed="8"/>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64"/>
      </top>
      <bottom/>
      <diagonal/>
    </border>
    <border>
      <left style="thin">
        <color indexed="8"/>
      </left>
      <right style="double">
        <color indexed="8"/>
      </right>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thin">
        <color indexed="8"/>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style="double">
        <color indexed="8"/>
      </right>
      <top style="thin">
        <color indexed="8"/>
      </top>
      <bottom/>
      <diagonal/>
    </border>
    <border>
      <left style="double">
        <color indexed="8"/>
      </left>
      <right style="thin">
        <color indexed="8"/>
      </right>
      <top style="thin">
        <color indexed="8"/>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style="thin">
        <color indexed="8"/>
      </left>
      <right/>
      <top style="thin">
        <color indexed="64"/>
      </top>
      <bottom/>
      <diagonal/>
    </border>
    <border>
      <left style="thin">
        <color indexed="64"/>
      </left>
      <right/>
      <top style="thin">
        <color indexed="8"/>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64"/>
      </right>
      <top style="thin">
        <color indexed="8"/>
      </top>
      <bottom/>
      <diagonal/>
    </border>
    <border>
      <left style="double">
        <color indexed="64"/>
      </left>
      <right style="thin">
        <color indexed="64"/>
      </right>
      <top/>
      <bottom/>
      <diagonal/>
    </border>
    <border>
      <left style="double">
        <color indexed="64"/>
      </left>
      <right style="thin">
        <color indexed="64"/>
      </right>
      <top/>
      <bottom style="thin">
        <color indexed="8"/>
      </bottom>
      <diagonal/>
    </border>
  </borders>
  <cellStyleXfs count="10">
    <xf numFmtId="37" fontId="0" fillId="0" borderId="0"/>
    <xf numFmtId="0" fontId="2" fillId="2" borderId="1"/>
    <xf numFmtId="164" fontId="1" fillId="0" borderId="0" applyFont="0" applyFill="0" applyBorder="0" applyAlignment="0" applyProtection="0"/>
    <xf numFmtId="164" fontId="18"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xf numFmtId="0" fontId="18" fillId="0" borderId="0"/>
    <xf numFmtId="39" fontId="24" fillId="0" borderId="0"/>
    <xf numFmtId="9" fontId="1" fillId="0" borderId="0" applyFont="0" applyFill="0" applyBorder="0" applyAlignment="0" applyProtection="0"/>
    <xf numFmtId="37" fontId="24" fillId="0" borderId="0"/>
  </cellStyleXfs>
  <cellXfs count="882">
    <xf numFmtId="37" fontId="0" fillId="0" borderId="0" xfId="0"/>
    <xf numFmtId="37" fontId="0" fillId="0" borderId="0" xfId="0" applyAlignment="1">
      <alignment horizontal="right"/>
    </xf>
    <xf numFmtId="37" fontId="7" fillId="0" borderId="0" xfId="0" applyFont="1"/>
    <xf numFmtId="37" fontId="8" fillId="0" borderId="0" xfId="0" applyFont="1"/>
    <xf numFmtId="37" fontId="7" fillId="0" borderId="0" xfId="0" applyFont="1" applyAlignment="1">
      <alignment horizontal="right"/>
    </xf>
    <xf numFmtId="167" fontId="7" fillId="0" borderId="0" xfId="0" applyNumberFormat="1" applyFont="1"/>
    <xf numFmtId="37" fontId="4" fillId="0" borderId="0" xfId="0" applyFont="1"/>
    <xf numFmtId="165" fontId="7" fillId="0" borderId="0" xfId="0" applyNumberFormat="1" applyFont="1" applyProtection="1"/>
    <xf numFmtId="37" fontId="7" fillId="3" borderId="0" xfId="0" applyFont="1" applyFill="1"/>
    <xf numFmtId="37" fontId="4" fillId="3" borderId="2" xfId="0" applyFont="1" applyFill="1" applyBorder="1" applyAlignment="1">
      <alignment horizontal="centerContinuous" vertical="center"/>
    </xf>
    <xf numFmtId="37" fontId="7" fillId="3" borderId="2" xfId="0" applyFont="1" applyFill="1" applyBorder="1" applyAlignment="1">
      <alignment horizontal="centerContinuous"/>
    </xf>
    <xf numFmtId="37" fontId="4" fillId="3" borderId="3" xfId="0" applyFont="1" applyFill="1" applyBorder="1" applyAlignment="1">
      <alignment horizontal="centerContinuous" vertical="center"/>
    </xf>
    <xf numFmtId="37" fontId="7" fillId="3" borderId="3" xfId="0" applyFont="1" applyFill="1" applyBorder="1" applyAlignment="1">
      <alignment horizontal="centerContinuous"/>
    </xf>
    <xf numFmtId="37" fontId="10" fillId="3" borderId="3" xfId="0" applyFont="1" applyFill="1" applyBorder="1" applyAlignment="1">
      <alignment horizontal="centerContinuous"/>
    </xf>
    <xf numFmtId="37" fontId="7" fillId="3" borderId="0" xfId="0" applyFont="1" applyFill="1" applyAlignment="1">
      <alignment horizontal="center"/>
    </xf>
    <xf numFmtId="37" fontId="4" fillId="3" borderId="1" xfId="0" applyFont="1" applyFill="1" applyBorder="1" applyAlignment="1">
      <alignment horizontal="center"/>
    </xf>
    <xf numFmtId="49" fontId="4" fillId="0" borderId="7" xfId="0" applyNumberFormat="1" applyFont="1" applyBorder="1"/>
    <xf numFmtId="49" fontId="4" fillId="0" borderId="8" xfId="0" applyNumberFormat="1" applyFont="1" applyBorder="1"/>
    <xf numFmtId="49" fontId="4" fillId="0" borderId="0" xfId="0" applyNumberFormat="1" applyFont="1"/>
    <xf numFmtId="49" fontId="7" fillId="0" borderId="1" xfId="0" applyNumberFormat="1" applyFont="1" applyBorder="1" applyAlignment="1">
      <alignment vertical="center"/>
    </xf>
    <xf numFmtId="170" fontId="7" fillId="0" borderId="1" xfId="0" applyNumberFormat="1" applyFont="1" applyBorder="1" applyAlignment="1">
      <alignment vertical="center"/>
    </xf>
    <xf numFmtId="49" fontId="7" fillId="0" borderId="0" xfId="0" applyNumberFormat="1" applyFont="1" applyAlignment="1">
      <alignment vertical="center"/>
    </xf>
    <xf numFmtId="171" fontId="7" fillId="0" borderId="0" xfId="0" applyNumberFormat="1" applyFont="1" applyAlignment="1">
      <alignment vertical="center"/>
    </xf>
    <xf numFmtId="37" fontId="7" fillId="0" borderId="11" xfId="0" applyFont="1" applyBorder="1"/>
    <xf numFmtId="49" fontId="7" fillId="0" borderId="0" xfId="0" applyNumberFormat="1" applyFont="1" applyAlignment="1"/>
    <xf numFmtId="37" fontId="7" fillId="0" borderId="0" xfId="0" applyFont="1" applyAlignment="1">
      <alignment horizontal="left"/>
    </xf>
    <xf numFmtId="49" fontId="7" fillId="0" borderId="0" xfId="0" applyNumberFormat="1" applyFont="1" applyAlignment="1">
      <alignment horizontal="left"/>
    </xf>
    <xf numFmtId="37" fontId="7" fillId="3" borderId="12" xfId="0" applyFont="1" applyFill="1" applyBorder="1" applyAlignment="1">
      <alignment horizontal="centerContinuous"/>
    </xf>
    <xf numFmtId="37" fontId="7" fillId="3" borderId="12" xfId="0" applyFont="1" applyFill="1" applyBorder="1" applyAlignment="1"/>
    <xf numFmtId="165" fontId="7" fillId="0" borderId="3" xfId="0" applyNumberFormat="1" applyFont="1" applyBorder="1" applyAlignment="1" applyProtection="1">
      <alignment horizontal="centerContinuous"/>
    </xf>
    <xf numFmtId="37" fontId="7" fillId="3" borderId="11" xfId="0" applyFont="1" applyFill="1" applyBorder="1" applyAlignment="1">
      <alignment horizontal="centerContinuous"/>
    </xf>
    <xf numFmtId="37" fontId="7" fillId="3" borderId="0" xfId="0" applyFont="1" applyFill="1" applyBorder="1"/>
    <xf numFmtId="37" fontId="7" fillId="0" borderId="0" xfId="0" applyNumberFormat="1" applyFont="1" applyBorder="1" applyProtection="1"/>
    <xf numFmtId="37" fontId="4" fillId="0" borderId="4" xfId="0" applyFont="1" applyBorder="1"/>
    <xf numFmtId="37" fontId="4" fillId="3" borderId="5" xfId="0" applyFont="1" applyFill="1" applyBorder="1" applyAlignment="1">
      <alignment horizontal="right"/>
    </xf>
    <xf numFmtId="37" fontId="4" fillId="0" borderId="8" xfId="0" applyFont="1" applyBorder="1"/>
    <xf numFmtId="37" fontId="4" fillId="0" borderId="10" xfId="0" applyFont="1" applyBorder="1" applyAlignment="1">
      <alignment horizontal="right"/>
    </xf>
    <xf numFmtId="170" fontId="7" fillId="0" borderId="1" xfId="0" applyNumberFormat="1" applyFont="1" applyBorder="1" applyAlignment="1">
      <alignment horizontal="right" vertical="center"/>
    </xf>
    <xf numFmtId="37" fontId="7" fillId="0" borderId="0" xfId="0" applyFont="1" applyAlignment="1"/>
    <xf numFmtId="37" fontId="7" fillId="0" borderId="13" xfId="0" applyFont="1" applyBorder="1"/>
    <xf numFmtId="37" fontId="4" fillId="0" borderId="13" xfId="0" applyFont="1" applyBorder="1" applyAlignment="1">
      <alignment horizontal="centerContinuous"/>
    </xf>
    <xf numFmtId="37" fontId="7" fillId="0" borderId="13" xfId="0" applyFont="1" applyBorder="1" applyAlignment="1">
      <alignment horizontal="centerContinuous"/>
    </xf>
    <xf numFmtId="37" fontId="7" fillId="0" borderId="13" xfId="0" applyFont="1" applyBorder="1" applyAlignment="1"/>
    <xf numFmtId="37" fontId="7" fillId="3" borderId="0" xfId="0" applyFont="1" applyFill="1" applyAlignment="1">
      <alignment horizontal="centerContinuous"/>
    </xf>
    <xf numFmtId="37" fontId="7" fillId="0" borderId="14" xfId="0" applyFont="1" applyBorder="1"/>
    <xf numFmtId="37" fontId="7" fillId="0" borderId="5" xfId="0" applyFont="1" applyBorder="1"/>
    <xf numFmtId="37" fontId="4" fillId="3" borderId="9" xfId="0" applyFont="1" applyFill="1" applyBorder="1" applyAlignment="1">
      <alignment horizontal="centerContinuous"/>
    </xf>
    <xf numFmtId="37" fontId="4" fillId="0" borderId="15" xfId="0" applyFont="1" applyBorder="1"/>
    <xf numFmtId="170" fontId="7" fillId="0" borderId="1" xfId="0" applyNumberFormat="1" applyFont="1" applyBorder="1" applyProtection="1"/>
    <xf numFmtId="170" fontId="7" fillId="0" borderId="6" xfId="0" applyNumberFormat="1" applyFont="1" applyBorder="1" applyProtection="1"/>
    <xf numFmtId="37" fontId="7" fillId="0" borderId="6" xfId="0" applyFont="1" applyBorder="1"/>
    <xf numFmtId="170" fontId="7" fillId="0" borderId="16" xfId="0" applyNumberFormat="1" applyFont="1" applyBorder="1" applyProtection="1"/>
    <xf numFmtId="37" fontId="7" fillId="0" borderId="1" xfId="0" applyNumberFormat="1" applyFont="1" applyBorder="1" applyProtection="1"/>
    <xf numFmtId="37" fontId="7" fillId="0" borderId="6" xfId="0" applyNumberFormat="1" applyFont="1" applyBorder="1" applyProtection="1"/>
    <xf numFmtId="37" fontId="7" fillId="0" borderId="16" xfId="0" applyNumberFormat="1" applyFont="1" applyBorder="1" applyProtection="1"/>
    <xf numFmtId="37" fontId="4" fillId="0" borderId="15" xfId="0" applyFont="1" applyBorder="1" applyAlignment="1">
      <alignment vertical="top"/>
    </xf>
    <xf numFmtId="37" fontId="4" fillId="0" borderId="0" xfId="0" applyFont="1" applyAlignment="1">
      <alignment wrapText="1"/>
    </xf>
    <xf numFmtId="37" fontId="7" fillId="0" borderId="0" xfId="0" applyNumberFormat="1" applyFont="1" applyProtection="1"/>
    <xf numFmtId="37" fontId="7" fillId="0" borderId="17" xfId="0" applyFont="1" applyBorder="1"/>
    <xf numFmtId="37" fontId="4" fillId="0" borderId="18" xfId="0" applyFont="1" applyBorder="1"/>
    <xf numFmtId="170" fontId="4" fillId="0" borderId="19" xfId="0" applyNumberFormat="1" applyFont="1" applyBorder="1" applyProtection="1"/>
    <xf numFmtId="170" fontId="4" fillId="0" borderId="18" xfId="0" applyNumberFormat="1" applyFont="1" applyBorder="1" applyProtection="1"/>
    <xf numFmtId="170" fontId="7" fillId="0" borderId="13" xfId="0" applyNumberFormat="1" applyFont="1" applyBorder="1"/>
    <xf numFmtId="165" fontId="7" fillId="0" borderId="2" xfId="0" applyNumberFormat="1" applyFont="1" applyBorder="1" applyProtection="1"/>
    <xf numFmtId="37" fontId="7" fillId="3" borderId="2" xfId="0" applyFont="1" applyFill="1" applyBorder="1" applyAlignment="1">
      <alignment horizontal="center"/>
    </xf>
    <xf numFmtId="165" fontId="7" fillId="0" borderId="3" xfId="0" applyNumberFormat="1" applyFont="1" applyBorder="1" applyProtection="1"/>
    <xf numFmtId="37" fontId="7" fillId="3" borderId="3" xfId="0" applyFont="1" applyFill="1" applyBorder="1"/>
    <xf numFmtId="37" fontId="4" fillId="0" borderId="7" xfId="0" applyFont="1" applyBorder="1"/>
    <xf numFmtId="37" fontId="4" fillId="3" borderId="1" xfId="0" applyFont="1" applyFill="1" applyBorder="1"/>
    <xf numFmtId="37" fontId="4" fillId="3" borderId="0" xfId="0" applyFont="1" applyFill="1"/>
    <xf numFmtId="174" fontId="7" fillId="0" borderId="1" xfId="0" applyNumberFormat="1" applyFont="1" applyBorder="1" applyAlignment="1">
      <alignment vertical="center"/>
    </xf>
    <xf numFmtId="174" fontId="7" fillId="0" borderId="0" xfId="0" applyNumberFormat="1" applyFont="1" applyAlignment="1">
      <alignment vertical="center"/>
    </xf>
    <xf numFmtId="37" fontId="4" fillId="3" borderId="2" xfId="0" applyFont="1" applyFill="1" applyBorder="1" applyAlignment="1">
      <alignment horizontal="centerContinuous"/>
    </xf>
    <xf numFmtId="37" fontId="7" fillId="3" borderId="2" xfId="0" applyFont="1" applyFill="1" applyBorder="1" applyAlignment="1"/>
    <xf numFmtId="37" fontId="4" fillId="3" borderId="3" xfId="0" applyFont="1" applyFill="1" applyBorder="1" applyAlignment="1" applyProtection="1">
      <alignment horizontal="centerContinuous" vertical="center"/>
    </xf>
    <xf numFmtId="37" fontId="7" fillId="3" borderId="3" xfId="0" applyFont="1" applyFill="1" applyBorder="1" applyAlignment="1"/>
    <xf numFmtId="37" fontId="4" fillId="3" borderId="5" xfId="0" applyFont="1" applyFill="1" applyBorder="1" applyAlignment="1">
      <alignment horizontal="centerContinuous"/>
    </xf>
    <xf numFmtId="37" fontId="4" fillId="0" borderId="10" xfId="0" applyFont="1" applyBorder="1" applyAlignment="1">
      <alignment horizontal="centerContinuous"/>
    </xf>
    <xf numFmtId="37" fontId="4" fillId="0" borderId="9" xfId="0" applyFont="1" applyBorder="1" applyAlignment="1">
      <alignment horizontal="centerContinuous"/>
    </xf>
    <xf numFmtId="167" fontId="7" fillId="0" borderId="11" xfId="0" applyNumberFormat="1" applyFont="1" applyBorder="1" applyProtection="1"/>
    <xf numFmtId="37" fontId="7" fillId="0" borderId="0" xfId="0" applyFont="1" applyAlignment="1">
      <alignment horizontal="centerContinuous"/>
    </xf>
    <xf numFmtId="37" fontId="7" fillId="3" borderId="2" xfId="0" applyFont="1" applyFill="1" applyBorder="1" applyAlignment="1">
      <alignment horizontal="right"/>
    </xf>
    <xf numFmtId="37" fontId="4" fillId="0" borderId="9" xfId="0" applyFont="1" applyBorder="1"/>
    <xf numFmtId="37" fontId="4" fillId="0" borderId="9" xfId="0" applyFont="1" applyBorder="1" applyAlignment="1">
      <alignment horizontal="center"/>
    </xf>
    <xf numFmtId="37" fontId="4" fillId="4" borderId="1" xfId="0" applyFont="1" applyFill="1" applyBorder="1" applyAlignment="1">
      <alignment horizontal="center"/>
    </xf>
    <xf numFmtId="37" fontId="7" fillId="0" borderId="0" xfId="0" applyFont="1" applyProtection="1"/>
    <xf numFmtId="37" fontId="7" fillId="4" borderId="0" xfId="0" applyFont="1" applyFill="1" applyBorder="1"/>
    <xf numFmtId="167" fontId="7" fillId="5" borderId="0" xfId="0" applyNumberFormat="1" applyFont="1" applyFill="1" applyBorder="1" applyProtection="1"/>
    <xf numFmtId="167" fontId="4" fillId="5" borderId="0" xfId="0" applyNumberFormat="1" applyFont="1" applyFill="1" applyBorder="1" applyProtection="1"/>
    <xf numFmtId="37" fontId="7" fillId="3" borderId="0" xfId="0" applyFont="1" applyFill="1" applyProtection="1"/>
    <xf numFmtId="37" fontId="4" fillId="3" borderId="2" xfId="0" applyFont="1" applyFill="1" applyBorder="1" applyAlignment="1" applyProtection="1">
      <alignment horizontal="centerContinuous" vertical="center"/>
    </xf>
    <xf numFmtId="37" fontId="7" fillId="3" borderId="2" xfId="0" applyFont="1" applyFill="1" applyBorder="1" applyAlignment="1" applyProtection="1">
      <alignment horizontal="centerContinuous"/>
    </xf>
    <xf numFmtId="37" fontId="7" fillId="3" borderId="2" xfId="0" applyFont="1" applyFill="1" applyBorder="1" applyAlignment="1" applyProtection="1">
      <alignment horizontal="right"/>
    </xf>
    <xf numFmtId="37" fontId="4" fillId="3" borderId="3" xfId="0" quotePrefix="1" applyFont="1" applyFill="1" applyBorder="1" applyAlignment="1" applyProtection="1">
      <alignment horizontal="centerContinuous" vertical="center"/>
    </xf>
    <xf numFmtId="37" fontId="7" fillId="3" borderId="3" xfId="0" applyFont="1" applyFill="1" applyBorder="1" applyAlignment="1" applyProtection="1">
      <alignment horizontal="centerContinuous"/>
    </xf>
    <xf numFmtId="37" fontId="7" fillId="3" borderId="3" xfId="0" quotePrefix="1" applyFont="1" applyFill="1" applyBorder="1" applyAlignment="1" applyProtection="1">
      <alignment horizontal="centerContinuous"/>
    </xf>
    <xf numFmtId="37" fontId="7" fillId="3" borderId="3" xfId="0" applyFont="1" applyFill="1" applyBorder="1" applyProtection="1"/>
    <xf numFmtId="169" fontId="7" fillId="3" borderId="0" xfId="0" applyNumberFormat="1" applyFont="1" applyFill="1" applyProtection="1"/>
    <xf numFmtId="37" fontId="4" fillId="0" borderId="20" xfId="0" applyFont="1" applyBorder="1" applyAlignment="1" applyProtection="1">
      <alignment horizontal="centerContinuous"/>
    </xf>
    <xf numFmtId="37" fontId="4" fillId="0" borderId="3" xfId="0" applyFont="1" applyBorder="1" applyAlignment="1" applyProtection="1">
      <alignment horizontal="centerContinuous"/>
    </xf>
    <xf numFmtId="37" fontId="4" fillId="0" borderId="21" xfId="0" applyFont="1" applyBorder="1" applyAlignment="1" applyProtection="1">
      <alignment horizontal="centerContinuous"/>
    </xf>
    <xf numFmtId="37" fontId="4" fillId="0" borderId="10" xfId="0" applyFont="1" applyBorder="1" applyAlignment="1" applyProtection="1">
      <alignment horizontal="centerContinuous"/>
    </xf>
    <xf numFmtId="37" fontId="4" fillId="0" borderId="7" xfId="0" applyFont="1" applyBorder="1" applyAlignment="1">
      <alignment vertical="center"/>
    </xf>
    <xf numFmtId="37" fontId="4" fillId="0" borderId="16" xfId="0" applyFont="1" applyBorder="1" applyAlignment="1" applyProtection="1">
      <alignment vertical="center"/>
    </xf>
    <xf numFmtId="37" fontId="4" fillId="0" borderId="8" xfId="0" applyFont="1" applyBorder="1" applyAlignment="1">
      <alignment vertical="center"/>
    </xf>
    <xf numFmtId="37" fontId="4" fillId="0" borderId="20" xfId="0" applyFont="1" applyBorder="1" applyAlignment="1" applyProtection="1">
      <alignment horizontal="center" vertical="center"/>
    </xf>
    <xf numFmtId="174" fontId="7" fillId="0" borderId="22" xfId="0" applyNumberFormat="1" applyFont="1" applyBorder="1" applyAlignment="1">
      <alignment vertical="center"/>
    </xf>
    <xf numFmtId="174" fontId="7" fillId="0" borderId="6" xfId="0" applyNumberFormat="1" applyFont="1" applyBorder="1" applyAlignment="1">
      <alignment vertical="center"/>
    </xf>
    <xf numFmtId="37" fontId="7" fillId="0" borderId="11" xfId="0" applyFont="1" applyBorder="1" applyProtection="1"/>
    <xf numFmtId="49" fontId="8" fillId="0" borderId="0" xfId="0" applyNumberFormat="1" applyFont="1" applyAlignment="1">
      <alignment horizontal="right"/>
    </xf>
    <xf numFmtId="49" fontId="13" fillId="0" borderId="6" xfId="0" applyNumberFormat="1" applyFont="1" applyBorder="1"/>
    <xf numFmtId="37" fontId="7" fillId="0" borderId="13" xfId="0" applyFont="1" applyBorder="1" applyAlignment="1">
      <alignment horizontal="right"/>
    </xf>
    <xf numFmtId="37" fontId="4" fillId="0" borderId="17" xfId="0" applyFont="1" applyBorder="1" applyAlignment="1">
      <alignment horizontal="centerContinuous"/>
    </xf>
    <xf numFmtId="37" fontId="7" fillId="0" borderId="18" xfId="0" applyFont="1" applyBorder="1" applyAlignment="1">
      <alignment horizontal="centerContinuous"/>
    </xf>
    <xf numFmtId="37" fontId="4" fillId="3" borderId="23" xfId="0" applyFont="1" applyFill="1" applyBorder="1" applyAlignment="1">
      <alignment horizontal="center"/>
    </xf>
    <xf numFmtId="37" fontId="4" fillId="3" borderId="20" xfId="0" applyFont="1" applyFill="1" applyBorder="1" applyAlignment="1">
      <alignment horizontal="centerContinuous"/>
    </xf>
    <xf numFmtId="37" fontId="7" fillId="0" borderId="2" xfId="0" applyFont="1" applyBorder="1"/>
    <xf numFmtId="170" fontId="7" fillId="3" borderId="7" xfId="0" applyNumberFormat="1" applyFont="1" applyFill="1" applyBorder="1" applyProtection="1"/>
    <xf numFmtId="166" fontId="7" fillId="3" borderId="7" xfId="0" applyNumberFormat="1" applyFont="1" applyFill="1" applyBorder="1" applyProtection="1"/>
    <xf numFmtId="37" fontId="7" fillId="3" borderId="24" xfId="0" applyFont="1" applyFill="1" applyBorder="1"/>
    <xf numFmtId="170" fontId="7" fillId="3" borderId="24" xfId="0" applyNumberFormat="1" applyFont="1" applyFill="1" applyBorder="1" applyProtection="1"/>
    <xf numFmtId="37" fontId="7" fillId="0" borderId="24" xfId="0" applyFont="1" applyBorder="1"/>
    <xf numFmtId="170" fontId="7" fillId="0" borderId="24" xfId="0" applyNumberFormat="1" applyFont="1" applyBorder="1" applyProtection="1"/>
    <xf numFmtId="170" fontId="7" fillId="0" borderId="24" xfId="0" applyNumberFormat="1" applyFont="1" applyBorder="1"/>
    <xf numFmtId="37" fontId="7" fillId="0" borderId="8" xfId="0" applyFont="1" applyBorder="1" applyAlignment="1">
      <alignment horizontal="left"/>
    </xf>
    <xf numFmtId="37" fontId="4" fillId="0" borderId="23" xfId="0" applyFont="1" applyFill="1" applyBorder="1"/>
    <xf numFmtId="37" fontId="7" fillId="0" borderId="24" xfId="0" quotePrefix="1" applyFont="1" applyBorder="1" applyAlignment="1">
      <alignment horizontal="left"/>
    </xf>
    <xf numFmtId="37" fontId="7" fillId="0" borderId="8" xfId="0" applyFont="1" applyBorder="1"/>
    <xf numFmtId="37" fontId="4" fillId="0" borderId="7" xfId="0" applyFont="1" applyFill="1" applyBorder="1"/>
    <xf numFmtId="166" fontId="7" fillId="0" borderId="0" xfId="0" applyNumberFormat="1" applyFont="1" applyProtection="1"/>
    <xf numFmtId="49" fontId="7" fillId="0" borderId="0" xfId="0" applyNumberFormat="1" applyFont="1"/>
    <xf numFmtId="166" fontId="7" fillId="0" borderId="0" xfId="8" applyNumberFormat="1" applyFont="1"/>
    <xf numFmtId="49" fontId="8" fillId="0" borderId="0" xfId="0" applyNumberFormat="1" applyFont="1"/>
    <xf numFmtId="37" fontId="7" fillId="0" borderId="0" xfId="0" quotePrefix="1" applyFont="1" applyAlignment="1">
      <alignment horizontal="left"/>
    </xf>
    <xf numFmtId="165" fontId="7" fillId="0" borderId="2" xfId="0" applyNumberFormat="1" applyFont="1" applyBorder="1" applyAlignment="1" applyProtection="1">
      <alignment vertical="center"/>
    </xf>
    <xf numFmtId="37" fontId="7" fillId="3" borderId="2" xfId="0" applyFont="1" applyFill="1" applyBorder="1" applyAlignment="1">
      <alignment horizontal="right" vertical="center"/>
    </xf>
    <xf numFmtId="165" fontId="7" fillId="0" borderId="3" xfId="0" applyNumberFormat="1" applyFont="1" applyBorder="1" applyAlignment="1" applyProtection="1">
      <alignment vertical="center"/>
    </xf>
    <xf numFmtId="37" fontId="4" fillId="3" borderId="6" xfId="0" applyFont="1" applyFill="1" applyBorder="1"/>
    <xf numFmtId="37" fontId="4" fillId="3" borderId="1" xfId="0" applyFont="1" applyFill="1" applyBorder="1" applyAlignment="1">
      <alignment horizontal="centerContinuous"/>
    </xf>
    <xf numFmtId="37" fontId="4" fillId="3" borderId="6" xfId="0" applyFont="1" applyFill="1" applyBorder="1" applyAlignment="1">
      <alignment horizontal="centerContinuous"/>
    </xf>
    <xf numFmtId="166" fontId="7" fillId="0" borderId="1" xfId="8" applyNumberFormat="1" applyFont="1" applyBorder="1"/>
    <xf numFmtId="165" fontId="7" fillId="0" borderId="2" xfId="0" applyNumberFormat="1" applyFont="1" applyBorder="1" applyAlignment="1" applyProtection="1">
      <alignment horizontal="centerContinuous" vertical="center"/>
    </xf>
    <xf numFmtId="37" fontId="7" fillId="0" borderId="12" xfId="0" applyFont="1" applyBorder="1" applyAlignment="1">
      <alignment horizontal="centerContinuous" vertical="center"/>
    </xf>
    <xf numFmtId="37" fontId="7" fillId="3" borderId="2" xfId="0" applyFont="1" applyFill="1" applyBorder="1" applyAlignment="1">
      <alignment horizontal="centerContinuous" vertical="center"/>
    </xf>
    <xf numFmtId="37" fontId="10" fillId="0" borderId="2" xfId="0" applyFont="1" applyBorder="1" applyProtection="1">
      <protection locked="0"/>
    </xf>
    <xf numFmtId="165" fontId="7" fillId="0" borderId="3" xfId="0" applyNumberFormat="1" applyFont="1" applyBorder="1" applyAlignment="1" applyProtection="1">
      <alignment horizontal="centerContinuous" vertical="center"/>
    </xf>
    <xf numFmtId="37" fontId="7" fillId="3" borderId="3" xfId="0" applyFont="1" applyFill="1" applyBorder="1" applyAlignment="1">
      <alignment horizontal="centerContinuous" vertical="center"/>
    </xf>
    <xf numFmtId="37" fontId="10" fillId="0" borderId="3" xfId="0" applyFont="1" applyBorder="1" applyProtection="1">
      <protection locked="0"/>
    </xf>
    <xf numFmtId="37" fontId="4" fillId="0" borderId="26" xfId="0" applyFont="1" applyFill="1" applyBorder="1" applyAlignment="1">
      <alignment horizontal="left"/>
    </xf>
    <xf numFmtId="37" fontId="7" fillId="0" borderId="25" xfId="0" applyFont="1" applyFill="1" applyBorder="1" applyAlignment="1"/>
    <xf numFmtId="37" fontId="7" fillId="0" borderId="27" xfId="0" applyFont="1" applyFill="1" applyBorder="1" applyAlignment="1"/>
    <xf numFmtId="170" fontId="7" fillId="0" borderId="1" xfId="0" applyNumberFormat="1" applyFont="1" applyBorder="1"/>
    <xf numFmtId="170" fontId="7" fillId="0" borderId="0" xfId="0" applyNumberFormat="1" applyFont="1"/>
    <xf numFmtId="37" fontId="7" fillId="0" borderId="12" xfId="0" applyFont="1" applyBorder="1" applyAlignment="1"/>
    <xf numFmtId="37" fontId="4" fillId="3" borderId="17" xfId="0" applyFont="1" applyFill="1" applyBorder="1" applyAlignment="1">
      <alignment horizontal="left"/>
    </xf>
    <xf numFmtId="37" fontId="4" fillId="3" borderId="13" xfId="0" applyFont="1" applyFill="1" applyBorder="1" applyAlignment="1"/>
    <xf numFmtId="37" fontId="7" fillId="3" borderId="13" xfId="0" applyFont="1" applyFill="1" applyBorder="1" applyAlignment="1"/>
    <xf numFmtId="37" fontId="7" fillId="3" borderId="18" xfId="0" applyFont="1" applyFill="1" applyBorder="1" applyAlignment="1"/>
    <xf numFmtId="37" fontId="7" fillId="0" borderId="12" xfId="0" applyFont="1" applyBorder="1" applyAlignment="1">
      <alignment horizontal="centerContinuous"/>
    </xf>
    <xf numFmtId="37" fontId="7" fillId="0" borderId="11" xfId="0" applyFont="1" applyBorder="1" applyAlignment="1">
      <alignment horizontal="centerContinuous"/>
    </xf>
    <xf numFmtId="0" fontId="7" fillId="3" borderId="2" xfId="0" applyNumberFormat="1" applyFont="1" applyFill="1" applyBorder="1" applyAlignment="1"/>
    <xf numFmtId="0" fontId="7" fillId="3" borderId="3" xfId="0" applyNumberFormat="1" applyFont="1" applyFill="1" applyBorder="1" applyAlignment="1"/>
    <xf numFmtId="37" fontId="7" fillId="3" borderId="6" xfId="0" applyFont="1" applyFill="1" applyBorder="1"/>
    <xf numFmtId="39" fontId="7" fillId="0" borderId="0" xfId="0" applyNumberFormat="1" applyFont="1" applyProtection="1"/>
    <xf numFmtId="37" fontId="4" fillId="3" borderId="17" xfId="0" applyFont="1" applyFill="1" applyBorder="1"/>
    <xf numFmtId="37" fontId="4" fillId="3" borderId="13" xfId="0" applyFont="1" applyFill="1" applyBorder="1"/>
    <xf numFmtId="37" fontId="7" fillId="3" borderId="13" xfId="0" applyFont="1" applyFill="1" applyBorder="1"/>
    <xf numFmtId="37" fontId="7" fillId="3" borderId="18" xfId="0" applyFont="1" applyFill="1" applyBorder="1"/>
    <xf numFmtId="37" fontId="4" fillId="0" borderId="18" xfId="0" applyFont="1" applyBorder="1" applyAlignment="1">
      <alignment horizontal="centerContinuous"/>
    </xf>
    <xf numFmtId="165" fontId="7" fillId="0" borderId="2" xfId="0" applyNumberFormat="1" applyFont="1" applyBorder="1" applyAlignment="1" applyProtection="1">
      <alignment horizontal="centerContinuous"/>
    </xf>
    <xf numFmtId="37" fontId="4" fillId="3" borderId="18" xfId="0" applyFont="1" applyFill="1" applyBorder="1" applyAlignment="1">
      <alignment horizontal="centerContinuous"/>
    </xf>
    <xf numFmtId="37" fontId="4" fillId="0" borderId="19" xfId="0" applyFont="1" applyBorder="1" applyAlignment="1">
      <alignment horizontal="centerContinuous"/>
    </xf>
    <xf numFmtId="37" fontId="4" fillId="3" borderId="13" xfId="0" applyFont="1" applyFill="1" applyBorder="1" applyAlignment="1">
      <alignment horizontal="centerContinuous"/>
    </xf>
    <xf numFmtId="37" fontId="7" fillId="3" borderId="13" xfId="0" applyFont="1" applyFill="1" applyBorder="1" applyAlignment="1">
      <alignment horizontal="centerContinuous"/>
    </xf>
    <xf numFmtId="37" fontId="7" fillId="3" borderId="18" xfId="0" applyFont="1" applyFill="1" applyBorder="1" applyAlignment="1">
      <alignment horizontal="centerContinuous"/>
    </xf>
    <xf numFmtId="37" fontId="4" fillId="3" borderId="13" xfId="0" applyFont="1" applyFill="1" applyBorder="1" applyProtection="1"/>
    <xf numFmtId="37" fontId="7" fillId="3" borderId="13" xfId="0" applyFont="1" applyFill="1" applyBorder="1" applyProtection="1"/>
    <xf numFmtId="37" fontId="7" fillId="3" borderId="18" xfId="0" applyFont="1" applyFill="1" applyBorder="1" applyProtection="1"/>
    <xf numFmtId="37" fontId="4" fillId="3" borderId="1" xfId="0" applyFont="1" applyFill="1" applyBorder="1" applyProtection="1"/>
    <xf numFmtId="37" fontId="4" fillId="3" borderId="1" xfId="0" applyFont="1" applyFill="1" applyBorder="1" applyAlignment="1" applyProtection="1">
      <alignment horizontal="centerContinuous"/>
    </xf>
    <xf numFmtId="37" fontId="4" fillId="0" borderId="9" xfId="0" applyFont="1" applyBorder="1" applyAlignment="1" applyProtection="1">
      <alignment horizontal="centerContinuous"/>
    </xf>
    <xf numFmtId="0" fontId="7" fillId="3" borderId="13" xfId="0" applyNumberFormat="1" applyFont="1" applyFill="1" applyBorder="1" applyAlignment="1">
      <alignment horizontal="centerContinuous"/>
    </xf>
    <xf numFmtId="0" fontId="7" fillId="3" borderId="18" xfId="0" applyNumberFormat="1" applyFont="1" applyFill="1" applyBorder="1" applyAlignment="1">
      <alignment horizontal="centerContinuous"/>
    </xf>
    <xf numFmtId="37" fontId="7" fillId="0" borderId="18" xfId="0" applyFont="1" applyBorder="1"/>
    <xf numFmtId="37" fontId="7" fillId="0" borderId="0" xfId="0" applyFont="1" applyBorder="1"/>
    <xf numFmtId="37" fontId="7" fillId="3" borderId="2" xfId="0" applyFont="1" applyFill="1" applyBorder="1" applyAlignment="1" applyProtection="1"/>
    <xf numFmtId="37" fontId="7" fillId="3" borderId="3" xfId="0" applyFont="1" applyFill="1" applyBorder="1" applyAlignment="1" applyProtection="1"/>
    <xf numFmtId="37" fontId="7" fillId="3" borderId="3" xfId="0" applyFont="1" applyFill="1" applyBorder="1" applyAlignment="1" applyProtection="1">
      <alignment horizontal="center"/>
    </xf>
    <xf numFmtId="37" fontId="4" fillId="3" borderId="17" xfId="0" applyFont="1" applyFill="1" applyBorder="1" applyProtection="1"/>
    <xf numFmtId="37" fontId="7" fillId="3" borderId="13" xfId="0" applyFont="1" applyFill="1" applyBorder="1" applyAlignment="1" applyProtection="1">
      <alignment horizontal="centerContinuous"/>
    </xf>
    <xf numFmtId="37" fontId="7" fillId="3" borderId="18" xfId="0" applyFont="1" applyFill="1" applyBorder="1" applyAlignment="1" applyProtection="1">
      <alignment horizontal="centerContinuous"/>
    </xf>
    <xf numFmtId="37" fontId="4" fillId="3" borderId="6" xfId="0" applyFont="1" applyFill="1" applyBorder="1" applyProtection="1"/>
    <xf numFmtId="37" fontId="7" fillId="0" borderId="6" xfId="0" applyFont="1" applyBorder="1" applyProtection="1"/>
    <xf numFmtId="37" fontId="7" fillId="0" borderId="4" xfId="0" applyFont="1" applyBorder="1" applyProtection="1"/>
    <xf numFmtId="37" fontId="4" fillId="0" borderId="9" xfId="0" applyFont="1" applyBorder="1" applyAlignment="1" applyProtection="1">
      <alignment horizontal="center"/>
    </xf>
    <xf numFmtId="170" fontId="7" fillId="0" borderId="16" xfId="0" applyNumberFormat="1" applyFont="1" applyBorder="1" applyAlignment="1">
      <alignment vertical="center"/>
    </xf>
    <xf numFmtId="175" fontId="7" fillId="0" borderId="28" xfId="0" applyNumberFormat="1" applyFont="1" applyBorder="1" applyAlignment="1">
      <alignment vertical="center"/>
    </xf>
    <xf numFmtId="175" fontId="7" fillId="0" borderId="0" xfId="0" applyNumberFormat="1" applyFont="1" applyAlignment="1">
      <alignment vertical="center"/>
    </xf>
    <xf numFmtId="0" fontId="4" fillId="3" borderId="13" xfId="0" applyNumberFormat="1" applyFont="1" applyFill="1" applyBorder="1" applyAlignment="1" applyProtection="1">
      <alignment horizontal="centerContinuous"/>
    </xf>
    <xf numFmtId="0" fontId="7" fillId="3" borderId="18" xfId="0" applyNumberFormat="1" applyFont="1" applyFill="1" applyBorder="1" applyAlignment="1" applyProtection="1">
      <alignment horizontal="centerContinuous"/>
    </xf>
    <xf numFmtId="37" fontId="4" fillId="3" borderId="6" xfId="0" applyFont="1" applyFill="1" applyBorder="1" applyAlignment="1" applyProtection="1">
      <alignment horizontal="centerContinuous"/>
    </xf>
    <xf numFmtId="10" fontId="7" fillId="3" borderId="2" xfId="0" applyNumberFormat="1" applyFont="1" applyFill="1" applyBorder="1" applyAlignment="1" applyProtection="1">
      <alignment horizontal="centerContinuous"/>
    </xf>
    <xf numFmtId="37" fontId="4" fillId="3" borderId="3" xfId="0" applyFont="1" applyFill="1" applyBorder="1" applyAlignment="1" applyProtection="1">
      <alignment horizontal="centerContinuous" vertical="center"/>
      <protection locked="0"/>
    </xf>
    <xf numFmtId="37" fontId="7" fillId="3" borderId="3" xfId="0" applyFont="1" applyFill="1" applyBorder="1" applyAlignment="1" applyProtection="1">
      <alignment horizontal="centerContinuous"/>
      <protection locked="0"/>
    </xf>
    <xf numFmtId="37" fontId="4" fillId="0" borderId="13" xfId="0" applyFont="1" applyBorder="1" applyAlignment="1">
      <alignment horizontal="centerContinuous" vertical="center"/>
    </xf>
    <xf numFmtId="165" fontId="7" fillId="0" borderId="0" xfId="0" applyNumberFormat="1" applyFont="1" applyBorder="1" applyProtection="1"/>
    <xf numFmtId="37" fontId="4" fillId="3" borderId="17" xfId="0" applyFont="1" applyFill="1" applyBorder="1" applyAlignment="1">
      <alignment horizontal="centerContinuous"/>
    </xf>
    <xf numFmtId="165" fontId="10" fillId="0" borderId="0" xfId="0" applyNumberFormat="1" applyFont="1" applyProtection="1">
      <protection locked="0"/>
    </xf>
    <xf numFmtId="37" fontId="4" fillId="0" borderId="2" xfId="0" applyFont="1" applyBorder="1" applyAlignment="1">
      <alignment horizontal="centerContinuous" vertical="center"/>
    </xf>
    <xf numFmtId="37" fontId="7" fillId="0" borderId="2" xfId="0" applyFont="1" applyBorder="1" applyAlignment="1">
      <alignment horizontal="centerContinuous"/>
    </xf>
    <xf numFmtId="37" fontId="7" fillId="0" borderId="2" xfId="0" applyFont="1" applyBorder="1" applyAlignment="1"/>
    <xf numFmtId="37" fontId="4" fillId="0" borderId="3" xfId="0" quotePrefix="1" applyFont="1" applyBorder="1" applyAlignment="1">
      <alignment horizontal="centerContinuous" vertical="center"/>
    </xf>
    <xf numFmtId="37" fontId="7" fillId="0" borderId="3" xfId="0" applyFont="1" applyBorder="1" applyAlignment="1">
      <alignment horizontal="centerContinuous"/>
    </xf>
    <xf numFmtId="165" fontId="7" fillId="0" borderId="13" xfId="0" applyNumberFormat="1" applyFont="1" applyBorder="1" applyAlignment="1" applyProtection="1">
      <alignment vertical="center"/>
    </xf>
    <xf numFmtId="37" fontId="7" fillId="0" borderId="13" xfId="0" applyFont="1" applyBorder="1" applyAlignment="1">
      <alignment vertical="center"/>
    </xf>
    <xf numFmtId="37" fontId="7" fillId="0" borderId="13" xfId="0" applyFont="1" applyBorder="1" applyAlignment="1">
      <alignment horizontal="right" vertical="center"/>
    </xf>
    <xf numFmtId="37" fontId="4" fillId="3" borderId="19" xfId="0" applyFont="1" applyFill="1" applyBorder="1" applyAlignment="1">
      <alignment horizontal="centerContinuous"/>
    </xf>
    <xf numFmtId="37" fontId="7" fillId="0" borderId="13" xfId="0" applyFont="1" applyBorder="1" applyAlignment="1">
      <alignment horizontal="left" vertical="center"/>
    </xf>
    <xf numFmtId="37" fontId="7" fillId="0" borderId="13" xfId="0" applyFont="1" applyBorder="1" applyAlignment="1">
      <alignment horizontal="left"/>
    </xf>
    <xf numFmtId="37" fontId="4" fillId="3" borderId="13" xfId="0" quotePrefix="1" applyFont="1" applyFill="1" applyBorder="1" applyAlignment="1" applyProtection="1">
      <alignment horizontal="centerContinuous" vertical="center"/>
    </xf>
    <xf numFmtId="37" fontId="4" fillId="0" borderId="4" xfId="0" applyFont="1" applyBorder="1" applyAlignment="1">
      <alignment horizontal="center"/>
    </xf>
    <xf numFmtId="37" fontId="7" fillId="0" borderId="0" xfId="0" applyFont="1" applyAlignment="1">
      <alignment wrapText="1"/>
    </xf>
    <xf numFmtId="165" fontId="7" fillId="0" borderId="0" xfId="0" applyNumberFormat="1" applyFont="1"/>
    <xf numFmtId="37" fontId="7" fillId="0" borderId="30" xfId="0" applyFont="1" applyBorder="1"/>
    <xf numFmtId="37" fontId="7" fillId="0" borderId="2" xfId="0" applyFont="1" applyBorder="1" applyAlignment="1">
      <alignment horizontal="centerContinuous" vertical="center"/>
    </xf>
    <xf numFmtId="37" fontId="7" fillId="0" borderId="3" xfId="0" applyFont="1" applyBorder="1" applyAlignment="1">
      <alignment horizontal="centerContinuous" vertical="center"/>
    </xf>
    <xf numFmtId="37" fontId="7" fillId="0" borderId="3" xfId="0" applyFont="1" applyBorder="1" applyAlignment="1">
      <alignment vertical="center"/>
    </xf>
    <xf numFmtId="37" fontId="7" fillId="0" borderId="0" xfId="0" quotePrefix="1" applyFont="1" applyBorder="1" applyAlignment="1">
      <alignment horizontal="centerContinuous"/>
    </xf>
    <xf numFmtId="165" fontId="7" fillId="0" borderId="12" xfId="0" applyNumberFormat="1" applyFont="1" applyBorder="1" applyAlignment="1" applyProtection="1">
      <alignment vertical="center"/>
    </xf>
    <xf numFmtId="37" fontId="4" fillId="0" borderId="12" xfId="0" applyFont="1" applyBorder="1" applyAlignment="1">
      <alignment horizontal="centerContinuous" vertical="center"/>
    </xf>
    <xf numFmtId="37" fontId="7" fillId="0" borderId="11" xfId="0" applyFont="1" applyBorder="1" applyAlignment="1"/>
    <xf numFmtId="37" fontId="7" fillId="0" borderId="2" xfId="0" quotePrefix="1" applyFont="1" applyBorder="1" applyAlignment="1">
      <alignment horizontal="right" vertical="center"/>
    </xf>
    <xf numFmtId="37" fontId="7" fillId="0" borderId="0" xfId="0" applyFont="1" applyBorder="1" applyAlignment="1">
      <alignment vertical="center"/>
    </xf>
    <xf numFmtId="37" fontId="4" fillId="0" borderId="3" xfId="0" applyFont="1" applyBorder="1" applyAlignment="1">
      <alignment horizontal="centerContinuous" vertical="center"/>
    </xf>
    <xf numFmtId="49" fontId="7" fillId="0" borderId="0" xfId="2" applyNumberFormat="1" applyFont="1"/>
    <xf numFmtId="37" fontId="14" fillId="0" borderId="3" xfId="0" applyFont="1" applyBorder="1" applyAlignment="1">
      <alignment horizontal="centerContinuous" vertical="center"/>
    </xf>
    <xf numFmtId="49" fontId="4" fillId="0" borderId="9" xfId="0" applyNumberFormat="1" applyFont="1" applyBorder="1"/>
    <xf numFmtId="49" fontId="7" fillId="0" borderId="1" xfId="0" applyNumberFormat="1" applyFont="1" applyBorder="1"/>
    <xf numFmtId="174" fontId="7" fillId="0" borderId="1" xfId="0" applyNumberFormat="1" applyFont="1" applyBorder="1"/>
    <xf numFmtId="173" fontId="7" fillId="0" borderId="0" xfId="0" applyNumberFormat="1" applyFont="1"/>
    <xf numFmtId="174" fontId="7" fillId="0" borderId="0" xfId="0" applyNumberFormat="1" applyFont="1"/>
    <xf numFmtId="170" fontId="7" fillId="0" borderId="0" xfId="0" applyNumberFormat="1" applyFont="1" applyProtection="1"/>
    <xf numFmtId="37" fontId="4" fillId="0" borderId="24" xfId="0" applyFont="1" applyBorder="1" applyAlignment="1">
      <alignment horizontal="center" vertical="center"/>
    </xf>
    <xf numFmtId="164" fontId="7" fillId="0" borderId="0" xfId="2" applyFont="1" applyAlignment="1">
      <alignment horizontal="left"/>
    </xf>
    <xf numFmtId="37" fontId="7" fillId="0" borderId="11" xfId="0" applyFont="1" applyBorder="1" applyAlignment="1">
      <alignment vertical="center"/>
    </xf>
    <xf numFmtId="37" fontId="4" fillId="3" borderId="12" xfId="0" applyFont="1" applyFill="1" applyBorder="1" applyAlignment="1">
      <alignment horizontal="centerContinuous" vertical="center"/>
    </xf>
    <xf numFmtId="37" fontId="7" fillId="3" borderId="12" xfId="0" applyFont="1" applyFill="1" applyBorder="1" applyAlignment="1">
      <alignment horizontal="centerContinuous" vertical="center"/>
    </xf>
    <xf numFmtId="37" fontId="7" fillId="3" borderId="11" xfId="0" quotePrefix="1" applyFont="1" applyFill="1" applyBorder="1" applyAlignment="1" applyProtection="1">
      <alignment horizontal="centerContinuous" vertical="center"/>
    </xf>
    <xf numFmtId="37" fontId="7" fillId="3" borderId="11" xfId="0" applyFont="1" applyFill="1" applyBorder="1" applyAlignment="1">
      <alignment horizontal="centerContinuous" vertical="center"/>
    </xf>
    <xf numFmtId="37" fontId="7" fillId="0" borderId="11" xfId="0" applyFont="1" applyBorder="1" applyAlignment="1">
      <alignment horizontal="centerContinuous" vertical="center"/>
    </xf>
    <xf numFmtId="37" fontId="7" fillId="0" borderId="0" xfId="0" applyFont="1" applyAlignment="1">
      <alignment horizontal="center"/>
    </xf>
    <xf numFmtId="37" fontId="4" fillId="3" borderId="13" xfId="0" applyFont="1" applyFill="1" applyBorder="1" applyAlignment="1">
      <alignment horizontal="centerContinuous" vertical="center"/>
    </xf>
    <xf numFmtId="37" fontId="4" fillId="3" borderId="0" xfId="0" applyFont="1" applyFill="1" applyBorder="1" applyAlignment="1">
      <alignment horizontal="centerContinuous" vertical="center"/>
    </xf>
    <xf numFmtId="37" fontId="7" fillId="3" borderId="0" xfId="0" applyFont="1" applyFill="1" applyBorder="1" applyAlignment="1">
      <alignment horizontal="centerContinuous"/>
    </xf>
    <xf numFmtId="37" fontId="7" fillId="3" borderId="0" xfId="0" quotePrefix="1" applyFont="1" applyFill="1" applyBorder="1" applyAlignment="1">
      <alignment horizontal="right"/>
    </xf>
    <xf numFmtId="37" fontId="4" fillId="0" borderId="31" xfId="0" applyFont="1" applyBorder="1" applyAlignment="1">
      <alignment horizontal="center"/>
    </xf>
    <xf numFmtId="37" fontId="7" fillId="0" borderId="7" xfId="0" applyFont="1" applyBorder="1"/>
    <xf numFmtId="37" fontId="4" fillId="0" borderId="24" xfId="0" applyFont="1" applyBorder="1" applyAlignment="1">
      <alignment horizontal="center"/>
    </xf>
    <xf numFmtId="37" fontId="7" fillId="3" borderId="0" xfId="0" applyFont="1" applyFill="1" applyBorder="1" applyAlignment="1">
      <alignment horizontal="right"/>
    </xf>
    <xf numFmtId="37" fontId="4" fillId="3" borderId="31" xfId="0" applyFont="1" applyFill="1" applyBorder="1" applyAlignment="1">
      <alignment horizontal="centerContinuous" vertical="center"/>
    </xf>
    <xf numFmtId="37" fontId="4" fillId="0" borderId="31" xfId="0" applyFont="1" applyBorder="1" applyAlignment="1">
      <alignment horizontal="center" vertical="center"/>
    </xf>
    <xf numFmtId="165" fontId="7" fillId="0" borderId="13" xfId="0" applyNumberFormat="1" applyFont="1" applyBorder="1" applyProtection="1"/>
    <xf numFmtId="37" fontId="7" fillId="0" borderId="13" xfId="0" applyFont="1" applyBorder="1" applyAlignment="1">
      <alignment horizontal="centerContinuous" vertical="center"/>
    </xf>
    <xf numFmtId="165" fontId="7" fillId="0" borderId="0" xfId="0" applyNumberFormat="1" applyFont="1" applyAlignment="1" applyProtection="1">
      <alignment horizontal="centerContinuous"/>
    </xf>
    <xf numFmtId="37" fontId="10" fillId="0" borderId="13" xfId="0" applyFont="1" applyBorder="1" applyAlignment="1" applyProtection="1">
      <alignment horizontal="centerContinuous" vertical="center"/>
      <protection locked="0"/>
    </xf>
    <xf numFmtId="37" fontId="7" fillId="0" borderId="0" xfId="0" quotePrefix="1" applyFont="1" applyAlignment="1"/>
    <xf numFmtId="37" fontId="4" fillId="0" borderId="25" xfId="0" applyFont="1" applyBorder="1" applyAlignment="1">
      <alignment horizontal="centerContinuous" vertical="center"/>
    </xf>
    <xf numFmtId="37" fontId="7" fillId="0" borderId="25" xfId="0" applyFont="1" applyBorder="1" applyAlignment="1">
      <alignment horizontal="centerContinuous" vertical="center"/>
    </xf>
    <xf numFmtId="37" fontId="10" fillId="0" borderId="13" xfId="0" applyFont="1" applyBorder="1" applyAlignment="1" applyProtection="1">
      <alignment vertical="center"/>
      <protection locked="0"/>
    </xf>
    <xf numFmtId="37" fontId="4" fillId="0" borderId="1" xfId="0" applyFont="1" applyBorder="1"/>
    <xf numFmtId="165" fontId="7" fillId="0" borderId="0" xfId="0" applyNumberFormat="1" applyFont="1" applyAlignment="1" applyProtection="1">
      <alignment horizontal="right"/>
    </xf>
    <xf numFmtId="37" fontId="7" fillId="0" borderId="32" xfId="0" applyFont="1" applyBorder="1"/>
    <xf numFmtId="37" fontId="7" fillId="0" borderId="25" xfId="0" applyFont="1" applyBorder="1"/>
    <xf numFmtId="37" fontId="7" fillId="0" borderId="27" xfId="0" applyFont="1" applyBorder="1"/>
    <xf numFmtId="0" fontId="7" fillId="0" borderId="0" xfId="0" applyNumberFormat="1" applyFont="1" applyAlignment="1">
      <alignment horizontal="center"/>
    </xf>
    <xf numFmtId="37" fontId="7" fillId="3" borderId="0" xfId="0" applyFont="1" applyFill="1" applyAlignment="1">
      <alignment horizontal="left"/>
    </xf>
    <xf numFmtId="37" fontId="7" fillId="0" borderId="0" xfId="0" quotePrefix="1" applyFont="1" applyAlignment="1">
      <alignment horizontal="center"/>
    </xf>
    <xf numFmtId="37" fontId="4" fillId="3" borderId="5" xfId="0" applyFont="1" applyFill="1" applyBorder="1" applyAlignment="1">
      <alignment vertical="center"/>
    </xf>
    <xf numFmtId="37" fontId="4" fillId="0" borderId="10" xfId="0" applyFont="1" applyBorder="1" applyAlignment="1">
      <alignment horizontal="right" vertical="center"/>
    </xf>
    <xf numFmtId="37" fontId="9" fillId="3" borderId="0" xfId="0" applyFont="1" applyFill="1" applyAlignment="1">
      <alignment horizontal="centerContinuous"/>
    </xf>
    <xf numFmtId="37" fontId="9" fillId="0" borderId="0" xfId="0" applyFont="1" applyAlignment="1">
      <alignment horizontal="centerContinuous"/>
    </xf>
    <xf numFmtId="37" fontId="4" fillId="6" borderId="17" xfId="0" applyFont="1" applyFill="1" applyBorder="1" applyAlignment="1">
      <alignment horizontal="centerContinuous"/>
    </xf>
    <xf numFmtId="37" fontId="4" fillId="6" borderId="18" xfId="0" applyFont="1" applyFill="1" applyBorder="1" applyAlignment="1">
      <alignment horizontal="centerContinuous"/>
    </xf>
    <xf numFmtId="37" fontId="4" fillId="6" borderId="18" xfId="0" applyFont="1" applyFill="1" applyBorder="1" applyAlignment="1">
      <alignment horizontal="centerContinuous" vertical="center"/>
    </xf>
    <xf numFmtId="49" fontId="7" fillId="6" borderId="1" xfId="0" applyNumberFormat="1" applyFont="1" applyFill="1" applyBorder="1" applyAlignment="1">
      <alignment vertical="center"/>
    </xf>
    <xf numFmtId="170" fontId="7" fillId="6" borderId="1" xfId="0" applyNumberFormat="1" applyFont="1" applyFill="1" applyBorder="1" applyAlignment="1">
      <alignment vertical="center"/>
    </xf>
    <xf numFmtId="49" fontId="4" fillId="6" borderId="19" xfId="2" applyNumberFormat="1" applyFont="1" applyFill="1" applyBorder="1" applyAlignment="1">
      <alignment vertical="center"/>
    </xf>
    <xf numFmtId="170" fontId="4" fillId="6" borderId="19" xfId="0" applyNumberFormat="1" applyFont="1" applyFill="1" applyBorder="1" applyAlignment="1">
      <alignment vertical="center"/>
    </xf>
    <xf numFmtId="37" fontId="4" fillId="6" borderId="17" xfId="0" applyFont="1" applyFill="1" applyBorder="1" applyAlignment="1" applyProtection="1">
      <alignment horizontal="centerContinuous" vertical="center"/>
    </xf>
    <xf numFmtId="37" fontId="4" fillId="6" borderId="13" xfId="0" applyFont="1" applyFill="1" applyBorder="1" applyAlignment="1" applyProtection="1">
      <alignment horizontal="centerContinuous"/>
    </xf>
    <xf numFmtId="37" fontId="4" fillId="6" borderId="18" xfId="0" applyFont="1" applyFill="1" applyBorder="1" applyAlignment="1" applyProtection="1">
      <alignment horizontal="centerContinuous"/>
    </xf>
    <xf numFmtId="174" fontId="7" fillId="6" borderId="1" xfId="0" applyNumberFormat="1" applyFont="1" applyFill="1" applyBorder="1" applyAlignment="1">
      <alignment vertical="center"/>
    </xf>
    <xf numFmtId="174" fontId="7" fillId="6" borderId="22" xfId="0" applyNumberFormat="1" applyFont="1" applyFill="1" applyBorder="1" applyAlignment="1">
      <alignment vertical="center"/>
    </xf>
    <xf numFmtId="174" fontId="7" fillId="6" borderId="6" xfId="0" applyNumberFormat="1" applyFont="1" applyFill="1" applyBorder="1" applyAlignment="1">
      <alignment vertical="center"/>
    </xf>
    <xf numFmtId="174" fontId="4" fillId="6" borderId="19" xfId="0" applyNumberFormat="1" applyFont="1" applyFill="1" applyBorder="1" applyAlignment="1">
      <alignment vertical="center"/>
    </xf>
    <xf numFmtId="174" fontId="4" fillId="6" borderId="33" xfId="0" applyNumberFormat="1" applyFont="1" applyFill="1" applyBorder="1" applyAlignment="1">
      <alignment vertical="center"/>
    </xf>
    <xf numFmtId="174" fontId="4" fillId="6" borderId="18" xfId="0" applyNumberFormat="1" applyFont="1" applyFill="1" applyBorder="1" applyAlignment="1">
      <alignment vertical="center"/>
    </xf>
    <xf numFmtId="37" fontId="4" fillId="6" borderId="20" xfId="0" applyFont="1" applyFill="1" applyBorder="1" applyAlignment="1">
      <alignment horizontal="centerContinuous"/>
    </xf>
    <xf numFmtId="37" fontId="4" fillId="6" borderId="3" xfId="0" applyFont="1" applyFill="1" applyBorder="1" applyAlignment="1">
      <alignment horizontal="centerContinuous"/>
    </xf>
    <xf numFmtId="37" fontId="4" fillId="6" borderId="10" xfId="0" applyFont="1" applyFill="1" applyBorder="1" applyAlignment="1">
      <alignment horizontal="centerContinuous"/>
    </xf>
    <xf numFmtId="37" fontId="4" fillId="6" borderId="17" xfId="0" applyFont="1" applyFill="1" applyBorder="1" applyAlignment="1">
      <alignment horizontal="centerContinuous" vertical="center"/>
    </xf>
    <xf numFmtId="37" fontId="7" fillId="6" borderId="13" xfId="0" applyFont="1" applyFill="1" applyBorder="1" applyAlignment="1">
      <alignment horizontal="centerContinuous"/>
    </xf>
    <xf numFmtId="37" fontId="7" fillId="6" borderId="18" xfId="0" applyFont="1" applyFill="1" applyBorder="1" applyAlignment="1">
      <alignment horizontal="centerContinuous"/>
    </xf>
    <xf numFmtId="37" fontId="4" fillId="6" borderId="4" xfId="0" applyFont="1" applyFill="1" applyBorder="1" applyAlignment="1">
      <alignment horizontal="centerContinuous"/>
    </xf>
    <xf numFmtId="37" fontId="4" fillId="6" borderId="5" xfId="0" applyFont="1" applyFill="1" applyBorder="1" applyAlignment="1">
      <alignment horizontal="center"/>
    </xf>
    <xf numFmtId="37" fontId="4" fillId="6" borderId="2" xfId="0" applyFont="1" applyFill="1" applyBorder="1" applyAlignment="1">
      <alignment horizontal="center"/>
    </xf>
    <xf numFmtId="37" fontId="7" fillId="6" borderId="5" xfId="0" applyFont="1" applyFill="1" applyBorder="1" applyAlignment="1">
      <alignment horizontal="centerContinuous"/>
    </xf>
    <xf numFmtId="37" fontId="4" fillId="6" borderId="9" xfId="0" applyFont="1" applyFill="1" applyBorder="1" applyAlignment="1">
      <alignment horizontal="centerContinuous"/>
    </xf>
    <xf numFmtId="37" fontId="7" fillId="6" borderId="3" xfId="0" applyFont="1" applyFill="1" applyBorder="1" applyAlignment="1">
      <alignment horizontal="centerContinuous"/>
    </xf>
    <xf numFmtId="37" fontId="4" fillId="6" borderId="14" xfId="0" applyFont="1" applyFill="1" applyBorder="1" applyAlignment="1">
      <alignment horizontal="centerContinuous"/>
    </xf>
    <xf numFmtId="37" fontId="4" fillId="6" borderId="5" xfId="0" applyFont="1" applyFill="1" applyBorder="1" applyAlignment="1">
      <alignment horizontal="centerContinuous"/>
    </xf>
    <xf numFmtId="37" fontId="4" fillId="6" borderId="2" xfId="0" applyFont="1" applyFill="1" applyBorder="1"/>
    <xf numFmtId="37" fontId="4" fillId="6" borderId="2" xfId="0" applyFont="1" applyFill="1" applyBorder="1" applyAlignment="1">
      <alignment horizontal="centerContinuous"/>
    </xf>
    <xf numFmtId="37" fontId="4" fillId="7" borderId="23" xfId="0" applyFont="1" applyFill="1" applyBorder="1"/>
    <xf numFmtId="37" fontId="4" fillId="8" borderId="23" xfId="0" applyFont="1" applyFill="1" applyBorder="1"/>
    <xf numFmtId="37" fontId="4" fillId="7" borderId="34" xfId="0" applyFont="1" applyFill="1" applyBorder="1"/>
    <xf numFmtId="37" fontId="7" fillId="6" borderId="2" xfId="0" applyFont="1" applyFill="1" applyBorder="1" applyAlignment="1">
      <alignment horizontal="centerContinuous"/>
    </xf>
    <xf numFmtId="37" fontId="7" fillId="6" borderId="10" xfId="0" applyFont="1" applyFill="1" applyBorder="1" applyAlignment="1">
      <alignment horizontal="centerContinuous"/>
    </xf>
    <xf numFmtId="37" fontId="7" fillId="6" borderId="14" xfId="0" applyFont="1" applyFill="1" applyBorder="1"/>
    <xf numFmtId="37" fontId="4" fillId="6" borderId="35" xfId="0" applyFont="1" applyFill="1" applyBorder="1" applyAlignment="1">
      <alignment horizontal="centerContinuous"/>
    </xf>
    <xf numFmtId="37" fontId="4" fillId="6" borderId="36" xfId="0" applyFont="1" applyFill="1" applyBorder="1" applyAlignment="1">
      <alignment horizontal="centerContinuous"/>
    </xf>
    <xf numFmtId="37" fontId="4" fillId="6" borderId="35" xfId="0" applyFont="1" applyFill="1" applyBorder="1" applyAlignment="1">
      <alignment horizontal="left"/>
    </xf>
    <xf numFmtId="37" fontId="4" fillId="6" borderId="12" xfId="0" applyFont="1" applyFill="1" applyBorder="1" applyAlignment="1">
      <alignment horizontal="left"/>
    </xf>
    <xf numFmtId="37" fontId="4" fillId="6" borderId="36" xfId="0" applyFont="1" applyFill="1" applyBorder="1" applyAlignment="1">
      <alignment horizontal="left"/>
    </xf>
    <xf numFmtId="37" fontId="4" fillId="6" borderId="39" xfId="0" applyFont="1" applyFill="1" applyBorder="1" applyAlignment="1" applyProtection="1">
      <alignment horizontal="centerContinuous"/>
    </xf>
    <xf numFmtId="37" fontId="7" fillId="6" borderId="0" xfId="0" applyFont="1" applyFill="1" applyAlignment="1" applyProtection="1">
      <alignment horizontal="centerContinuous"/>
    </xf>
    <xf numFmtId="37" fontId="7" fillId="6" borderId="6" xfId="0" applyFont="1" applyFill="1" applyBorder="1" applyAlignment="1" applyProtection="1">
      <alignment horizontal="centerContinuous"/>
    </xf>
    <xf numFmtId="37" fontId="4" fillId="6" borderId="16" xfId="0" applyFont="1" applyFill="1" applyBorder="1" applyAlignment="1" applyProtection="1">
      <alignment horizontal="centerContinuous"/>
    </xf>
    <xf numFmtId="37" fontId="4" fillId="6" borderId="20" xfId="0" applyFont="1" applyFill="1" applyBorder="1" applyAlignment="1" applyProtection="1">
      <alignment horizontal="centerContinuous"/>
    </xf>
    <xf numFmtId="37" fontId="4" fillId="6" borderId="3" xfId="0" applyFont="1" applyFill="1" applyBorder="1" applyAlignment="1" applyProtection="1">
      <alignment horizontal="centerContinuous"/>
    </xf>
    <xf numFmtId="37" fontId="4" fillId="6" borderId="10" xfId="0" applyFont="1" applyFill="1" applyBorder="1" applyAlignment="1" applyProtection="1">
      <alignment horizontal="centerContinuous"/>
    </xf>
    <xf numFmtId="49" fontId="7" fillId="9" borderId="1" xfId="0" applyNumberFormat="1" applyFont="1" applyFill="1" applyBorder="1" applyAlignment="1">
      <alignment vertical="center"/>
    </xf>
    <xf numFmtId="170" fontId="7" fillId="9" borderId="16" xfId="0" applyNumberFormat="1" applyFont="1" applyFill="1" applyBorder="1" applyAlignment="1">
      <alignment vertical="center"/>
    </xf>
    <xf numFmtId="175" fontId="7" fillId="9" borderId="28" xfId="0" applyNumberFormat="1" applyFont="1" applyFill="1" applyBorder="1" applyAlignment="1">
      <alignment vertical="center"/>
    </xf>
    <xf numFmtId="170" fontId="4" fillId="6" borderId="17" xfId="0" applyNumberFormat="1" applyFont="1" applyFill="1" applyBorder="1" applyAlignment="1">
      <alignment vertical="center"/>
    </xf>
    <xf numFmtId="175" fontId="4" fillId="6" borderId="40" xfId="0" applyNumberFormat="1" applyFont="1" applyFill="1" applyBorder="1" applyAlignment="1">
      <alignment vertical="center"/>
    </xf>
    <xf numFmtId="37" fontId="4" fillId="6" borderId="14" xfId="0" applyFont="1" applyFill="1" applyBorder="1" applyAlignment="1"/>
    <xf numFmtId="37" fontId="4" fillId="6" borderId="5" xfId="0" applyFont="1" applyFill="1" applyBorder="1" applyAlignment="1"/>
    <xf numFmtId="37" fontId="4" fillId="6" borderId="16" xfId="0" applyFont="1" applyFill="1" applyBorder="1" applyAlignment="1">
      <alignment horizontal="centerContinuous"/>
    </xf>
    <xf numFmtId="168" fontId="7" fillId="3" borderId="24" xfId="0" applyNumberFormat="1" applyFont="1" applyFill="1" applyBorder="1" applyProtection="1"/>
    <xf numFmtId="168" fontId="7" fillId="0" borderId="24" xfId="0" applyNumberFormat="1" applyFont="1" applyBorder="1" applyProtection="1"/>
    <xf numFmtId="168" fontId="4" fillId="0" borderId="7" xfId="8" applyNumberFormat="1" applyFont="1" applyFill="1" applyBorder="1"/>
    <xf numFmtId="170" fontId="4" fillId="0" borderId="23" xfId="0" applyNumberFormat="1" applyFont="1" applyBorder="1" applyProtection="1"/>
    <xf numFmtId="168" fontId="4" fillId="0" borderId="23" xfId="0" applyNumberFormat="1" applyFont="1" applyBorder="1" applyProtection="1"/>
    <xf numFmtId="170" fontId="4" fillId="8" borderId="23" xfId="0" applyNumberFormat="1" applyFont="1" applyFill="1" applyBorder="1" applyProtection="1"/>
    <xf numFmtId="168" fontId="4" fillId="8" borderId="23" xfId="0" applyNumberFormat="1" applyFont="1" applyFill="1" applyBorder="1" applyProtection="1"/>
    <xf numFmtId="37" fontId="4" fillId="6" borderId="4" xfId="0" applyNumberFormat="1" applyFont="1" applyFill="1" applyBorder="1" applyAlignment="1" applyProtection="1">
      <alignment horizontal="center"/>
    </xf>
    <xf numFmtId="37" fontId="4" fillId="6" borderId="4" xfId="0" applyFont="1" applyFill="1" applyBorder="1"/>
    <xf numFmtId="37" fontId="4" fillId="6" borderId="1" xfId="0" applyNumberFormat="1" applyFont="1" applyFill="1" applyBorder="1" applyAlignment="1" applyProtection="1"/>
    <xf numFmtId="37" fontId="4" fillId="6" borderId="1" xfId="0" applyFont="1" applyFill="1" applyBorder="1" applyAlignment="1"/>
    <xf numFmtId="37" fontId="4" fillId="6" borderId="1" xfId="0" applyFont="1" applyFill="1" applyBorder="1" applyAlignment="1">
      <alignment horizontal="centerContinuous"/>
    </xf>
    <xf numFmtId="37" fontId="4" fillId="6" borderId="9" xfId="0" applyNumberFormat="1" applyFont="1" applyFill="1" applyBorder="1" applyAlignment="1" applyProtection="1">
      <alignment horizontal="centerContinuous"/>
    </xf>
    <xf numFmtId="170" fontId="7" fillId="6" borderId="1" xfId="0" applyNumberFormat="1" applyFont="1" applyFill="1" applyBorder="1"/>
    <xf numFmtId="174" fontId="7" fillId="6" borderId="1" xfId="0" applyNumberFormat="1" applyFont="1" applyFill="1" applyBorder="1"/>
    <xf numFmtId="49" fontId="7" fillId="6" borderId="1" xfId="0" applyNumberFormat="1" applyFont="1" applyFill="1" applyBorder="1"/>
    <xf numFmtId="49" fontId="4" fillId="6" borderId="19" xfId="0" applyNumberFormat="1" applyFont="1" applyFill="1" applyBorder="1"/>
    <xf numFmtId="170" fontId="4" fillId="6" borderId="19" xfId="0" applyNumberFormat="1" applyFont="1" applyFill="1" applyBorder="1"/>
    <xf numFmtId="174" fontId="4" fillId="6" borderId="19" xfId="0" applyNumberFormat="1" applyFont="1" applyFill="1" applyBorder="1" applyProtection="1"/>
    <xf numFmtId="37" fontId="4" fillId="6" borderId="4" xfId="0" applyFont="1" applyFill="1" applyBorder="1" applyAlignment="1">
      <alignment horizontal="center"/>
    </xf>
    <xf numFmtId="37" fontId="4" fillId="6" borderId="1" xfId="0" applyFont="1" applyFill="1" applyBorder="1" applyAlignment="1">
      <alignment horizontal="center"/>
    </xf>
    <xf numFmtId="37" fontId="4" fillId="6" borderId="14" xfId="0" applyFont="1" applyFill="1" applyBorder="1"/>
    <xf numFmtId="176" fontId="7" fillId="6" borderId="1" xfId="0" applyNumberFormat="1" applyFont="1" applyFill="1" applyBorder="1" applyAlignment="1">
      <alignment vertical="center"/>
    </xf>
    <xf numFmtId="176" fontId="7" fillId="0" borderId="1" xfId="0" applyNumberFormat="1" applyFont="1" applyBorder="1" applyAlignment="1">
      <alignment vertical="center"/>
    </xf>
    <xf numFmtId="176" fontId="7" fillId="6" borderId="1" xfId="0" applyNumberFormat="1" applyFont="1" applyFill="1" applyBorder="1" applyAlignment="1">
      <alignment horizontal="right" vertical="center"/>
    </xf>
    <xf numFmtId="176" fontId="0" fillId="0" borderId="0" xfId="0" applyNumberFormat="1"/>
    <xf numFmtId="176" fontId="4" fillId="6" borderId="19" xfId="0" applyNumberFormat="1" applyFont="1" applyFill="1" applyBorder="1" applyAlignment="1">
      <alignment vertical="center"/>
    </xf>
    <xf numFmtId="170" fontId="7" fillId="6" borderId="1" xfId="0" applyNumberFormat="1" applyFont="1" applyFill="1" applyBorder="1" applyAlignment="1">
      <alignment horizontal="right" vertical="center"/>
    </xf>
    <xf numFmtId="170" fontId="0" fillId="0" borderId="0" xfId="0" applyNumberFormat="1"/>
    <xf numFmtId="37" fontId="7" fillId="9" borderId="14" xfId="0" applyFont="1" applyFill="1" applyBorder="1"/>
    <xf numFmtId="37" fontId="7" fillId="9" borderId="2" xfId="0" applyFont="1" applyFill="1" applyBorder="1"/>
    <xf numFmtId="37" fontId="7" fillId="9" borderId="2" xfId="0" applyFont="1" applyFill="1" applyBorder="1" applyAlignment="1">
      <alignment horizontal="centerContinuous"/>
    </xf>
    <xf numFmtId="37" fontId="7" fillId="9" borderId="5" xfId="0" applyFont="1" applyFill="1" applyBorder="1" applyAlignment="1">
      <alignment horizontal="centerContinuous"/>
    </xf>
    <xf numFmtId="37" fontId="7" fillId="6" borderId="0" xfId="0" applyFont="1" applyFill="1" applyAlignment="1">
      <alignment horizontal="centerContinuous"/>
    </xf>
    <xf numFmtId="37" fontId="4" fillId="6" borderId="0" xfId="0" applyFont="1" applyFill="1"/>
    <xf numFmtId="37" fontId="4" fillId="6" borderId="1" xfId="0" applyFont="1" applyFill="1" applyBorder="1"/>
    <xf numFmtId="37" fontId="4" fillId="6" borderId="0" xfId="0" applyFont="1" applyFill="1" applyBorder="1" applyAlignment="1">
      <alignment horizontal="centerContinuous"/>
    </xf>
    <xf numFmtId="174" fontId="7" fillId="0" borderId="1" xfId="0" applyNumberFormat="1" applyFont="1" applyBorder="1" applyAlignment="1">
      <alignment horizontal="right" vertical="center"/>
    </xf>
    <xf numFmtId="37" fontId="4" fillId="7" borderId="5" xfId="0" applyFont="1" applyFill="1" applyBorder="1" applyAlignment="1"/>
    <xf numFmtId="174" fontId="0" fillId="0" borderId="0" xfId="0" applyNumberFormat="1"/>
    <xf numFmtId="174" fontId="4" fillId="6" borderId="19" xfId="0" applyNumberFormat="1" applyFont="1" applyFill="1" applyBorder="1"/>
    <xf numFmtId="37" fontId="4" fillId="7" borderId="14" xfId="0" applyFont="1" applyFill="1" applyBorder="1" applyAlignment="1">
      <alignment horizontal="left"/>
    </xf>
    <xf numFmtId="37" fontId="4" fillId="7" borderId="5" xfId="0" applyFont="1" applyFill="1" applyBorder="1" applyAlignment="1">
      <alignment horizontal="left"/>
    </xf>
    <xf numFmtId="37" fontId="4" fillId="0" borderId="7" xfId="0" applyFont="1" applyFill="1" applyBorder="1" applyAlignment="1">
      <alignment horizontal="centerContinuous" vertical="center"/>
    </xf>
    <xf numFmtId="37" fontId="4" fillId="0" borderId="7" xfId="0" applyFont="1" applyFill="1" applyBorder="1" applyAlignment="1">
      <alignment vertical="center"/>
    </xf>
    <xf numFmtId="37" fontId="4" fillId="0" borderId="24" xfId="0" applyFont="1" applyFill="1" applyBorder="1" applyAlignment="1"/>
    <xf numFmtId="37" fontId="4" fillId="0" borderId="8" xfId="0" applyFont="1" applyFill="1" applyBorder="1" applyAlignment="1">
      <alignment horizontal="centerContinuous"/>
    </xf>
    <xf numFmtId="37" fontId="7" fillId="3" borderId="13" xfId="0" quotePrefix="1" applyFont="1" applyFill="1" applyBorder="1" applyAlignment="1">
      <alignment horizontal="right" vertical="center"/>
    </xf>
    <xf numFmtId="0" fontId="4" fillId="6" borderId="14" xfId="0" applyNumberFormat="1" applyFont="1" applyFill="1" applyBorder="1" applyAlignment="1"/>
    <xf numFmtId="0" fontId="4" fillId="6" borderId="2" xfId="0" applyNumberFormat="1" applyFont="1" applyFill="1" applyBorder="1" applyAlignment="1"/>
    <xf numFmtId="0" fontId="4" fillId="6" borderId="5" xfId="0" applyNumberFormat="1" applyFont="1" applyFill="1" applyBorder="1" applyAlignment="1"/>
    <xf numFmtId="0" fontId="4" fillId="0" borderId="3" xfId="0" applyNumberFormat="1" applyFont="1" applyBorder="1" applyAlignment="1">
      <alignment horizontal="centerContinuous" vertical="center"/>
    </xf>
    <xf numFmtId="0" fontId="4" fillId="0" borderId="3" xfId="0" applyNumberFormat="1" applyFont="1" applyBorder="1" applyAlignment="1" applyProtection="1">
      <alignment horizontal="centerContinuous" vertical="center"/>
    </xf>
    <xf numFmtId="37" fontId="7" fillId="0" borderId="24" xfId="0" quotePrefix="1" applyNumberFormat="1" applyFont="1" applyBorder="1" applyAlignment="1" applyProtection="1">
      <alignment horizontal="left"/>
    </xf>
    <xf numFmtId="37" fontId="4" fillId="3" borderId="17" xfId="0" quotePrefix="1" applyFont="1" applyFill="1" applyBorder="1" applyAlignment="1">
      <alignment horizontal="left"/>
    </xf>
    <xf numFmtId="49" fontId="4" fillId="0" borderId="23" xfId="0" quotePrefix="1" applyNumberFormat="1" applyFont="1" applyBorder="1" applyAlignment="1">
      <alignment horizontal="center" vertical="center"/>
    </xf>
    <xf numFmtId="37" fontId="7" fillId="3" borderId="2" xfId="0" quotePrefix="1" applyFont="1" applyFill="1" applyBorder="1" applyAlignment="1">
      <alignment horizontal="right" vertical="center"/>
    </xf>
    <xf numFmtId="49" fontId="4" fillId="10" borderId="19" xfId="2" applyNumberFormat="1" applyFont="1" applyFill="1" applyBorder="1" applyAlignment="1">
      <alignment vertical="center"/>
    </xf>
    <xf numFmtId="170" fontId="4" fillId="10" borderId="19" xfId="0" applyNumberFormat="1" applyFont="1" applyFill="1" applyBorder="1" applyAlignment="1">
      <alignment vertical="center"/>
    </xf>
    <xf numFmtId="0" fontId="4" fillId="0" borderId="3" xfId="0" applyNumberFormat="1" applyFont="1" applyBorder="1" applyAlignment="1">
      <alignment vertical="center"/>
    </xf>
    <xf numFmtId="165" fontId="7" fillId="0" borderId="2" xfId="0" applyNumberFormat="1" applyFont="1" applyBorder="1" applyAlignment="1" applyProtection="1">
      <alignment horizontal="left"/>
    </xf>
    <xf numFmtId="166" fontId="7" fillId="6" borderId="1" xfId="8" applyNumberFormat="1" applyFont="1" applyFill="1" applyBorder="1"/>
    <xf numFmtId="166" fontId="4" fillId="6" borderId="19" xfId="8" applyNumberFormat="1" applyFont="1" applyFill="1" applyBorder="1"/>
    <xf numFmtId="37" fontId="4" fillId="0" borderId="10" xfId="0" quotePrefix="1" applyFont="1" applyBorder="1" applyAlignment="1">
      <alignment horizontal="right" vertical="center"/>
    </xf>
    <xf numFmtId="37" fontId="4" fillId="0" borderId="35" xfId="0" applyFont="1" applyBorder="1"/>
    <xf numFmtId="37" fontId="4" fillId="0" borderId="37" xfId="0" applyFont="1" applyBorder="1"/>
    <xf numFmtId="37" fontId="4" fillId="3" borderId="14" xfId="0" applyFont="1" applyFill="1" applyBorder="1" applyAlignment="1">
      <alignment horizontal="left"/>
    </xf>
    <xf numFmtId="37" fontId="4" fillId="6" borderId="7" xfId="0" applyFont="1" applyFill="1" applyBorder="1" applyAlignment="1">
      <alignment horizontal="center"/>
    </xf>
    <xf numFmtId="37" fontId="4" fillId="6" borderId="24" xfId="0" applyFont="1" applyFill="1" applyBorder="1" applyAlignment="1">
      <alignment horizontal="center"/>
    </xf>
    <xf numFmtId="37" fontId="4" fillId="9" borderId="1" xfId="0" applyFont="1" applyFill="1" applyBorder="1" applyAlignment="1">
      <alignment horizontal="center"/>
    </xf>
    <xf numFmtId="37" fontId="4" fillId="3" borderId="32" xfId="0" applyFont="1" applyFill="1" applyBorder="1" applyAlignment="1">
      <alignment horizontal="left"/>
    </xf>
    <xf numFmtId="37" fontId="4" fillId="6" borderId="5" xfId="0" applyFont="1" applyFill="1" applyBorder="1"/>
    <xf numFmtId="37" fontId="4" fillId="6" borderId="6" xfId="0" applyFont="1" applyFill="1" applyBorder="1"/>
    <xf numFmtId="37" fontId="4" fillId="6" borderId="4" xfId="0" applyFont="1" applyFill="1" applyBorder="1" applyAlignment="1" applyProtection="1">
      <alignment horizontal="center"/>
    </xf>
    <xf numFmtId="37" fontId="4" fillId="6" borderId="9" xfId="0" applyFont="1" applyFill="1" applyBorder="1" applyAlignment="1" applyProtection="1">
      <alignment horizontal="center"/>
    </xf>
    <xf numFmtId="49" fontId="7" fillId="0" borderId="0" xfId="0" quotePrefix="1" applyNumberFormat="1" applyFont="1" applyAlignment="1">
      <alignment horizontal="left"/>
    </xf>
    <xf numFmtId="37" fontId="7" fillId="0" borderId="0" xfId="0" quotePrefix="1" applyFont="1" applyAlignment="1">
      <alignment horizontal="right"/>
    </xf>
    <xf numFmtId="37" fontId="7" fillId="0" borderId="0" xfId="0" applyNumberFormat="1" applyFont="1" applyAlignment="1" applyProtection="1">
      <alignment horizontal="right"/>
    </xf>
    <xf numFmtId="170" fontId="7" fillId="6" borderId="6" xfId="0" applyNumberFormat="1" applyFont="1" applyFill="1" applyBorder="1" applyAlignment="1">
      <alignment vertical="center"/>
    </xf>
    <xf numFmtId="170" fontId="7" fillId="0" borderId="6" xfId="0" applyNumberFormat="1" applyFont="1" applyBorder="1" applyAlignment="1">
      <alignment vertical="center"/>
    </xf>
    <xf numFmtId="170" fontId="7" fillId="6" borderId="22" xfId="0" applyNumberFormat="1" applyFont="1" applyFill="1" applyBorder="1" applyAlignment="1">
      <alignment vertical="center"/>
    </xf>
    <xf numFmtId="170" fontId="7" fillId="0" borderId="22" xfId="0" applyNumberFormat="1" applyFont="1" applyBorder="1" applyAlignment="1">
      <alignment vertical="center"/>
    </xf>
    <xf numFmtId="170" fontId="4" fillId="6" borderId="18" xfId="0" applyNumberFormat="1" applyFont="1" applyFill="1" applyBorder="1" applyAlignment="1">
      <alignment vertical="center"/>
    </xf>
    <xf numFmtId="170" fontId="4" fillId="6" borderId="33" xfId="0" applyNumberFormat="1" applyFont="1" applyFill="1" applyBorder="1" applyAlignment="1">
      <alignment vertical="center"/>
    </xf>
    <xf numFmtId="37" fontId="4" fillId="6" borderId="7" xfId="0" applyFont="1" applyFill="1" applyBorder="1" applyAlignment="1">
      <alignment vertical="center"/>
    </xf>
    <xf numFmtId="37" fontId="4" fillId="6" borderId="24" xfId="0" applyFont="1" applyFill="1" applyBorder="1" applyAlignment="1">
      <alignment vertical="center"/>
    </xf>
    <xf numFmtId="37" fontId="4" fillId="6" borderId="8" xfId="0" applyFont="1" applyFill="1" applyBorder="1" applyAlignment="1">
      <alignment horizontal="centerContinuous"/>
    </xf>
    <xf numFmtId="168" fontId="4" fillId="0" borderId="24" xfId="8" applyNumberFormat="1" applyFont="1" applyFill="1" applyBorder="1"/>
    <xf numFmtId="37" fontId="3" fillId="0" borderId="0" xfId="0" applyFont="1"/>
    <xf numFmtId="49" fontId="13" fillId="0" borderId="0" xfId="0" applyNumberFormat="1" applyFont="1"/>
    <xf numFmtId="49" fontId="8" fillId="0" borderId="0" xfId="0" quotePrefix="1" applyNumberFormat="1" applyFont="1" applyAlignment="1">
      <alignment horizontal="right"/>
    </xf>
    <xf numFmtId="37" fontId="4" fillId="0" borderId="26" xfId="0" applyNumberFormat="1" applyFont="1" applyBorder="1" applyProtection="1"/>
    <xf numFmtId="0" fontId="4" fillId="6" borderId="8" xfId="5" quotePrefix="1" applyFont="1" applyFill="1" applyBorder="1" applyAlignment="1">
      <alignment horizontal="center"/>
    </xf>
    <xf numFmtId="37" fontId="4" fillId="7" borderId="4" xfId="0" applyFont="1" applyFill="1" applyBorder="1" applyAlignment="1">
      <alignment horizontal="center"/>
    </xf>
    <xf numFmtId="37" fontId="0" fillId="0" borderId="11" xfId="0" applyBorder="1"/>
    <xf numFmtId="49" fontId="7" fillId="0" borderId="0" xfId="5" quotePrefix="1" applyNumberFormat="1" applyFont="1" applyAlignment="1">
      <alignment horizontal="left"/>
    </xf>
    <xf numFmtId="37" fontId="7" fillId="3" borderId="25" xfId="0" applyFont="1" applyFill="1" applyBorder="1" applyAlignment="1">
      <alignment horizontal="centerContinuous"/>
    </xf>
    <xf numFmtId="37" fontId="7" fillId="3" borderId="27" xfId="0" applyFont="1" applyFill="1" applyBorder="1" applyAlignment="1">
      <alignment horizontal="centerContinuous"/>
    </xf>
    <xf numFmtId="37" fontId="4" fillId="6" borderId="24" xfId="0" applyFont="1" applyFill="1" applyBorder="1" applyAlignment="1">
      <alignment horizontal="center" vertical="center"/>
    </xf>
    <xf numFmtId="37" fontId="4" fillId="3" borderId="23" xfId="0" applyFont="1" applyFill="1" applyBorder="1" applyAlignment="1">
      <alignment horizontal="centerContinuous"/>
    </xf>
    <xf numFmtId="37" fontId="0" fillId="0" borderId="0" xfId="0" applyBorder="1"/>
    <xf numFmtId="37" fontId="4" fillId="3" borderId="11" xfId="0" applyFont="1" applyFill="1" applyBorder="1" applyAlignment="1">
      <alignment horizontal="left"/>
    </xf>
    <xf numFmtId="37" fontId="7" fillId="3" borderId="11" xfId="0" applyFont="1" applyFill="1" applyBorder="1"/>
    <xf numFmtId="49" fontId="21" fillId="0" borderId="0" xfId="4" applyNumberFormat="1" applyFont="1" applyAlignment="1" applyProtection="1">
      <alignment horizontal="left" indent="2"/>
    </xf>
    <xf numFmtId="164" fontId="0" fillId="0" borderId="0" xfId="2" applyFont="1"/>
    <xf numFmtId="37" fontId="7" fillId="0" borderId="13" xfId="0" applyFont="1" applyFill="1" applyBorder="1" applyAlignment="1">
      <alignment horizontal="center"/>
    </xf>
    <xf numFmtId="37" fontId="4" fillId="6" borderId="43" xfId="0" applyFont="1" applyFill="1" applyBorder="1" applyAlignment="1">
      <alignment horizontal="centerContinuous"/>
    </xf>
    <xf numFmtId="37" fontId="4" fillId="0" borderId="12" xfId="0" quotePrefix="1" applyFont="1" applyBorder="1" applyAlignment="1">
      <alignment horizontal="center" vertical="center"/>
    </xf>
    <xf numFmtId="37" fontId="4" fillId="0" borderId="2" xfId="0" applyFont="1" applyBorder="1" applyAlignment="1">
      <alignment horizontal="left" vertical="center"/>
    </xf>
    <xf numFmtId="37" fontId="4" fillId="0" borderId="3" xfId="0" quotePrefix="1" applyFont="1" applyBorder="1" applyAlignment="1">
      <alignment horizontal="right" vertical="center"/>
    </xf>
    <xf numFmtId="37" fontId="23" fillId="0" borderId="7" xfId="0" applyFont="1" applyFill="1" applyBorder="1" applyAlignment="1">
      <alignment horizontal="centerContinuous" vertical="center"/>
    </xf>
    <xf numFmtId="37" fontId="12" fillId="0" borderId="12" xfId="0" quotePrefix="1" applyFont="1" applyBorder="1" applyAlignment="1">
      <alignment horizontal="left" vertical="center"/>
    </xf>
    <xf numFmtId="37" fontId="4" fillId="6" borderId="35" xfId="0" applyFont="1" applyFill="1" applyBorder="1" applyAlignment="1">
      <alignment horizontal="center"/>
    </xf>
    <xf numFmtId="49" fontId="4" fillId="0" borderId="23" xfId="0" quotePrefix="1" applyNumberFormat="1" applyFont="1" applyFill="1" applyBorder="1" applyAlignment="1">
      <alignment horizontal="center" vertical="center"/>
    </xf>
    <xf numFmtId="165" fontId="7" fillId="0" borderId="0" xfId="6" applyNumberFormat="1" applyFont="1" applyProtection="1"/>
    <xf numFmtId="0" fontId="7" fillId="3" borderId="0" xfId="6" applyFont="1" applyFill="1"/>
    <xf numFmtId="0" fontId="7" fillId="0" borderId="0" xfId="6" applyFont="1"/>
    <xf numFmtId="0" fontId="4" fillId="0" borderId="2" xfId="6" applyFont="1" applyFill="1" applyBorder="1" applyAlignment="1">
      <alignment horizontal="centerContinuous"/>
    </xf>
    <xf numFmtId="0" fontId="7" fillId="3" borderId="2" xfId="6" applyFont="1" applyFill="1" applyBorder="1" applyAlignment="1">
      <alignment horizontal="centerContinuous"/>
    </xf>
    <xf numFmtId="0" fontId="7" fillId="3" borderId="3" xfId="6" applyFont="1" applyFill="1" applyBorder="1" applyAlignment="1">
      <alignment horizontal="centerContinuous"/>
    </xf>
    <xf numFmtId="0" fontId="4" fillId="0" borderId="8" xfId="6" applyFont="1" applyBorder="1"/>
    <xf numFmtId="0" fontId="4" fillId="0" borderId="0" xfId="6" applyFont="1"/>
    <xf numFmtId="165" fontId="10" fillId="0" borderId="0" xfId="6" applyNumberFormat="1" applyFont="1" applyProtection="1">
      <protection locked="0"/>
    </xf>
    <xf numFmtId="170" fontId="7" fillId="0" borderId="0" xfId="6" applyNumberFormat="1" applyFont="1"/>
    <xf numFmtId="49" fontId="7" fillId="0" borderId="1" xfId="6" applyNumberFormat="1" applyFont="1" applyBorder="1" applyAlignment="1">
      <alignment vertical="center"/>
    </xf>
    <xf numFmtId="170" fontId="7" fillId="0" borderId="1" xfId="6" applyNumberFormat="1" applyFont="1" applyBorder="1" applyAlignment="1">
      <alignment vertical="center"/>
    </xf>
    <xf numFmtId="174" fontId="7" fillId="0" borderId="1" xfId="6" applyNumberFormat="1" applyFont="1" applyBorder="1" applyAlignment="1">
      <alignment vertical="center"/>
    </xf>
    <xf numFmtId="0" fontId="7" fillId="0" borderId="11" xfId="6" applyFont="1" applyBorder="1"/>
    <xf numFmtId="170" fontId="7" fillId="0" borderId="11" xfId="6" applyNumberFormat="1" applyFont="1" applyBorder="1"/>
    <xf numFmtId="0" fontId="7" fillId="0" borderId="0" xfId="6" applyFont="1" applyAlignment="1"/>
    <xf numFmtId="0" fontId="8" fillId="0" borderId="0" xfId="6" applyFont="1" applyAlignment="1"/>
    <xf numFmtId="49" fontId="7" fillId="10" borderId="1" xfId="6" applyNumberFormat="1" applyFont="1" applyFill="1" applyBorder="1" applyAlignment="1">
      <alignment vertical="center"/>
    </xf>
    <xf numFmtId="170" fontId="7" fillId="10" borderId="1" xfId="6" applyNumberFormat="1" applyFont="1" applyFill="1" applyBorder="1" applyAlignment="1">
      <alignment vertical="center"/>
    </xf>
    <xf numFmtId="174" fontId="7" fillId="10" borderId="1" xfId="6" applyNumberFormat="1" applyFont="1" applyFill="1" applyBorder="1" applyAlignment="1">
      <alignment vertical="center"/>
    </xf>
    <xf numFmtId="49" fontId="4" fillId="10" borderId="19" xfId="3" applyNumberFormat="1" applyFont="1" applyFill="1" applyBorder="1" applyAlignment="1">
      <alignment vertical="center"/>
    </xf>
    <xf numFmtId="170" fontId="4" fillId="10" borderId="23" xfId="6" applyNumberFormat="1" applyFont="1" applyFill="1" applyBorder="1"/>
    <xf numFmtId="174" fontId="4" fillId="10" borderId="23" xfId="6" applyNumberFormat="1" applyFont="1" applyFill="1" applyBorder="1"/>
    <xf numFmtId="0" fontId="4" fillId="5" borderId="19" xfId="6" applyNumberFormat="1" applyFont="1" applyFill="1" applyBorder="1" applyAlignment="1">
      <alignment horizontal="center"/>
    </xf>
    <xf numFmtId="39" fontId="3" fillId="0" borderId="0" xfId="7" applyFont="1"/>
    <xf numFmtId="39" fontId="3" fillId="0" borderId="0" xfId="7" applyFont="1" applyAlignment="1">
      <alignment horizontal="left"/>
    </xf>
    <xf numFmtId="39" fontId="3" fillId="0" borderId="3" xfId="7" applyFont="1" applyBorder="1"/>
    <xf numFmtId="175" fontId="3" fillId="0" borderId="3" xfId="7" applyNumberFormat="1" applyFont="1" applyBorder="1" applyProtection="1"/>
    <xf numFmtId="37" fontId="3" fillId="0" borderId="0" xfId="7" applyNumberFormat="1" applyFont="1"/>
    <xf numFmtId="37" fontId="4" fillId="3" borderId="13" xfId="0" applyFont="1" applyFill="1" applyBorder="1" applyAlignment="1">
      <alignment horizontal="left" vertical="center"/>
    </xf>
    <xf numFmtId="37" fontId="7" fillId="0" borderId="0" xfId="0" applyFont="1" applyFill="1"/>
    <xf numFmtId="49" fontId="7" fillId="0" borderId="11" xfId="0" applyNumberFormat="1" applyFont="1" applyBorder="1"/>
    <xf numFmtId="37" fontId="4" fillId="11" borderId="4" xfId="0" applyFont="1" applyFill="1" applyBorder="1" applyAlignment="1">
      <alignment horizontal="centerContinuous"/>
    </xf>
    <xf numFmtId="37" fontId="4" fillId="10" borderId="4" xfId="0" quotePrefix="1" applyFont="1" applyFill="1" applyBorder="1" applyAlignment="1">
      <alignment horizontal="center"/>
    </xf>
    <xf numFmtId="37" fontId="4" fillId="10" borderId="4" xfId="0" applyFont="1" applyFill="1" applyBorder="1" applyAlignment="1">
      <alignment horizontal="center"/>
    </xf>
    <xf numFmtId="37" fontId="4" fillId="3" borderId="32" xfId="0" quotePrefix="1" applyFont="1" applyFill="1" applyBorder="1" applyAlignment="1">
      <alignment horizontal="left"/>
    </xf>
    <xf numFmtId="0" fontId="7" fillId="12" borderId="0" xfId="0" applyNumberFormat="1" applyFont="1" applyFill="1" applyAlignment="1">
      <alignment horizontal="center"/>
    </xf>
    <xf numFmtId="0" fontId="4" fillId="5" borderId="19" xfId="0" applyNumberFormat="1" applyFont="1" applyFill="1" applyBorder="1" applyAlignment="1">
      <alignment horizontal="center"/>
    </xf>
    <xf numFmtId="0" fontId="4" fillId="5" borderId="19" xfId="0" quotePrefix="1" applyNumberFormat="1" applyFont="1" applyFill="1" applyBorder="1" applyAlignment="1">
      <alignment horizontal="center"/>
    </xf>
    <xf numFmtId="37" fontId="4" fillId="6" borderId="35" xfId="0" applyFont="1" applyFill="1" applyBorder="1" applyAlignment="1" applyProtection="1">
      <alignment horizontal="centerContinuous"/>
    </xf>
    <xf numFmtId="37" fontId="4" fillId="6" borderId="37" xfId="0" applyFont="1" applyFill="1" applyBorder="1" applyAlignment="1" applyProtection="1">
      <alignment horizontal="centerContinuous"/>
    </xf>
    <xf numFmtId="37" fontId="4" fillId="6" borderId="38" xfId="0" applyFont="1" applyFill="1" applyBorder="1" applyAlignment="1" applyProtection="1">
      <alignment horizontal="centerContinuous"/>
    </xf>
    <xf numFmtId="37" fontId="26" fillId="0" borderId="0" xfId="0" applyFont="1"/>
    <xf numFmtId="37" fontId="26" fillId="0" borderId="0" xfId="0" applyFont="1" applyAlignment="1">
      <alignment horizontal="right"/>
    </xf>
    <xf numFmtId="37" fontId="26" fillId="0" borderId="0" xfId="0" quotePrefix="1" applyFont="1" applyAlignment="1">
      <alignment horizontal="left"/>
    </xf>
    <xf numFmtId="0" fontId="26" fillId="0" borderId="0" xfId="6" applyFont="1"/>
    <xf numFmtId="170" fontId="26" fillId="0" borderId="0" xfId="6" applyNumberFormat="1" applyFont="1"/>
    <xf numFmtId="176" fontId="26" fillId="0" borderId="0" xfId="6" applyNumberFormat="1" applyFont="1"/>
    <xf numFmtId="172" fontId="7" fillId="0" borderId="0" xfId="0" applyNumberFormat="1" applyFont="1"/>
    <xf numFmtId="0" fontId="7" fillId="0" borderId="0" xfId="5" quotePrefix="1" applyFont="1" applyBorder="1" applyAlignment="1">
      <alignment horizontal="left"/>
    </xf>
    <xf numFmtId="37" fontId="7" fillId="0" borderId="0" xfId="0" quotePrefix="1" applyFont="1"/>
    <xf numFmtId="37" fontId="24" fillId="0" borderId="11" xfId="0" applyFont="1" applyBorder="1"/>
    <xf numFmtId="37" fontId="4" fillId="6" borderId="44" xfId="0" applyFont="1" applyFill="1" applyBorder="1" applyAlignment="1">
      <alignment horizontal="centerContinuous"/>
    </xf>
    <xf numFmtId="37" fontId="4" fillId="8" borderId="9" xfId="0" applyFont="1" applyFill="1" applyBorder="1" applyAlignment="1">
      <alignment horizontal="center" wrapText="1"/>
    </xf>
    <xf numFmtId="37" fontId="4" fillId="8" borderId="9" xfId="0" applyFont="1" applyFill="1" applyBorder="1" applyAlignment="1">
      <alignment wrapText="1"/>
    </xf>
    <xf numFmtId="37" fontId="4" fillId="9" borderId="45" xfId="0" applyFont="1" applyFill="1" applyBorder="1" applyAlignment="1">
      <alignment horizontal="center"/>
    </xf>
    <xf numFmtId="165" fontId="7" fillId="0" borderId="11" xfId="0" applyNumberFormat="1" applyFont="1" applyBorder="1" applyProtection="1"/>
    <xf numFmtId="37" fontId="27" fillId="0" borderId="0" xfId="0" applyFont="1"/>
    <xf numFmtId="177" fontId="7" fillId="0" borderId="0" xfId="7" applyNumberFormat="1" applyFont="1" applyBorder="1" applyProtection="1"/>
    <xf numFmtId="37" fontId="4" fillId="0" borderId="0" xfId="7" applyNumberFormat="1" applyFont="1" applyBorder="1" applyAlignment="1" applyProtection="1">
      <alignment horizontal="centerContinuous"/>
    </xf>
    <xf numFmtId="39" fontId="7" fillId="0" borderId="0" xfId="7" applyFont="1"/>
    <xf numFmtId="165" fontId="7" fillId="0" borderId="2" xfId="7" applyNumberFormat="1" applyFont="1" applyBorder="1" applyAlignment="1" applyProtection="1">
      <alignment horizontal="left"/>
    </xf>
    <xf numFmtId="165" fontId="7" fillId="0" borderId="3" xfId="7" applyNumberFormat="1" applyFont="1" applyBorder="1" applyAlignment="1" applyProtection="1">
      <alignment horizontal="left"/>
    </xf>
    <xf numFmtId="37" fontId="7" fillId="0" borderId="0" xfId="7" applyNumberFormat="1" applyFont="1" applyProtection="1"/>
    <xf numFmtId="39" fontId="4" fillId="0" borderId="14" xfId="7" applyFont="1" applyBorder="1" applyProtection="1"/>
    <xf numFmtId="39" fontId="4" fillId="3" borderId="20" xfId="7" applyFont="1" applyFill="1" applyBorder="1" applyProtection="1"/>
    <xf numFmtId="39" fontId="7" fillId="3" borderId="0" xfId="7" applyFont="1" applyFill="1" applyProtection="1"/>
    <xf numFmtId="167" fontId="7" fillId="10" borderId="1" xfId="7" applyNumberFormat="1" applyFont="1" applyFill="1" applyBorder="1"/>
    <xf numFmtId="167" fontId="7" fillId="3" borderId="1" xfId="7" applyNumberFormat="1" applyFont="1" applyFill="1" applyBorder="1"/>
    <xf numFmtId="167" fontId="4" fillId="10" borderId="19" xfId="7" applyNumberFormat="1" applyFont="1" applyFill="1" applyBorder="1"/>
    <xf numFmtId="167" fontId="7" fillId="0" borderId="0" xfId="7" applyNumberFormat="1" applyFont="1"/>
    <xf numFmtId="39" fontId="7" fillId="0" borderId="1" xfId="7" applyFont="1" applyBorder="1" applyProtection="1"/>
    <xf numFmtId="37" fontId="25" fillId="0" borderId="0" xfId="0" applyFont="1" applyAlignment="1">
      <alignment horizontal="left" indent="5"/>
    </xf>
    <xf numFmtId="37" fontId="7" fillId="0" borderId="31" xfId="0" applyFont="1" applyBorder="1"/>
    <xf numFmtId="0" fontId="7" fillId="0" borderId="0" xfId="0" applyNumberFormat="1" applyFont="1" applyAlignment="1"/>
    <xf numFmtId="37" fontId="4" fillId="6" borderId="52" xfId="0" applyFont="1" applyFill="1" applyBorder="1" applyAlignment="1">
      <alignment horizontal="centerContinuous"/>
    </xf>
    <xf numFmtId="37" fontId="4" fillId="6" borderId="53" xfId="0" applyFont="1" applyFill="1" applyBorder="1" applyAlignment="1">
      <alignment horizontal="centerContinuous"/>
    </xf>
    <xf numFmtId="37" fontId="4" fillId="6" borderId="54" xfId="0" applyFont="1" applyFill="1" applyBorder="1" applyAlignment="1">
      <alignment horizontal="centerContinuous"/>
    </xf>
    <xf numFmtId="37" fontId="4" fillId="6" borderId="55" xfId="0" applyFont="1" applyFill="1" applyBorder="1" applyAlignment="1">
      <alignment horizontal="center"/>
    </xf>
    <xf numFmtId="37" fontId="4" fillId="6" borderId="56" xfId="0" applyFont="1" applyFill="1" applyBorder="1" applyAlignment="1">
      <alignment horizontal="center"/>
    </xf>
    <xf numFmtId="37" fontId="4" fillId="0" borderId="1" xfId="0" quotePrefix="1" applyFont="1" applyBorder="1" applyAlignment="1">
      <alignment horizontal="center"/>
    </xf>
    <xf numFmtId="37" fontId="4" fillId="0" borderId="9" xfId="0" quotePrefix="1" applyFont="1" applyBorder="1" applyAlignment="1">
      <alignment horizontal="center"/>
    </xf>
    <xf numFmtId="37" fontId="15" fillId="3" borderId="2" xfId="0" quotePrefix="1" applyFont="1" applyFill="1" applyBorder="1" applyAlignment="1">
      <alignment horizontal="left" vertical="center"/>
    </xf>
    <xf numFmtId="37" fontId="15" fillId="3" borderId="0" xfId="0" quotePrefix="1" applyFont="1" applyFill="1" applyBorder="1" applyAlignment="1">
      <alignment horizontal="left" vertical="center"/>
    </xf>
    <xf numFmtId="165" fontId="15" fillId="0" borderId="0" xfId="0" quotePrefix="1" applyNumberFormat="1" applyFont="1" applyBorder="1" applyAlignment="1" applyProtection="1">
      <alignment horizontal="left"/>
    </xf>
    <xf numFmtId="37" fontId="15" fillId="0" borderId="0" xfId="0" quotePrefix="1" applyFont="1" applyAlignment="1">
      <alignment horizontal="left"/>
    </xf>
    <xf numFmtId="37" fontId="15" fillId="0" borderId="11" xfId="0" quotePrefix="1" applyFont="1" applyBorder="1" applyAlignment="1">
      <alignment horizontal="left"/>
    </xf>
    <xf numFmtId="165" fontId="15" fillId="0" borderId="11" xfId="0" quotePrefix="1" applyNumberFormat="1" applyFont="1" applyBorder="1" applyAlignment="1" applyProtection="1">
      <alignment horizontal="left" vertical="center"/>
    </xf>
    <xf numFmtId="165" fontId="15" fillId="0" borderId="3" xfId="0" quotePrefix="1" applyNumberFormat="1" applyFont="1" applyBorder="1" applyAlignment="1" applyProtection="1">
      <alignment horizontal="left" vertical="center"/>
    </xf>
    <xf numFmtId="165" fontId="15" fillId="0" borderId="3" xfId="0" quotePrefix="1" applyNumberFormat="1" applyFont="1" applyBorder="1" applyAlignment="1" applyProtection="1">
      <alignment horizontal="left"/>
    </xf>
    <xf numFmtId="37" fontId="4" fillId="3" borderId="3" xfId="6" quotePrefix="1" applyNumberFormat="1" applyFont="1" applyFill="1" applyBorder="1" applyAlignment="1" applyProtection="1">
      <alignment horizontal="centerContinuous" vertical="center"/>
    </xf>
    <xf numFmtId="37" fontId="4" fillId="3" borderId="11" xfId="0" applyFont="1" applyFill="1" applyBorder="1" applyAlignment="1" applyProtection="1">
      <alignment horizontal="centerContinuous" vertical="top"/>
    </xf>
    <xf numFmtId="37" fontId="7" fillId="0" borderId="0" xfId="0" applyFont="1" applyFill="1" applyAlignment="1">
      <alignment horizontal="right"/>
    </xf>
    <xf numFmtId="37" fontId="4" fillId="0" borderId="0" xfId="0" quotePrefix="1" applyFont="1" applyAlignment="1">
      <alignment horizontal="left"/>
    </xf>
    <xf numFmtId="37" fontId="7" fillId="3" borderId="2" xfId="0" applyFont="1" applyFill="1" applyBorder="1"/>
    <xf numFmtId="164" fontId="26" fillId="0" borderId="0" xfId="2" applyFont="1"/>
    <xf numFmtId="37" fontId="28" fillId="0" borderId="0" xfId="0" applyFont="1" applyAlignment="1">
      <alignment horizontal="right"/>
    </xf>
    <xf numFmtId="170" fontId="7" fillId="6" borderId="62" xfId="0" applyNumberFormat="1" applyFont="1" applyFill="1" applyBorder="1" applyAlignment="1">
      <alignment vertical="center"/>
    </xf>
    <xf numFmtId="170" fontId="7" fillId="0" borderId="62" xfId="0" applyNumberFormat="1" applyFont="1" applyBorder="1" applyAlignment="1">
      <alignment vertical="center"/>
    </xf>
    <xf numFmtId="37" fontId="0" fillId="0" borderId="0" xfId="0"/>
    <xf numFmtId="37" fontId="7" fillId="0" borderId="23" xfId="0" applyFont="1" applyBorder="1"/>
    <xf numFmtId="37" fontId="7" fillId="13" borderId="32" xfId="0" applyFont="1" applyFill="1" applyBorder="1" applyAlignment="1">
      <alignment horizontal="right"/>
    </xf>
    <xf numFmtId="37" fontId="7" fillId="13" borderId="23" xfId="0" applyFont="1" applyFill="1" applyBorder="1"/>
    <xf numFmtId="37" fontId="4" fillId="6" borderId="5" xfId="0" applyFont="1" applyFill="1" applyBorder="1" applyAlignment="1">
      <alignment horizontal="center"/>
    </xf>
    <xf numFmtId="37" fontId="4" fillId="3" borderId="14" xfId="0" applyFont="1" applyFill="1" applyBorder="1"/>
    <xf numFmtId="37" fontId="4" fillId="3" borderId="2" xfId="0" applyFont="1" applyFill="1" applyBorder="1"/>
    <xf numFmtId="37" fontId="4" fillId="3" borderId="14" xfId="0" quotePrefix="1" applyFont="1" applyFill="1" applyBorder="1" applyAlignment="1">
      <alignment horizontal="left"/>
    </xf>
    <xf numFmtId="37" fontId="4" fillId="0" borderId="12" xfId="0" applyFont="1" applyFill="1" applyBorder="1" applyAlignment="1">
      <alignment horizontal="centerContinuous"/>
    </xf>
    <xf numFmtId="37" fontId="4" fillId="0" borderId="48" xfId="0" applyFont="1" applyFill="1" applyBorder="1" applyAlignment="1">
      <alignment horizontal="centerContinuous"/>
    </xf>
    <xf numFmtId="37" fontId="4" fillId="0" borderId="35" xfId="0" applyFont="1" applyFill="1" applyBorder="1" applyAlignment="1">
      <alignment horizontal="centerContinuous" vertical="center"/>
    </xf>
    <xf numFmtId="37" fontId="4" fillId="3" borderId="3" xfId="0" applyFont="1" applyFill="1" applyBorder="1" applyAlignment="1">
      <alignment horizontal="centerContinuous"/>
    </xf>
    <xf numFmtId="37" fontId="4" fillId="10" borderId="5" xfId="0" applyNumberFormat="1" applyFont="1" applyFill="1" applyBorder="1" applyAlignment="1" applyProtection="1">
      <alignment horizontal="center"/>
    </xf>
    <xf numFmtId="37" fontId="4" fillId="6" borderId="6" xfId="0" applyFont="1" applyFill="1" applyBorder="1" applyAlignment="1">
      <alignment horizontal="center"/>
    </xf>
    <xf numFmtId="49" fontId="4" fillId="0" borderId="35" xfId="0" applyNumberFormat="1" applyFont="1" applyBorder="1"/>
    <xf numFmtId="49" fontId="4" fillId="0" borderId="37" xfId="0" applyNumberFormat="1" applyFont="1" applyBorder="1"/>
    <xf numFmtId="0" fontId="4" fillId="0" borderId="35" xfId="6" applyFont="1" applyBorder="1"/>
    <xf numFmtId="49" fontId="4" fillId="5" borderId="9" xfId="6" applyNumberFormat="1" applyFont="1" applyFill="1" applyBorder="1" applyAlignment="1">
      <alignment horizontal="center"/>
    </xf>
    <xf numFmtId="0" fontId="4" fillId="5" borderId="9" xfId="6" applyNumberFormat="1" applyFont="1" applyFill="1" applyBorder="1" applyAlignment="1">
      <alignment horizontal="center" vertical="center" wrapText="1"/>
    </xf>
    <xf numFmtId="37" fontId="4" fillId="7" borderId="2" xfId="0" applyFont="1" applyFill="1" applyBorder="1" applyAlignment="1"/>
    <xf numFmtId="0" fontId="4" fillId="5" borderId="9" xfId="0" applyNumberFormat="1" applyFont="1" applyFill="1" applyBorder="1" applyAlignment="1">
      <alignment horizontal="center"/>
    </xf>
    <xf numFmtId="0" fontId="4" fillId="5" borderId="9" xfId="0" quotePrefix="1" applyNumberFormat="1" applyFont="1" applyFill="1" applyBorder="1" applyAlignment="1">
      <alignment horizontal="center"/>
    </xf>
    <xf numFmtId="37" fontId="27" fillId="0" borderId="0" xfId="0" applyFont="1" applyAlignment="1">
      <alignment horizontal="right"/>
    </xf>
    <xf numFmtId="37" fontId="7" fillId="0" borderId="0" xfId="0" applyFont="1" applyBorder="1" applyAlignment="1"/>
    <xf numFmtId="49" fontId="7" fillId="6" borderId="1" xfId="0" quotePrefix="1" applyNumberFormat="1" applyFont="1" applyFill="1" applyBorder="1" applyAlignment="1">
      <alignment horizontal="left"/>
    </xf>
    <xf numFmtId="37" fontId="4" fillId="3" borderId="13" xfId="0" applyFont="1" applyFill="1" applyBorder="1" applyAlignment="1">
      <alignment horizontal="right" vertical="center"/>
    </xf>
    <xf numFmtId="49" fontId="7" fillId="0" borderId="0" xfId="0" applyNumberFormat="1" applyFont="1" applyBorder="1" applyAlignment="1">
      <alignment horizontal="left"/>
    </xf>
    <xf numFmtId="37" fontId="7" fillId="0" borderId="0" xfId="0" applyFont="1" applyAlignment="1">
      <alignment horizontal="center" wrapText="1"/>
    </xf>
    <xf numFmtId="174" fontId="7" fillId="0" borderId="1" xfId="0" quotePrefix="1" applyNumberFormat="1" applyFont="1" applyBorder="1" applyAlignment="1">
      <alignment horizontal="right" vertical="center"/>
    </xf>
    <xf numFmtId="37" fontId="0" fillId="0" borderId="0" xfId="0"/>
    <xf numFmtId="174" fontId="7" fillId="6" borderId="1" xfId="0" applyNumberFormat="1" applyFont="1" applyFill="1" applyBorder="1" applyAlignment="1">
      <alignment horizontal="right" vertical="center"/>
    </xf>
    <xf numFmtId="174" fontId="4" fillId="6" borderId="19" xfId="0" applyNumberFormat="1" applyFont="1" applyFill="1" applyBorder="1" applyAlignment="1">
      <alignment horizontal="right" vertical="center"/>
    </xf>
    <xf numFmtId="172" fontId="7" fillId="0" borderId="0" xfId="0" applyNumberFormat="1" applyFont="1" applyProtection="1"/>
    <xf numFmtId="37" fontId="29" fillId="6" borderId="36" xfId="0" quotePrefix="1" applyFont="1" applyFill="1" applyBorder="1" applyAlignment="1" applyProtection="1">
      <alignment horizontal="center"/>
    </xf>
    <xf numFmtId="37" fontId="0" fillId="0" borderId="0" xfId="0"/>
    <xf numFmtId="37" fontId="7" fillId="12" borderId="0" xfId="0" applyFont="1" applyFill="1"/>
    <xf numFmtId="170" fontId="7" fillId="6" borderId="1" xfId="0" applyNumberFormat="1" applyFont="1" applyFill="1" applyBorder="1" applyAlignment="1">
      <alignment vertical="top"/>
    </xf>
    <xf numFmtId="37" fontId="7" fillId="0" borderId="0" xfId="0" applyFont="1" applyAlignment="1">
      <alignment vertical="top"/>
    </xf>
    <xf numFmtId="170" fontId="7" fillId="0" borderId="1" xfId="0" applyNumberFormat="1" applyFont="1" applyBorder="1" applyAlignment="1">
      <alignment vertical="top"/>
    </xf>
    <xf numFmtId="170" fontId="7" fillId="0" borderId="0" xfId="0" applyNumberFormat="1" applyFont="1" applyAlignment="1">
      <alignment vertical="top"/>
    </xf>
    <xf numFmtId="170" fontId="4" fillId="6" borderId="19" xfId="0" applyNumberFormat="1" applyFont="1" applyFill="1" applyBorder="1" applyAlignment="1">
      <alignment vertical="top"/>
    </xf>
    <xf numFmtId="37" fontId="15" fillId="7" borderId="0" xfId="9" applyFont="1" applyFill="1"/>
    <xf numFmtId="37" fontId="24" fillId="0" borderId="0" xfId="9"/>
    <xf numFmtId="37" fontId="20" fillId="7" borderId="0" xfId="9" quotePrefix="1" applyFont="1" applyFill="1" applyAlignment="1">
      <alignment horizontal="center"/>
    </xf>
    <xf numFmtId="37" fontId="15" fillId="7" borderId="0" xfId="9" applyFont="1" applyFill="1" applyAlignment="1"/>
    <xf numFmtId="37" fontId="15" fillId="7" borderId="0" xfId="9" applyFont="1" applyFill="1" applyAlignment="1">
      <alignment horizontal="left" vertical="top" wrapText="1"/>
    </xf>
    <xf numFmtId="37" fontId="15" fillId="7" borderId="0" xfId="9" applyFont="1" applyFill="1" applyAlignment="1">
      <alignment wrapText="1"/>
    </xf>
    <xf numFmtId="37" fontId="7" fillId="0" borderId="0" xfId="0" quotePrefix="1" applyFont="1" applyAlignment="1">
      <alignment horizontal="left" vertical="top" wrapText="1"/>
    </xf>
    <xf numFmtId="37" fontId="4" fillId="3" borderId="57" xfId="0" quotePrefix="1" applyFont="1" applyFill="1" applyBorder="1" applyAlignment="1">
      <alignment horizontal="center" wrapText="1"/>
    </xf>
    <xf numFmtId="37" fontId="4" fillId="3" borderId="63" xfId="0" applyFont="1" applyFill="1" applyBorder="1" applyAlignment="1">
      <alignment horizontal="center" wrapText="1"/>
    </xf>
    <xf numFmtId="37" fontId="4" fillId="3" borderId="4" xfId="0" quotePrefix="1" applyFont="1" applyFill="1" applyBorder="1" applyAlignment="1">
      <alignment horizontal="center" wrapText="1"/>
    </xf>
    <xf numFmtId="37" fontId="4" fillId="3" borderId="1" xfId="0" applyFont="1" applyFill="1" applyBorder="1" applyAlignment="1">
      <alignment horizontal="center" wrapText="1"/>
    </xf>
    <xf numFmtId="37" fontId="4" fillId="3" borderId="9" xfId="0" applyFont="1" applyFill="1" applyBorder="1" applyAlignment="1">
      <alignment horizontal="center" wrapText="1"/>
    </xf>
    <xf numFmtId="0" fontId="4" fillId="3" borderId="4" xfId="0" quotePrefix="1" applyNumberFormat="1" applyFont="1" applyFill="1" applyBorder="1" applyAlignment="1">
      <alignment horizontal="center" wrapText="1"/>
    </xf>
    <xf numFmtId="0" fontId="4" fillId="3" borderId="1" xfId="0" applyNumberFormat="1" applyFont="1" applyFill="1" applyBorder="1" applyAlignment="1">
      <alignment horizontal="center" wrapText="1"/>
    </xf>
    <xf numFmtId="0" fontId="4" fillId="3" borderId="9" xfId="0" applyNumberFormat="1" applyFont="1" applyFill="1" applyBorder="1" applyAlignment="1">
      <alignment horizontal="center" wrapText="1"/>
    </xf>
    <xf numFmtId="37" fontId="4" fillId="3" borderId="1" xfId="0" quotePrefix="1" applyFont="1" applyFill="1" applyBorder="1" applyAlignment="1">
      <alignment horizontal="center" wrapText="1"/>
    </xf>
    <xf numFmtId="37" fontId="4" fillId="3" borderId="9" xfId="0" quotePrefix="1" applyFont="1" applyFill="1" applyBorder="1" applyAlignment="1">
      <alignment horizontal="center" wrapText="1"/>
    </xf>
    <xf numFmtId="37" fontId="4" fillId="3" borderId="12" xfId="0" quotePrefix="1" applyFont="1" applyFill="1" applyBorder="1" applyAlignment="1">
      <alignment horizontal="center" vertical="center"/>
    </xf>
    <xf numFmtId="37" fontId="4" fillId="3" borderId="12" xfId="0" applyFont="1" applyFill="1" applyBorder="1" applyAlignment="1">
      <alignment horizontal="center" vertical="center"/>
    </xf>
    <xf numFmtId="37" fontId="4" fillId="3" borderId="11" xfId="0" applyFont="1" applyFill="1" applyBorder="1" applyAlignment="1">
      <alignment horizontal="center" vertical="center"/>
    </xf>
    <xf numFmtId="0" fontId="7" fillId="0" borderId="12" xfId="0" quotePrefix="1" applyNumberFormat="1" applyFont="1" applyBorder="1" applyAlignment="1">
      <alignment horizontal="left" wrapText="1"/>
    </xf>
    <xf numFmtId="0" fontId="7" fillId="0" borderId="0" xfId="0" quotePrefix="1" applyNumberFormat="1" applyFont="1" applyAlignment="1">
      <alignment horizontal="left" wrapText="1"/>
    </xf>
    <xf numFmtId="37" fontId="4" fillId="0" borderId="57" xfId="0" quotePrefix="1" applyFont="1" applyBorder="1" applyAlignment="1" applyProtection="1">
      <alignment horizontal="center" vertical="center" wrapText="1"/>
    </xf>
    <xf numFmtId="37" fontId="4" fillId="0" borderId="63" xfId="0" quotePrefix="1" applyFont="1" applyBorder="1" applyAlignment="1" applyProtection="1">
      <alignment horizontal="center" vertical="center" wrapText="1"/>
    </xf>
    <xf numFmtId="37" fontId="4" fillId="0" borderId="64" xfId="0" quotePrefix="1" applyFont="1" applyBorder="1" applyAlignment="1" applyProtection="1">
      <alignment horizontal="center" vertical="center" wrapText="1"/>
    </xf>
    <xf numFmtId="37" fontId="4" fillId="0" borderId="42" xfId="0" quotePrefix="1" applyFont="1" applyBorder="1" applyAlignment="1" applyProtection="1">
      <alignment horizontal="center" vertical="center" wrapText="1"/>
    </xf>
    <xf numFmtId="37" fontId="4" fillId="0" borderId="65" xfId="0" quotePrefix="1" applyFont="1" applyBorder="1" applyAlignment="1" applyProtection="1">
      <alignment horizontal="center" vertical="center" wrapText="1"/>
    </xf>
    <xf numFmtId="37" fontId="4" fillId="0" borderId="29" xfId="0" quotePrefix="1" applyFont="1" applyBorder="1" applyAlignment="1" applyProtection="1">
      <alignment horizontal="center" vertical="center" wrapText="1"/>
    </xf>
    <xf numFmtId="37" fontId="4" fillId="0" borderId="4" xfId="0" quotePrefix="1" applyFont="1" applyBorder="1" applyAlignment="1" applyProtection="1">
      <alignment horizontal="center" vertical="center" wrapText="1"/>
    </xf>
    <xf numFmtId="37" fontId="4" fillId="0" borderId="9" xfId="0" quotePrefix="1" applyFont="1" applyBorder="1" applyAlignment="1" applyProtection="1">
      <alignment horizontal="center" vertical="center" wrapText="1"/>
    </xf>
    <xf numFmtId="37" fontId="4" fillId="3" borderId="4" xfId="0" applyFont="1" applyFill="1" applyBorder="1" applyAlignment="1">
      <alignment horizontal="center" wrapText="1"/>
    </xf>
    <xf numFmtId="37" fontId="4" fillId="3" borderId="66" xfId="0" quotePrefix="1" applyFont="1" applyFill="1" applyBorder="1" applyAlignment="1">
      <alignment horizontal="center" wrapText="1"/>
    </xf>
    <xf numFmtId="37" fontId="7" fillId="0" borderId="12" xfId="0" quotePrefix="1" applyFont="1" applyBorder="1" applyAlignment="1">
      <alignment horizontal="left" wrapText="1"/>
    </xf>
    <xf numFmtId="37" fontId="7" fillId="0" borderId="0" xfId="0" quotePrefix="1" applyFont="1" applyAlignment="1">
      <alignment horizontal="left" wrapText="1"/>
    </xf>
    <xf numFmtId="37" fontId="4" fillId="3" borderId="60" xfId="0" quotePrefix="1" applyFont="1" applyFill="1" applyBorder="1" applyAlignment="1">
      <alignment horizontal="center" wrapText="1"/>
    </xf>
    <xf numFmtId="37" fontId="4" fillId="3" borderId="67" xfId="0" quotePrefix="1" applyFont="1" applyFill="1" applyBorder="1" applyAlignment="1">
      <alignment horizontal="center" wrapText="1"/>
    </xf>
    <xf numFmtId="37" fontId="4" fillId="3" borderId="61" xfId="0" quotePrefix="1" applyFont="1" applyFill="1" applyBorder="1" applyAlignment="1">
      <alignment horizontal="center" wrapText="1"/>
    </xf>
    <xf numFmtId="49" fontId="4" fillId="0" borderId="39" xfId="0" quotePrefix="1" applyNumberFormat="1" applyFont="1" applyBorder="1" applyAlignment="1">
      <alignment horizontal="center" vertical="center"/>
    </xf>
    <xf numFmtId="49" fontId="4" fillId="0" borderId="13" xfId="0" quotePrefix="1" applyNumberFormat="1" applyFont="1" applyBorder="1" applyAlignment="1">
      <alignment horizontal="center" vertical="center"/>
    </xf>
    <xf numFmtId="49" fontId="4" fillId="0" borderId="51" xfId="0" quotePrefix="1" applyNumberFormat="1" applyFont="1" applyBorder="1" applyAlignment="1">
      <alignment horizontal="center" vertical="center"/>
    </xf>
    <xf numFmtId="37" fontId="4" fillId="3" borderId="59" xfId="0" quotePrefix="1" applyFont="1" applyFill="1" applyBorder="1" applyAlignment="1">
      <alignment horizontal="center" wrapText="1"/>
    </xf>
    <xf numFmtId="37" fontId="4" fillId="3" borderId="60" xfId="0" applyFont="1" applyFill="1" applyBorder="1" applyAlignment="1">
      <alignment horizontal="center" wrapText="1"/>
    </xf>
    <xf numFmtId="37" fontId="4" fillId="3" borderId="57" xfId="0" quotePrefix="1" applyFont="1" applyFill="1" applyBorder="1" applyAlignment="1">
      <alignment horizontal="right" wrapText="1"/>
    </xf>
    <xf numFmtId="37" fontId="4" fillId="3" borderId="63" xfId="0" quotePrefix="1" applyFont="1" applyFill="1" applyBorder="1" applyAlignment="1">
      <alignment horizontal="right" wrapText="1"/>
    </xf>
    <xf numFmtId="37" fontId="4" fillId="0" borderId="20" xfId="0" applyFont="1" applyBorder="1" applyAlignment="1">
      <alignment horizontal="center"/>
    </xf>
    <xf numFmtId="37" fontId="4" fillId="0" borderId="10" xfId="0" applyFont="1" applyBorder="1" applyAlignment="1">
      <alignment horizontal="center"/>
    </xf>
    <xf numFmtId="49" fontId="15" fillId="0" borderId="16" xfId="0" applyNumberFormat="1" applyFont="1" applyBorder="1" applyAlignment="1">
      <alignment horizontal="center" vertical="top" textRotation="180"/>
    </xf>
    <xf numFmtId="37" fontId="4" fillId="6" borderId="4" xfId="0" quotePrefix="1" applyFont="1" applyFill="1" applyBorder="1" applyAlignment="1">
      <alignment horizontal="center" wrapText="1"/>
    </xf>
    <xf numFmtId="37" fontId="4" fillId="6" borderId="9" xfId="0" applyFont="1" applyFill="1" applyBorder="1" applyAlignment="1">
      <alignment horizontal="center" wrapText="1"/>
    </xf>
    <xf numFmtId="37" fontId="4" fillId="6" borderId="4" xfId="0" applyFont="1" applyFill="1" applyBorder="1" applyAlignment="1">
      <alignment horizontal="center" wrapText="1"/>
    </xf>
    <xf numFmtId="37" fontId="4" fillId="6" borderId="58" xfId="0" applyFont="1" applyFill="1" applyBorder="1" applyAlignment="1">
      <alignment horizontal="center" wrapText="1"/>
    </xf>
    <xf numFmtId="37" fontId="4" fillId="6" borderId="68" xfId="0" applyFont="1" applyFill="1" applyBorder="1" applyAlignment="1">
      <alignment horizontal="center" wrapText="1"/>
    </xf>
    <xf numFmtId="37" fontId="4" fillId="6" borderId="7" xfId="0" applyFont="1" applyFill="1" applyBorder="1" applyAlignment="1">
      <alignment horizontal="center" wrapText="1"/>
    </xf>
    <xf numFmtId="37" fontId="4" fillId="6" borderId="8" xfId="0" applyFont="1" applyFill="1" applyBorder="1" applyAlignment="1">
      <alignment horizontal="center" wrapText="1"/>
    </xf>
    <xf numFmtId="49" fontId="15" fillId="0" borderId="15" xfId="0" applyNumberFormat="1" applyFont="1" applyBorder="1" applyAlignment="1">
      <alignment horizontal="right" vertical="center" textRotation="180"/>
    </xf>
    <xf numFmtId="37" fontId="15" fillId="0" borderId="15" xfId="0" applyFont="1" applyBorder="1" applyAlignment="1">
      <alignment horizontal="right" vertical="center" textRotation="180"/>
    </xf>
    <xf numFmtId="37" fontId="4" fillId="6" borderId="14" xfId="0" quotePrefix="1" applyFont="1" applyFill="1" applyBorder="1" applyAlignment="1">
      <alignment horizontal="center" wrapText="1"/>
    </xf>
    <xf numFmtId="37" fontId="4" fillId="6" borderId="5" xfId="0" applyFont="1" applyFill="1" applyBorder="1" applyAlignment="1">
      <alignment horizontal="center" wrapText="1"/>
    </xf>
    <xf numFmtId="37" fontId="4" fillId="6" borderId="20" xfId="0" applyFont="1" applyFill="1" applyBorder="1" applyAlignment="1">
      <alignment horizontal="center" wrapText="1"/>
    </xf>
    <xf numFmtId="37" fontId="4" fillId="6" borderId="10" xfId="0" applyFont="1" applyFill="1" applyBorder="1" applyAlignment="1">
      <alignment horizontal="center" wrapText="1"/>
    </xf>
    <xf numFmtId="37" fontId="4" fillId="6" borderId="14" xfId="0" applyFont="1" applyFill="1" applyBorder="1" applyAlignment="1">
      <alignment horizontal="center" wrapText="1"/>
    </xf>
    <xf numFmtId="37" fontId="4" fillId="6" borderId="20" xfId="0" applyFont="1" applyFill="1" applyBorder="1" applyAlignment="1">
      <alignment horizontal="center"/>
    </xf>
    <xf numFmtId="37" fontId="4" fillId="6" borderId="10" xfId="0" applyFont="1" applyFill="1" applyBorder="1" applyAlignment="1">
      <alignment horizontal="center"/>
    </xf>
    <xf numFmtId="37" fontId="4" fillId="6" borderId="3" xfId="0" applyFont="1" applyFill="1" applyBorder="1" applyAlignment="1">
      <alignment horizontal="center"/>
    </xf>
    <xf numFmtId="37" fontId="4" fillId="6" borderId="2" xfId="0" applyFont="1" applyFill="1" applyBorder="1" applyAlignment="1">
      <alignment horizontal="center" wrapText="1"/>
    </xf>
    <xf numFmtId="37" fontId="4" fillId="6" borderId="3" xfId="0" applyFont="1" applyFill="1" applyBorder="1" applyAlignment="1">
      <alignment horizontal="center" wrapText="1"/>
    </xf>
    <xf numFmtId="37" fontId="4" fillId="6" borderId="17" xfId="0" applyFont="1" applyFill="1" applyBorder="1" applyAlignment="1" applyProtection="1">
      <alignment horizontal="center"/>
    </xf>
    <xf numFmtId="37" fontId="4" fillId="6" borderId="13" xfId="0" applyFont="1" applyFill="1" applyBorder="1" applyAlignment="1" applyProtection="1">
      <alignment horizontal="center"/>
    </xf>
    <xf numFmtId="37" fontId="4" fillId="6" borderId="18" xfId="0" applyFont="1" applyFill="1" applyBorder="1" applyAlignment="1" applyProtection="1">
      <alignment horizontal="center"/>
    </xf>
    <xf numFmtId="37" fontId="4" fillId="3" borderId="22" xfId="0" quotePrefix="1" applyFont="1" applyFill="1" applyBorder="1" applyAlignment="1" applyProtection="1">
      <alignment horizontal="center" wrapText="1"/>
    </xf>
    <xf numFmtId="37" fontId="4" fillId="3" borderId="42" xfId="0" quotePrefix="1" applyFont="1" applyFill="1" applyBorder="1" applyAlignment="1" applyProtection="1">
      <alignment horizontal="center" wrapText="1"/>
    </xf>
    <xf numFmtId="37" fontId="4" fillId="3" borderId="65" xfId="0" quotePrefix="1" applyFont="1" applyFill="1" applyBorder="1" applyAlignment="1" applyProtection="1">
      <alignment horizontal="center" wrapText="1"/>
    </xf>
    <xf numFmtId="37" fontId="4" fillId="3" borderId="28" xfId="0" quotePrefix="1" applyFont="1" applyFill="1" applyBorder="1" applyAlignment="1" applyProtection="1">
      <alignment horizontal="center" wrapText="1"/>
    </xf>
    <xf numFmtId="37" fontId="4" fillId="3" borderId="29" xfId="0" quotePrefix="1" applyFont="1" applyFill="1" applyBorder="1" applyAlignment="1" applyProtection="1">
      <alignment horizontal="center" wrapText="1"/>
    </xf>
    <xf numFmtId="37" fontId="4" fillId="3" borderId="17" xfId="0" applyFont="1" applyFill="1" applyBorder="1" applyAlignment="1" applyProtection="1">
      <alignment horizontal="center"/>
    </xf>
    <xf numFmtId="37" fontId="4" fillId="3" borderId="13" xfId="0" applyFont="1" applyFill="1" applyBorder="1" applyAlignment="1" applyProtection="1">
      <alignment horizontal="center"/>
    </xf>
    <xf numFmtId="37" fontId="4" fillId="3" borderId="18" xfId="0" applyFont="1" applyFill="1" applyBorder="1" applyAlignment="1" applyProtection="1">
      <alignment horizontal="center"/>
    </xf>
    <xf numFmtId="37" fontId="4" fillId="0" borderId="4" xfId="0" quotePrefix="1" applyFont="1" applyBorder="1" applyAlignment="1" applyProtection="1">
      <alignment horizontal="center" wrapText="1"/>
    </xf>
    <xf numFmtId="37" fontId="4" fillId="0" borderId="9" xfId="0" quotePrefix="1" applyFont="1" applyBorder="1" applyAlignment="1" applyProtection="1">
      <alignment horizontal="center" wrapText="1"/>
    </xf>
    <xf numFmtId="0" fontId="7" fillId="0" borderId="12" xfId="0" quotePrefix="1" applyNumberFormat="1" applyFont="1" applyBorder="1" applyAlignment="1">
      <alignment horizontal="left" vertical="top" wrapText="1"/>
    </xf>
    <xf numFmtId="0" fontId="7" fillId="0" borderId="0" xfId="0" quotePrefix="1" applyNumberFormat="1" applyFont="1" applyBorder="1" applyAlignment="1">
      <alignment horizontal="left" vertical="top" wrapText="1"/>
    </xf>
    <xf numFmtId="37" fontId="4" fillId="6" borderId="69" xfId="0" applyFont="1" applyFill="1" applyBorder="1" applyAlignment="1">
      <alignment horizontal="center" wrapText="1"/>
    </xf>
    <xf numFmtId="37" fontId="4" fillId="6" borderId="70" xfId="0" applyFont="1" applyFill="1" applyBorder="1" applyAlignment="1">
      <alignment horizontal="center" wrapText="1"/>
    </xf>
    <xf numFmtId="37" fontId="4" fillId="6" borderId="35" xfId="0" quotePrefix="1" applyFont="1" applyFill="1" applyBorder="1" applyAlignment="1">
      <alignment horizontal="center" wrapText="1"/>
    </xf>
    <xf numFmtId="37" fontId="4" fillId="6" borderId="36" xfId="0" applyFont="1" applyFill="1" applyBorder="1" applyAlignment="1">
      <alignment horizontal="center" wrapText="1"/>
    </xf>
    <xf numFmtId="37" fontId="4" fillId="6" borderId="37" xfId="0" applyFont="1" applyFill="1" applyBorder="1" applyAlignment="1">
      <alignment horizontal="center" wrapText="1"/>
    </xf>
    <xf numFmtId="37" fontId="4" fillId="6" borderId="38" xfId="0" applyFont="1" applyFill="1" applyBorder="1" applyAlignment="1">
      <alignment horizontal="center" wrapText="1"/>
    </xf>
    <xf numFmtId="37" fontId="4" fillId="6" borderId="12" xfId="0" applyFont="1" applyFill="1" applyBorder="1" applyAlignment="1">
      <alignment horizontal="center" wrapText="1"/>
    </xf>
    <xf numFmtId="37" fontId="4" fillId="6" borderId="11" xfId="0" applyFont="1" applyFill="1" applyBorder="1" applyAlignment="1">
      <alignment horizontal="center" wrapText="1"/>
    </xf>
    <xf numFmtId="37" fontId="4" fillId="6" borderId="48" xfId="0" applyFont="1" applyFill="1" applyBorder="1" applyAlignment="1">
      <alignment horizontal="center" wrapText="1"/>
    </xf>
    <xf numFmtId="37" fontId="4" fillId="6" borderId="44" xfId="0" applyFont="1" applyFill="1" applyBorder="1" applyAlignment="1">
      <alignment horizontal="center" wrapText="1"/>
    </xf>
    <xf numFmtId="37" fontId="4" fillId="10" borderId="71" xfId="0" quotePrefix="1" applyFont="1" applyFill="1" applyBorder="1" applyAlignment="1">
      <alignment horizontal="center" wrapText="1"/>
    </xf>
    <xf numFmtId="37" fontId="4" fillId="10" borderId="12" xfId="0" applyFont="1" applyFill="1" applyBorder="1" applyAlignment="1">
      <alignment horizontal="center" wrapText="1"/>
    </xf>
    <xf numFmtId="37" fontId="4" fillId="10" borderId="48" xfId="0" applyFont="1" applyFill="1" applyBorder="1" applyAlignment="1">
      <alignment horizontal="center" wrapText="1"/>
    </xf>
    <xf numFmtId="37" fontId="4" fillId="10" borderId="20" xfId="0" applyFont="1" applyFill="1" applyBorder="1" applyAlignment="1">
      <alignment horizontal="center" wrapText="1"/>
    </xf>
    <xf numFmtId="37" fontId="4" fillId="10" borderId="3" xfId="0" applyFont="1" applyFill="1" applyBorder="1" applyAlignment="1">
      <alignment horizontal="center" wrapText="1"/>
    </xf>
    <xf numFmtId="37" fontId="4" fillId="10" borderId="10" xfId="0" applyFont="1" applyFill="1" applyBorder="1" applyAlignment="1">
      <alignment horizontal="center" wrapText="1"/>
    </xf>
    <xf numFmtId="37" fontId="4" fillId="6" borderId="15" xfId="0" applyFont="1" applyFill="1" applyBorder="1" applyAlignment="1">
      <alignment horizontal="center" wrapText="1"/>
    </xf>
    <xf numFmtId="37" fontId="4" fillId="6" borderId="31" xfId="0" applyFont="1" applyFill="1" applyBorder="1" applyAlignment="1">
      <alignment horizontal="center" wrapText="1"/>
    </xf>
    <xf numFmtId="37" fontId="4" fillId="6" borderId="0" xfId="0" applyFont="1" applyFill="1" applyBorder="1" applyAlignment="1">
      <alignment horizontal="center" wrapText="1"/>
    </xf>
    <xf numFmtId="37" fontId="4" fillId="6" borderId="6" xfId="0" applyFont="1" applyFill="1" applyBorder="1" applyAlignment="1">
      <alignment horizontal="center" wrapText="1"/>
    </xf>
    <xf numFmtId="37" fontId="4" fillId="6" borderId="16" xfId="0" applyFont="1" applyFill="1" applyBorder="1" applyAlignment="1">
      <alignment horizontal="center" wrapText="1"/>
    </xf>
    <xf numFmtId="37" fontId="4" fillId="6" borderId="44" xfId="0" applyFont="1" applyFill="1" applyBorder="1" applyAlignment="1">
      <alignment horizontal="center"/>
    </xf>
    <xf numFmtId="37" fontId="4" fillId="6" borderId="72" xfId="0" quotePrefix="1" applyFont="1" applyFill="1" applyBorder="1" applyAlignment="1">
      <alignment horizontal="center" wrapText="1"/>
    </xf>
    <xf numFmtId="37" fontId="4" fillId="6" borderId="14" xfId="0" applyFont="1" applyFill="1" applyBorder="1" applyAlignment="1">
      <alignment horizontal="center"/>
    </xf>
    <xf numFmtId="37" fontId="4" fillId="6" borderId="2" xfId="0" applyFont="1" applyFill="1" applyBorder="1" applyAlignment="1">
      <alignment horizontal="center"/>
    </xf>
    <xf numFmtId="37" fontId="4" fillId="6" borderId="5" xfId="0" applyFont="1" applyFill="1" applyBorder="1" applyAlignment="1">
      <alignment horizontal="center"/>
    </xf>
    <xf numFmtId="37" fontId="4" fillId="6" borderId="36" xfId="0" quotePrefix="1" applyFont="1" applyFill="1" applyBorder="1" applyAlignment="1">
      <alignment horizontal="center" wrapText="1"/>
    </xf>
    <xf numFmtId="37" fontId="4" fillId="6" borderId="37" xfId="0" quotePrefix="1" applyFont="1" applyFill="1" applyBorder="1" applyAlignment="1">
      <alignment horizontal="center" wrapText="1"/>
    </xf>
    <xf numFmtId="37" fontId="4" fillId="6" borderId="38" xfId="0" quotePrefix="1" applyFont="1" applyFill="1" applyBorder="1" applyAlignment="1">
      <alignment horizontal="center" wrapText="1"/>
    </xf>
    <xf numFmtId="37" fontId="4" fillId="0" borderId="4" xfId="0" quotePrefix="1" applyFont="1" applyBorder="1" applyAlignment="1">
      <alignment horizontal="center" wrapText="1"/>
    </xf>
    <xf numFmtId="37" fontId="4" fillId="0" borderId="9" xfId="0" applyFont="1" applyBorder="1" applyAlignment="1">
      <alignment horizontal="center" wrapText="1"/>
    </xf>
    <xf numFmtId="37" fontId="4" fillId="0" borderId="4" xfId="0" applyFont="1" applyBorder="1" applyAlignment="1">
      <alignment horizontal="center" wrapText="1"/>
    </xf>
    <xf numFmtId="37" fontId="4" fillId="9" borderId="20" xfId="0" applyFont="1" applyFill="1" applyBorder="1" applyAlignment="1">
      <alignment horizontal="center"/>
    </xf>
    <xf numFmtId="37" fontId="4" fillId="9" borderId="3" xfId="0" applyFont="1" applyFill="1" applyBorder="1" applyAlignment="1">
      <alignment horizontal="center"/>
    </xf>
    <xf numFmtId="37" fontId="4" fillId="9" borderId="10" xfId="0" applyFont="1" applyFill="1" applyBorder="1" applyAlignment="1">
      <alignment horizontal="center"/>
    </xf>
    <xf numFmtId="37" fontId="4" fillId="9" borderId="14" xfId="0" quotePrefix="1" applyFont="1" applyFill="1" applyBorder="1" applyAlignment="1">
      <alignment horizontal="center" wrapText="1"/>
    </xf>
    <xf numFmtId="37" fontId="4" fillId="9" borderId="5" xfId="0" applyFont="1" applyFill="1" applyBorder="1" applyAlignment="1">
      <alignment horizontal="center" wrapText="1"/>
    </xf>
    <xf numFmtId="37" fontId="4" fillId="9" borderId="20" xfId="0" applyFont="1" applyFill="1" applyBorder="1" applyAlignment="1">
      <alignment horizontal="center" wrapText="1"/>
    </xf>
    <xf numFmtId="37" fontId="4" fillId="9" borderId="10" xfId="0" applyFont="1" applyFill="1" applyBorder="1" applyAlignment="1">
      <alignment horizontal="center" wrapText="1"/>
    </xf>
    <xf numFmtId="37" fontId="4" fillId="6" borderId="17" xfId="0" applyFont="1" applyFill="1" applyBorder="1" applyAlignment="1">
      <alignment horizontal="center"/>
    </xf>
    <xf numFmtId="37" fontId="4" fillId="6" borderId="13" xfId="0" applyFont="1" applyFill="1" applyBorder="1" applyAlignment="1">
      <alignment horizontal="center"/>
    </xf>
    <xf numFmtId="37" fontId="4" fillId="6" borderId="18" xfId="0" applyFont="1" applyFill="1" applyBorder="1" applyAlignment="1">
      <alignment horizontal="center"/>
    </xf>
    <xf numFmtId="37" fontId="4" fillId="6" borderId="37" xfId="0" applyFont="1" applyFill="1" applyBorder="1" applyAlignment="1">
      <alignment horizontal="center"/>
    </xf>
    <xf numFmtId="37" fontId="4" fillId="6" borderId="11" xfId="0" applyFont="1" applyFill="1" applyBorder="1" applyAlignment="1">
      <alignment horizontal="center"/>
    </xf>
    <xf numFmtId="37" fontId="4" fillId="6" borderId="38" xfId="0" applyFont="1" applyFill="1" applyBorder="1" applyAlignment="1">
      <alignment horizontal="center"/>
    </xf>
    <xf numFmtId="37" fontId="4" fillId="6" borderId="1" xfId="0" applyFont="1" applyFill="1" applyBorder="1" applyAlignment="1">
      <alignment horizontal="center" wrapText="1"/>
    </xf>
    <xf numFmtId="37" fontId="4" fillId="0" borderId="24" xfId="0" quotePrefix="1" applyFont="1" applyFill="1" applyBorder="1" applyAlignment="1">
      <alignment horizontal="center" wrapText="1"/>
    </xf>
    <xf numFmtId="37" fontId="4" fillId="0" borderId="24" xfId="0" applyFont="1" applyFill="1" applyBorder="1" applyAlignment="1">
      <alignment horizontal="center" wrapText="1"/>
    </xf>
    <xf numFmtId="37" fontId="4" fillId="0" borderId="8" xfId="0" applyFont="1" applyFill="1" applyBorder="1" applyAlignment="1">
      <alignment horizontal="center" wrapText="1"/>
    </xf>
    <xf numFmtId="49" fontId="7" fillId="0" borderId="0" xfId="0" quotePrefix="1" applyNumberFormat="1" applyFont="1" applyFill="1" applyAlignment="1">
      <alignment horizontal="left" wrapText="1"/>
    </xf>
    <xf numFmtId="37" fontId="4" fillId="6" borderId="73" xfId="0" applyFont="1" applyFill="1" applyBorder="1" applyAlignment="1">
      <alignment horizontal="center" vertical="center"/>
    </xf>
    <xf numFmtId="37" fontId="4" fillId="6" borderId="30" xfId="0" applyFont="1" applyFill="1" applyBorder="1" applyAlignment="1">
      <alignment horizontal="center" vertical="center"/>
    </xf>
    <xf numFmtId="37" fontId="4" fillId="6" borderId="74" xfId="0" applyFont="1" applyFill="1" applyBorder="1" applyAlignment="1">
      <alignment horizontal="center" vertical="center"/>
    </xf>
    <xf numFmtId="37" fontId="4" fillId="6" borderId="17" xfId="0" applyFont="1" applyFill="1" applyBorder="1" applyAlignment="1">
      <alignment horizontal="center" vertical="center"/>
    </xf>
    <xf numFmtId="37" fontId="4" fillId="6" borderId="13" xfId="0" applyFont="1" applyFill="1" applyBorder="1" applyAlignment="1">
      <alignment horizontal="center" vertical="center"/>
    </xf>
    <xf numFmtId="37" fontId="4" fillId="6" borderId="18" xfId="0" applyFont="1" applyFill="1" applyBorder="1" applyAlignment="1">
      <alignment horizontal="center" vertical="center"/>
    </xf>
    <xf numFmtId="37" fontId="4" fillId="0" borderId="15" xfId="0" applyFont="1" applyFill="1" applyBorder="1" applyAlignment="1">
      <alignment horizontal="center" wrapText="1"/>
    </xf>
    <xf numFmtId="37" fontId="4" fillId="0" borderId="37" xfId="0" applyFont="1" applyFill="1" applyBorder="1" applyAlignment="1">
      <alignment horizontal="center" wrapText="1"/>
    </xf>
    <xf numFmtId="37" fontId="4" fillId="0" borderId="7" xfId="0" quotePrefix="1" applyFont="1" applyBorder="1" applyAlignment="1">
      <alignment horizontal="center" wrapText="1"/>
    </xf>
    <xf numFmtId="37" fontId="4" fillId="0" borderId="24" xfId="0" applyFont="1" applyBorder="1" applyAlignment="1">
      <alignment horizontal="center" wrapText="1"/>
    </xf>
    <xf numFmtId="37" fontId="4" fillId="0" borderId="8" xfId="0" applyFont="1" applyBorder="1" applyAlignment="1">
      <alignment horizontal="center" wrapText="1"/>
    </xf>
    <xf numFmtId="37" fontId="4" fillId="0" borderId="8" xfId="0" quotePrefix="1" applyFont="1" applyFill="1" applyBorder="1" applyAlignment="1">
      <alignment horizontal="center" wrapText="1"/>
    </xf>
    <xf numFmtId="37" fontId="7" fillId="0" borderId="12" xfId="0" applyFont="1" applyBorder="1" applyAlignment="1">
      <alignment horizontal="left" vertical="top" wrapText="1"/>
    </xf>
    <xf numFmtId="37" fontId="7" fillId="0" borderId="0" xfId="0" applyFont="1" applyAlignment="1">
      <alignment horizontal="left" vertical="top" wrapText="1"/>
    </xf>
    <xf numFmtId="37" fontId="4" fillId="6" borderId="1" xfId="0" quotePrefix="1" applyFont="1" applyFill="1" applyBorder="1" applyAlignment="1">
      <alignment horizontal="center" wrapText="1"/>
    </xf>
    <xf numFmtId="37" fontId="4" fillId="6" borderId="9" xfId="0" quotePrefix="1" applyFont="1" applyFill="1" applyBorder="1" applyAlignment="1">
      <alignment horizontal="center" wrapText="1"/>
    </xf>
    <xf numFmtId="37" fontId="4" fillId="6" borderId="69" xfId="0" applyFont="1" applyFill="1" applyBorder="1" applyAlignment="1">
      <alignment horizontal="center"/>
    </xf>
    <xf numFmtId="37" fontId="4" fillId="6" borderId="24" xfId="0" applyFont="1" applyFill="1" applyBorder="1" applyAlignment="1">
      <alignment horizontal="center" wrapText="1"/>
    </xf>
    <xf numFmtId="37" fontId="4" fillId="0" borderId="12" xfId="0" applyFont="1" applyBorder="1" applyAlignment="1">
      <alignment horizontal="center" vertical="center"/>
    </xf>
    <xf numFmtId="37" fontId="4" fillId="0" borderId="11" xfId="0" applyFont="1" applyBorder="1" applyAlignment="1">
      <alignment horizontal="center" vertical="center"/>
    </xf>
    <xf numFmtId="37" fontId="4" fillId="6" borderId="24" xfId="0" quotePrefix="1" applyFont="1" applyFill="1" applyBorder="1" applyAlignment="1">
      <alignment horizontal="center" wrapText="1"/>
    </xf>
    <xf numFmtId="37" fontId="4" fillId="6" borderId="8" xfId="0" quotePrefix="1" applyFont="1" applyFill="1" applyBorder="1" applyAlignment="1">
      <alignment horizontal="center" wrapText="1"/>
    </xf>
    <xf numFmtId="37" fontId="4" fillId="6" borderId="75" xfId="0" quotePrefix="1" applyFont="1" applyFill="1" applyBorder="1" applyAlignment="1">
      <alignment horizontal="center" wrapText="1"/>
    </xf>
    <xf numFmtId="37" fontId="4" fillId="6" borderId="66" xfId="0" quotePrefix="1" applyFont="1" applyFill="1" applyBorder="1" applyAlignment="1">
      <alignment horizontal="center" wrapText="1"/>
    </xf>
    <xf numFmtId="37" fontId="4" fillId="0" borderId="12" xfId="0" quotePrefix="1" applyFont="1" applyBorder="1" applyAlignment="1">
      <alignment horizontal="center" vertical="center"/>
    </xf>
    <xf numFmtId="37" fontId="4" fillId="0" borderId="11" xfId="0" quotePrefix="1" applyFont="1" applyBorder="1" applyAlignment="1">
      <alignment horizontal="center" vertical="center"/>
    </xf>
    <xf numFmtId="37" fontId="4" fillId="6" borderId="62" xfId="0" quotePrefix="1" applyFont="1" applyFill="1" applyBorder="1" applyAlignment="1">
      <alignment horizontal="center" wrapText="1"/>
    </xf>
    <xf numFmtId="37" fontId="4" fillId="6" borderId="63" xfId="0" applyFont="1" applyFill="1" applyBorder="1" applyAlignment="1">
      <alignment horizontal="center" wrapText="1"/>
    </xf>
    <xf numFmtId="37" fontId="4" fillId="7" borderId="12" xfId="0" applyFont="1" applyFill="1" applyBorder="1" applyAlignment="1">
      <alignment horizontal="center"/>
    </xf>
    <xf numFmtId="37" fontId="4" fillId="7" borderId="48" xfId="0" applyFont="1" applyFill="1" applyBorder="1" applyAlignment="1">
      <alignment horizontal="center"/>
    </xf>
    <xf numFmtId="0" fontId="7" fillId="0" borderId="12" xfId="5" quotePrefix="1" applyFont="1" applyBorder="1" applyAlignment="1">
      <alignment horizontal="left" vertical="top" wrapText="1"/>
    </xf>
    <xf numFmtId="0" fontId="7" fillId="0" borderId="0" xfId="5" quotePrefix="1" applyFont="1" applyAlignment="1">
      <alignment horizontal="left" vertical="top" wrapText="1"/>
    </xf>
    <xf numFmtId="37" fontId="4" fillId="7" borderId="41" xfId="0" quotePrefix="1" applyFont="1" applyFill="1" applyBorder="1" applyAlignment="1">
      <alignment horizontal="center" wrapText="1"/>
    </xf>
    <xf numFmtId="37" fontId="4" fillId="7" borderId="22" xfId="0" quotePrefix="1" applyFont="1" applyFill="1" applyBorder="1" applyAlignment="1">
      <alignment horizontal="center" wrapText="1"/>
    </xf>
    <xf numFmtId="37" fontId="4" fillId="7" borderId="42" xfId="0" quotePrefix="1" applyFont="1" applyFill="1" applyBorder="1" applyAlignment="1">
      <alignment horizontal="center" wrapText="1"/>
    </xf>
    <xf numFmtId="37" fontId="4" fillId="9" borderId="1" xfId="0" quotePrefix="1" applyFont="1" applyFill="1" applyBorder="1" applyAlignment="1">
      <alignment horizontal="center" wrapText="1"/>
    </xf>
    <xf numFmtId="37" fontId="4" fillId="9" borderId="9" xfId="0" quotePrefix="1" applyFont="1" applyFill="1" applyBorder="1" applyAlignment="1">
      <alignment horizontal="center" wrapText="1"/>
    </xf>
    <xf numFmtId="37" fontId="4" fillId="9" borderId="28" xfId="0" quotePrefix="1" applyFont="1" applyFill="1" applyBorder="1" applyAlignment="1">
      <alignment horizontal="center" wrapText="1"/>
    </xf>
    <xf numFmtId="37" fontId="4" fillId="9" borderId="29" xfId="0" quotePrefix="1" applyFont="1" applyFill="1" applyBorder="1" applyAlignment="1">
      <alignment horizontal="center" wrapText="1"/>
    </xf>
    <xf numFmtId="49" fontId="7" fillId="0" borderId="0" xfId="5" quotePrefix="1" applyNumberFormat="1" applyFont="1" applyAlignment="1">
      <alignment horizontal="left" wrapText="1"/>
    </xf>
    <xf numFmtId="37" fontId="4" fillId="6" borderId="24" xfId="0" quotePrefix="1" applyFont="1" applyFill="1" applyBorder="1" applyAlignment="1">
      <alignment horizontal="center"/>
    </xf>
    <xf numFmtId="37" fontId="4" fillId="6" borderId="8" xfId="0" applyFont="1" applyFill="1" applyBorder="1" applyAlignment="1">
      <alignment horizontal="center"/>
    </xf>
    <xf numFmtId="37" fontId="4" fillId="3" borderId="14" xfId="0" quotePrefix="1" applyFont="1" applyFill="1" applyBorder="1" applyAlignment="1">
      <alignment horizontal="center"/>
    </xf>
    <xf numFmtId="37" fontId="4" fillId="3" borderId="2" xfId="0" quotePrefix="1" applyFont="1" applyFill="1" applyBorder="1" applyAlignment="1">
      <alignment horizontal="center"/>
    </xf>
    <xf numFmtId="37" fontId="4" fillId="3" borderId="5" xfId="0" quotePrefix="1" applyFont="1" applyFill="1" applyBorder="1" applyAlignment="1">
      <alignment horizontal="center"/>
    </xf>
    <xf numFmtId="37" fontId="4" fillId="6" borderId="7" xfId="0" quotePrefix="1" applyFont="1" applyFill="1" applyBorder="1" applyAlignment="1">
      <alignment horizontal="center" wrapText="1"/>
    </xf>
    <xf numFmtId="0" fontId="7" fillId="0" borderId="12" xfId="5" quotePrefix="1" applyFont="1" applyBorder="1" applyAlignment="1">
      <alignment horizontal="left" wrapText="1"/>
    </xf>
    <xf numFmtId="0" fontId="7" fillId="0" borderId="0" xfId="5" quotePrefix="1" applyFont="1" applyAlignment="1">
      <alignment horizontal="left" wrapText="1"/>
    </xf>
    <xf numFmtId="37" fontId="4" fillId="0" borderId="12" xfId="0" quotePrefix="1" applyFont="1" applyBorder="1" applyAlignment="1">
      <alignment horizontal="right" vertical="center"/>
    </xf>
    <xf numFmtId="0" fontId="4" fillId="9" borderId="1" xfId="5" quotePrefix="1" applyFont="1" applyFill="1" applyBorder="1" applyAlignment="1">
      <alignment horizontal="center" wrapText="1"/>
    </xf>
    <xf numFmtId="0" fontId="4" fillId="9" borderId="9" xfId="5" quotePrefix="1" applyFont="1" applyFill="1" applyBorder="1" applyAlignment="1">
      <alignment horizontal="center" wrapText="1"/>
    </xf>
    <xf numFmtId="37" fontId="4" fillId="9" borderId="46" xfId="0" quotePrefix="1" applyFont="1" applyFill="1" applyBorder="1" applyAlignment="1">
      <alignment horizontal="center" wrapText="1"/>
    </xf>
    <xf numFmtId="37" fontId="4" fillId="9" borderId="47" xfId="0" quotePrefix="1" applyFont="1" applyFill="1" applyBorder="1" applyAlignment="1">
      <alignment horizontal="center" wrapText="1"/>
    </xf>
    <xf numFmtId="37" fontId="4" fillId="9" borderId="76" xfId="0" quotePrefix="1" applyFont="1" applyFill="1" applyBorder="1" applyAlignment="1">
      <alignment horizontal="center" wrapText="1"/>
    </xf>
    <xf numFmtId="37" fontId="4" fillId="9" borderId="77" xfId="0" quotePrefix="1" applyFont="1" applyFill="1" applyBorder="1" applyAlignment="1">
      <alignment horizontal="center" wrapText="1"/>
    </xf>
    <xf numFmtId="37" fontId="4" fillId="9" borderId="24" xfId="0" quotePrefix="1" applyFont="1" applyFill="1" applyBorder="1" applyAlignment="1">
      <alignment horizontal="center" wrapText="1"/>
    </xf>
    <xf numFmtId="37" fontId="4" fillId="9" borderId="8" xfId="0" quotePrefix="1" applyFont="1" applyFill="1" applyBorder="1" applyAlignment="1">
      <alignment horizontal="center" wrapText="1"/>
    </xf>
    <xf numFmtId="37" fontId="4" fillId="10" borderId="6" xfId="0" quotePrefix="1" applyNumberFormat="1" applyFont="1" applyFill="1" applyBorder="1" applyAlignment="1" applyProtection="1">
      <alignment horizontal="center" wrapText="1"/>
    </xf>
    <xf numFmtId="37" fontId="4" fillId="10" borderId="10" xfId="0" quotePrefix="1" applyNumberFormat="1" applyFont="1" applyFill="1" applyBorder="1" applyAlignment="1" applyProtection="1">
      <alignment horizontal="center" wrapText="1"/>
    </xf>
    <xf numFmtId="37" fontId="4" fillId="10" borderId="7" xfId="0" quotePrefix="1" applyNumberFormat="1" applyFont="1" applyFill="1" applyBorder="1" applyAlignment="1" applyProtection="1">
      <alignment horizontal="center" wrapText="1"/>
    </xf>
    <xf numFmtId="37" fontId="4" fillId="10" borderId="24" xfId="0" quotePrefix="1" applyNumberFormat="1" applyFont="1" applyFill="1" applyBorder="1" applyAlignment="1" applyProtection="1">
      <alignment horizontal="center" wrapText="1"/>
    </xf>
    <xf numFmtId="37" fontId="4" fillId="10" borderId="8" xfId="0" quotePrefix="1" applyNumberFormat="1" applyFont="1" applyFill="1" applyBorder="1" applyAlignment="1" applyProtection="1">
      <alignment horizontal="center" wrapText="1"/>
    </xf>
    <xf numFmtId="37" fontId="4" fillId="6" borderId="4" xfId="0" quotePrefix="1" applyNumberFormat="1" applyFont="1" applyFill="1" applyBorder="1" applyAlignment="1" applyProtection="1">
      <alignment horizontal="center" wrapText="1"/>
    </xf>
    <xf numFmtId="37" fontId="4" fillId="6" borderId="1" xfId="0" applyNumberFormat="1" applyFont="1" applyFill="1" applyBorder="1" applyAlignment="1" applyProtection="1">
      <alignment horizontal="center" wrapText="1"/>
    </xf>
    <xf numFmtId="37" fontId="4" fillId="6" borderId="9" xfId="0" applyNumberFormat="1" applyFont="1" applyFill="1" applyBorder="1" applyAlignment="1" applyProtection="1">
      <alignment horizontal="center" wrapText="1"/>
    </xf>
    <xf numFmtId="37" fontId="4" fillId="10" borderId="1" xfId="0" quotePrefix="1" applyFont="1" applyFill="1" applyBorder="1" applyAlignment="1">
      <alignment horizontal="center" wrapText="1"/>
    </xf>
    <xf numFmtId="37" fontId="4" fillId="10" borderId="9" xfId="0" applyFont="1" applyFill="1" applyBorder="1" applyAlignment="1">
      <alignment horizontal="center" wrapText="1"/>
    </xf>
    <xf numFmtId="37" fontId="4" fillId="11" borderId="62" xfId="0" quotePrefix="1" applyFont="1" applyFill="1" applyBorder="1" applyAlignment="1">
      <alignment horizontal="center" wrapText="1"/>
    </xf>
    <xf numFmtId="37" fontId="4" fillId="11" borderId="63" xfId="0" applyFont="1" applyFill="1" applyBorder="1" applyAlignment="1">
      <alignment horizontal="center" wrapText="1"/>
    </xf>
    <xf numFmtId="0" fontId="7" fillId="0" borderId="0" xfId="0" quotePrefix="1" applyNumberFormat="1" applyFont="1" applyAlignment="1">
      <alignment horizontal="left" vertical="top" wrapText="1"/>
    </xf>
    <xf numFmtId="37" fontId="4" fillId="0" borderId="17" xfId="0" applyFont="1" applyBorder="1" applyAlignment="1">
      <alignment horizontal="center"/>
    </xf>
    <xf numFmtId="37" fontId="4" fillId="0" borderId="13" xfId="0" applyFont="1" applyBorder="1" applyAlignment="1">
      <alignment horizontal="center"/>
    </xf>
    <xf numFmtId="37" fontId="4" fillId="0" borderId="18" xfId="0" applyFont="1" applyBorder="1" applyAlignment="1">
      <alignment horizontal="center"/>
    </xf>
    <xf numFmtId="37" fontId="4" fillId="6" borderId="14" xfId="0" quotePrefix="1" applyFont="1" applyFill="1" applyBorder="1" applyAlignment="1">
      <alignment horizontal="center" vertical="center" wrapText="1"/>
    </xf>
    <xf numFmtId="37" fontId="4" fillId="6" borderId="2" xfId="0" applyFont="1" applyFill="1" applyBorder="1" applyAlignment="1">
      <alignment horizontal="center" vertical="center" wrapText="1"/>
    </xf>
    <xf numFmtId="37" fontId="4" fillId="6" borderId="5" xfId="0" applyFont="1" applyFill="1" applyBorder="1" applyAlignment="1">
      <alignment horizontal="center" vertical="center" wrapText="1"/>
    </xf>
    <xf numFmtId="37" fontId="4" fillId="6" borderId="20" xfId="0" applyFont="1" applyFill="1" applyBorder="1" applyAlignment="1">
      <alignment horizontal="center" vertical="center" wrapText="1"/>
    </xf>
    <xf numFmtId="37" fontId="4" fillId="6" borderId="3" xfId="0" applyFont="1" applyFill="1" applyBorder="1" applyAlignment="1">
      <alignment horizontal="center" vertical="center" wrapText="1"/>
    </xf>
    <xf numFmtId="37" fontId="4" fillId="6" borderId="10" xfId="0" applyFont="1" applyFill="1" applyBorder="1" applyAlignment="1">
      <alignment horizontal="center" vertical="center" wrapText="1"/>
    </xf>
    <xf numFmtId="37" fontId="4" fillId="0" borderId="4" xfId="0" applyFont="1" applyBorder="1" applyAlignment="1">
      <alignment horizontal="center" vertical="center" wrapText="1"/>
    </xf>
    <xf numFmtId="37" fontId="4" fillId="0" borderId="1" xfId="0" applyFont="1" applyBorder="1" applyAlignment="1">
      <alignment horizontal="center" vertical="center" wrapText="1"/>
    </xf>
    <xf numFmtId="37" fontId="4" fillId="0" borderId="9" xfId="0" applyFont="1" applyBorder="1" applyAlignment="1">
      <alignment horizontal="center" vertical="center" wrapText="1"/>
    </xf>
    <xf numFmtId="37" fontId="4" fillId="0" borderId="62" xfId="0" quotePrefix="1" applyFont="1" applyBorder="1" applyAlignment="1">
      <alignment horizontal="center" wrapText="1"/>
    </xf>
    <xf numFmtId="37" fontId="4" fillId="0" borderId="63" xfId="0" quotePrefix="1" applyFont="1" applyBorder="1" applyAlignment="1">
      <alignment horizontal="center" wrapText="1"/>
    </xf>
    <xf numFmtId="37" fontId="4" fillId="0" borderId="1" xfId="0" quotePrefix="1" applyFont="1" applyBorder="1" applyAlignment="1">
      <alignment horizontal="center" wrapText="1"/>
    </xf>
    <xf numFmtId="37" fontId="4" fillId="0" borderId="9" xfId="0" quotePrefix="1" applyFont="1" applyBorder="1" applyAlignment="1">
      <alignment horizontal="center" wrapText="1"/>
    </xf>
    <xf numFmtId="37" fontId="4" fillId="6" borderId="14" xfId="0" applyFont="1" applyFill="1" applyBorder="1" applyAlignment="1">
      <alignment horizontal="center" vertical="center" wrapText="1"/>
    </xf>
    <xf numFmtId="37" fontId="4" fillId="0" borderId="17" xfId="0" applyFont="1" applyBorder="1" applyAlignment="1">
      <alignment horizontal="center" vertical="center"/>
    </xf>
    <xf numFmtId="37" fontId="4" fillId="0" borderId="13" xfId="0" applyFont="1" applyBorder="1" applyAlignment="1">
      <alignment horizontal="center" vertical="center"/>
    </xf>
    <xf numFmtId="37" fontId="4" fillId="0" borderId="18" xfId="0" applyFont="1" applyBorder="1" applyAlignment="1">
      <alignment horizontal="center" vertical="center"/>
    </xf>
    <xf numFmtId="0" fontId="7" fillId="0" borderId="0" xfId="2" quotePrefix="1" applyNumberFormat="1" applyFont="1" applyAlignment="1">
      <alignment horizontal="left" wrapText="1"/>
    </xf>
    <xf numFmtId="37" fontId="4" fillId="0" borderId="62" xfId="0" applyFont="1" applyBorder="1" applyAlignment="1">
      <alignment horizontal="center"/>
    </xf>
    <xf numFmtId="37" fontId="4" fillId="0" borderId="63" xfId="0" applyFont="1" applyBorder="1" applyAlignment="1">
      <alignment horizontal="center"/>
    </xf>
    <xf numFmtId="37" fontId="4" fillId="0" borderId="24" xfId="0" quotePrefix="1" applyFont="1" applyBorder="1" applyAlignment="1">
      <alignment horizontal="center" wrapText="1"/>
    </xf>
    <xf numFmtId="37" fontId="4" fillId="0" borderId="8" xfId="0" quotePrefix="1" applyFont="1" applyBorder="1" applyAlignment="1">
      <alignment horizontal="center" wrapText="1"/>
    </xf>
    <xf numFmtId="37" fontId="4" fillId="0" borderId="57" xfId="0" quotePrefix="1" applyFont="1" applyBorder="1" applyAlignment="1">
      <alignment horizontal="center" wrapText="1"/>
    </xf>
    <xf numFmtId="37" fontId="4" fillId="0" borderId="14" xfId="0" applyFont="1" applyBorder="1" applyAlignment="1">
      <alignment horizontal="center" vertical="center"/>
    </xf>
    <xf numFmtId="37" fontId="4" fillId="0" borderId="2" xfId="0" applyFont="1" applyBorder="1" applyAlignment="1">
      <alignment horizontal="center" vertical="center"/>
    </xf>
    <xf numFmtId="37" fontId="4" fillId="0" borderId="5" xfId="0" applyFont="1" applyBorder="1" applyAlignment="1">
      <alignment horizontal="center" vertical="center"/>
    </xf>
    <xf numFmtId="49" fontId="7" fillId="0" borderId="0" xfId="0" quotePrefix="1" applyNumberFormat="1" applyFont="1" applyAlignment="1">
      <alignment horizontal="left" wrapText="1"/>
    </xf>
    <xf numFmtId="49" fontId="7" fillId="0" borderId="12" xfId="0" quotePrefix="1" applyNumberFormat="1" applyFont="1" applyBorder="1" applyAlignment="1">
      <alignment horizontal="left" wrapText="1"/>
    </xf>
    <xf numFmtId="37" fontId="4" fillId="0" borderId="1" xfId="0" applyFont="1" applyBorder="1" applyAlignment="1">
      <alignment horizontal="center" wrapText="1"/>
    </xf>
    <xf numFmtId="0" fontId="7" fillId="0" borderId="12" xfId="0" quotePrefix="1" applyNumberFormat="1" applyFont="1" applyBorder="1" applyAlignment="1">
      <alignment horizontal="left" vertical="center" wrapText="1"/>
    </xf>
    <xf numFmtId="0" fontId="7" fillId="0" borderId="0" xfId="0" quotePrefix="1" applyNumberFormat="1" applyFont="1" applyBorder="1" applyAlignment="1">
      <alignment horizontal="left" vertical="center" wrapText="1"/>
    </xf>
    <xf numFmtId="37" fontId="4" fillId="6" borderId="32" xfId="8" applyNumberFormat="1" applyFont="1" applyFill="1" applyBorder="1" applyAlignment="1">
      <alignment horizontal="center" vertical="center"/>
    </xf>
    <xf numFmtId="37" fontId="4" fillId="6" borderId="25" xfId="8" applyNumberFormat="1" applyFont="1" applyFill="1" applyBorder="1" applyAlignment="1">
      <alignment horizontal="center" vertical="center"/>
    </xf>
    <xf numFmtId="37" fontId="4" fillId="6" borderId="27" xfId="8" applyNumberFormat="1" applyFont="1" applyFill="1" applyBorder="1" applyAlignment="1">
      <alignment horizontal="center" vertical="center"/>
    </xf>
    <xf numFmtId="37" fontId="4" fillId="7" borderId="32" xfId="0" applyFont="1" applyFill="1" applyBorder="1" applyAlignment="1">
      <alignment horizontal="center" vertical="center"/>
    </xf>
    <xf numFmtId="37" fontId="4" fillId="7" borderId="25" xfId="0" applyFont="1" applyFill="1" applyBorder="1" applyAlignment="1">
      <alignment horizontal="center" vertical="center"/>
    </xf>
    <xf numFmtId="37" fontId="4" fillId="7" borderId="27" xfId="0" applyFont="1" applyFill="1" applyBorder="1" applyAlignment="1">
      <alignment horizontal="center" vertical="center"/>
    </xf>
    <xf numFmtId="0" fontId="7" fillId="0" borderId="0" xfId="0" quotePrefix="1" applyNumberFormat="1" applyFont="1" applyBorder="1" applyAlignment="1">
      <alignment horizontal="left" wrapText="1"/>
    </xf>
    <xf numFmtId="37" fontId="7" fillId="0" borderId="2" xfId="9" quotePrefix="1" applyFont="1" applyBorder="1" applyAlignment="1">
      <alignment horizontal="left" vertical="center" wrapText="1"/>
    </xf>
    <xf numFmtId="37" fontId="7" fillId="0" borderId="0" xfId="9" quotePrefix="1" applyFont="1" applyAlignment="1">
      <alignment horizontal="left" vertical="center" wrapText="1"/>
    </xf>
    <xf numFmtId="37" fontId="4" fillId="8" borderId="4" xfId="0" applyFont="1" applyFill="1" applyBorder="1" applyAlignment="1">
      <alignment horizontal="center" wrapText="1"/>
    </xf>
    <xf numFmtId="37" fontId="4" fillId="8" borderId="9" xfId="0" applyFont="1" applyFill="1" applyBorder="1" applyAlignment="1">
      <alignment horizontal="center" wrapText="1"/>
    </xf>
    <xf numFmtId="37" fontId="4" fillId="8" borderId="49" xfId="0" applyFont="1" applyFill="1" applyBorder="1" applyAlignment="1">
      <alignment horizontal="center" wrapText="1"/>
    </xf>
    <xf numFmtId="37" fontId="4" fillId="8" borderId="50" xfId="0" applyFont="1" applyFill="1" applyBorder="1" applyAlignment="1">
      <alignment horizontal="center" wrapText="1"/>
    </xf>
    <xf numFmtId="49" fontId="4" fillId="0" borderId="0" xfId="7" applyNumberFormat="1" applyFont="1" applyFill="1" applyBorder="1" applyAlignment="1" applyProtection="1">
      <alignment horizontal="center"/>
    </xf>
    <xf numFmtId="39" fontId="4" fillId="0" borderId="2" xfId="7" applyFont="1" applyBorder="1" applyAlignment="1">
      <alignment horizontal="center" vertical="center"/>
    </xf>
    <xf numFmtId="39" fontId="4" fillId="0" borderId="3" xfId="7" applyFont="1" applyBorder="1" applyAlignment="1">
      <alignment horizontal="center" vertical="center"/>
    </xf>
    <xf numFmtId="37" fontId="4" fillId="8" borderId="14" xfId="0" applyFont="1" applyFill="1" applyBorder="1" applyAlignment="1">
      <alignment horizontal="center" wrapText="1"/>
    </xf>
    <xf numFmtId="37" fontId="4" fillId="8" borderId="5" xfId="0" applyFont="1" applyFill="1" applyBorder="1" applyAlignment="1">
      <alignment horizontal="center" wrapText="1"/>
    </xf>
    <xf numFmtId="0" fontId="4" fillId="8" borderId="2" xfId="6" quotePrefix="1" applyFont="1" applyFill="1" applyBorder="1" applyAlignment="1">
      <alignment horizontal="center" wrapText="1"/>
    </xf>
    <xf numFmtId="0" fontId="4" fillId="8" borderId="5" xfId="6" applyFont="1" applyFill="1" applyBorder="1" applyAlignment="1">
      <alignment horizontal="center" wrapText="1"/>
    </xf>
    <xf numFmtId="0" fontId="4" fillId="8" borderId="0" xfId="6" applyFont="1" applyFill="1" applyBorder="1" applyAlignment="1">
      <alignment horizontal="center" wrapText="1"/>
    </xf>
    <xf numFmtId="0" fontId="4" fillId="8" borderId="6" xfId="6" applyFont="1" applyFill="1" applyBorder="1" applyAlignment="1">
      <alignment horizontal="center" wrapText="1"/>
    </xf>
    <xf numFmtId="0" fontId="4" fillId="8" borderId="3" xfId="6" applyFont="1" applyFill="1" applyBorder="1" applyAlignment="1">
      <alignment horizontal="center" wrapText="1"/>
    </xf>
    <xf numFmtId="0" fontId="4" fillId="8" borderId="10" xfId="6" applyFont="1" applyFill="1" applyBorder="1" applyAlignment="1">
      <alignment horizontal="center" wrapText="1"/>
    </xf>
    <xf numFmtId="0" fontId="4" fillId="8" borderId="35" xfId="6" quotePrefix="1" applyFont="1" applyFill="1" applyBorder="1" applyAlignment="1">
      <alignment horizontal="center" wrapText="1"/>
    </xf>
    <xf numFmtId="0" fontId="4" fillId="8" borderId="12" xfId="6" applyFont="1" applyFill="1" applyBorder="1" applyAlignment="1">
      <alignment horizontal="center" wrapText="1"/>
    </xf>
    <xf numFmtId="0" fontId="4" fillId="8" borderId="36" xfId="6" applyFont="1" applyFill="1" applyBorder="1" applyAlignment="1">
      <alignment horizontal="center" wrapText="1"/>
    </xf>
    <xf numFmtId="0" fontId="4" fillId="8" borderId="15" xfId="6" applyFont="1" applyFill="1" applyBorder="1" applyAlignment="1">
      <alignment horizontal="center" wrapText="1"/>
    </xf>
    <xf numFmtId="0" fontId="4" fillId="8" borderId="31" xfId="6" applyFont="1" applyFill="1" applyBorder="1" applyAlignment="1">
      <alignment horizontal="center" wrapText="1"/>
    </xf>
    <xf numFmtId="0" fontId="4" fillId="8" borderId="37" xfId="6" applyFont="1" applyFill="1" applyBorder="1" applyAlignment="1">
      <alignment horizontal="center" wrapText="1"/>
    </xf>
    <xf numFmtId="0" fontId="4" fillId="8" borderId="11" xfId="6" applyFont="1" applyFill="1" applyBorder="1" applyAlignment="1">
      <alignment horizontal="center" wrapText="1"/>
    </xf>
    <xf numFmtId="0" fontId="4" fillId="8" borderId="38" xfId="6" applyFont="1" applyFill="1" applyBorder="1" applyAlignment="1">
      <alignment horizontal="center" wrapText="1"/>
    </xf>
    <xf numFmtId="0" fontId="7" fillId="0" borderId="12" xfId="6" quotePrefix="1" applyFont="1" applyBorder="1" applyAlignment="1">
      <alignment horizontal="left" wrapText="1"/>
    </xf>
    <xf numFmtId="37" fontId="0" fillId="0" borderId="12" xfId="0" applyBorder="1" applyAlignment="1">
      <alignment horizontal="left"/>
    </xf>
    <xf numFmtId="37" fontId="0" fillId="0" borderId="0" xfId="0" applyAlignment="1">
      <alignment horizontal="left"/>
    </xf>
    <xf numFmtId="37" fontId="4" fillId="7" borderId="16" xfId="0" quotePrefix="1" applyFont="1" applyFill="1" applyBorder="1" applyAlignment="1">
      <alignment horizontal="center" wrapText="1"/>
    </xf>
    <xf numFmtId="37" fontId="4" fillId="7" borderId="6" xfId="0" applyFont="1" applyFill="1" applyBorder="1" applyAlignment="1">
      <alignment horizontal="center" wrapText="1"/>
    </xf>
    <xf numFmtId="37" fontId="4" fillId="7" borderId="20" xfId="0" applyFont="1" applyFill="1" applyBorder="1" applyAlignment="1">
      <alignment horizontal="center" wrapText="1"/>
    </xf>
    <xf numFmtId="37" fontId="4" fillId="7" borderId="10" xfId="0" applyFont="1" applyFill="1" applyBorder="1" applyAlignment="1">
      <alignment horizontal="center" wrapText="1"/>
    </xf>
    <xf numFmtId="37" fontId="4" fillId="7" borderId="14" xfId="0" quotePrefix="1" applyFont="1" applyFill="1" applyBorder="1" applyAlignment="1">
      <alignment horizontal="center" wrapText="1"/>
    </xf>
    <xf numFmtId="37" fontId="4" fillId="7" borderId="5" xfId="0" applyFont="1" applyFill="1" applyBorder="1" applyAlignment="1">
      <alignment horizontal="center" wrapText="1"/>
    </xf>
    <xf numFmtId="37" fontId="4" fillId="7" borderId="16" xfId="0" applyFont="1" applyFill="1" applyBorder="1" applyAlignment="1">
      <alignment horizontal="center" wrapText="1"/>
    </xf>
    <xf numFmtId="37" fontId="4" fillId="7" borderId="0" xfId="0" quotePrefix="1" applyFont="1" applyFill="1" applyBorder="1" applyAlignment="1">
      <alignment horizontal="center" wrapText="1"/>
    </xf>
    <xf numFmtId="37" fontId="4" fillId="7" borderId="3" xfId="0" applyFont="1" applyFill="1" applyBorder="1" applyAlignment="1">
      <alignment horizontal="center" wrapText="1"/>
    </xf>
    <xf numFmtId="37" fontId="4" fillId="7" borderId="35" xfId="0" quotePrefix="1" applyFont="1" applyFill="1" applyBorder="1" applyAlignment="1">
      <alignment horizontal="center" wrapText="1"/>
    </xf>
    <xf numFmtId="37" fontId="4" fillId="7" borderId="36" xfId="0" applyFont="1" applyFill="1" applyBorder="1" applyAlignment="1">
      <alignment horizontal="center" wrapText="1"/>
    </xf>
    <xf numFmtId="37" fontId="4" fillId="7" borderId="15" xfId="0" applyFont="1" applyFill="1" applyBorder="1" applyAlignment="1">
      <alignment horizontal="center" wrapText="1"/>
    </xf>
    <xf numFmtId="37" fontId="4" fillId="7" borderId="31" xfId="0" applyFont="1" applyFill="1" applyBorder="1" applyAlignment="1">
      <alignment horizontal="center" wrapText="1"/>
    </xf>
    <xf numFmtId="37" fontId="4" fillId="7" borderId="37" xfId="0" applyFont="1" applyFill="1" applyBorder="1" applyAlignment="1">
      <alignment horizontal="center" wrapText="1"/>
    </xf>
    <xf numFmtId="37" fontId="4" fillId="7" borderId="38" xfId="0" applyFont="1" applyFill="1" applyBorder="1" applyAlignment="1">
      <alignment horizontal="center" wrapText="1"/>
    </xf>
    <xf numFmtId="37" fontId="26" fillId="14" borderId="37" xfId="0" quotePrefix="1" applyFont="1" applyFill="1" applyBorder="1" applyAlignment="1">
      <alignment horizontal="center"/>
    </xf>
    <xf numFmtId="37" fontId="26" fillId="14" borderId="11" xfId="0" applyFont="1" applyFill="1" applyBorder="1" applyAlignment="1">
      <alignment horizontal="center"/>
    </xf>
    <xf numFmtId="37" fontId="26" fillId="14" borderId="38" xfId="0" applyFont="1" applyFill="1" applyBorder="1" applyAlignment="1">
      <alignment horizontal="center"/>
    </xf>
    <xf numFmtId="37" fontId="7" fillId="0" borderId="0" xfId="0" applyFont="1" applyAlignment="1">
      <alignment horizontal="center" wrapText="1"/>
    </xf>
  </cellXfs>
  <cellStyles count="10">
    <cellStyle name="BODY" xfId="1"/>
    <cellStyle name="Comma" xfId="2" builtinId="3"/>
    <cellStyle name="Comma_Direct Support" xfId="3"/>
    <cellStyle name="Hyperlink" xfId="4" builtinId="8"/>
    <cellStyle name="Normal" xfId="0" builtinId="0"/>
    <cellStyle name="Normal 2" xfId="9"/>
    <cellStyle name="Normal_06 07 new frame pages" xfId="5"/>
    <cellStyle name="Normal_Direct Support" xfId="6"/>
    <cellStyle name="Normal_Draft Personnel_ 10B" xfId="7"/>
    <cellStyle name="Percent" xfId="8" builtinId="5"/>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514350</xdr:colOff>
          <xdr:row>1</xdr:row>
          <xdr:rowOff>76200</xdr:rowOff>
        </xdr:from>
        <xdr:to>
          <xdr:col>4</xdr:col>
          <xdr:colOff>581025</xdr:colOff>
          <xdr:row>3</xdr:row>
          <xdr:rowOff>47625</xdr:rowOff>
        </xdr:to>
        <xdr:sp macro="" textlink="">
          <xdr:nvSpPr>
            <xdr:cNvPr id="225281" name="Button 1" hidden="1">
              <a:extLst>
                <a:ext uri="{63B3BB69-23CF-44E3-9099-C40C66FF867C}">
                  <a14:compatExt spid="_x0000_s22528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900" b="0" i="0" u="none" strike="noStrike" baseline="0">
                  <a:solidFill>
                    <a:srgbClr val="000000"/>
                  </a:solidFill>
                  <a:latin typeface="Times New Roman"/>
                  <a:cs typeface="Times New Roman"/>
                </a:rPr>
                <a:t>Insert Draft Only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xdr:row>
          <xdr:rowOff>85725</xdr:rowOff>
        </xdr:from>
        <xdr:to>
          <xdr:col>6</xdr:col>
          <xdr:colOff>95250</xdr:colOff>
          <xdr:row>3</xdr:row>
          <xdr:rowOff>47625</xdr:rowOff>
        </xdr:to>
        <xdr:sp macro="" textlink="">
          <xdr:nvSpPr>
            <xdr:cNvPr id="225282" name="Button 2" hidden="1">
              <a:extLst>
                <a:ext uri="{63B3BB69-23CF-44E3-9099-C40C66FF867C}">
                  <a14:compatExt spid="_x0000_s225282"/>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900" b="0" i="0" u="none" strike="noStrike" baseline="0">
                  <a:solidFill>
                    <a:srgbClr val="000000"/>
                  </a:solidFill>
                  <a:latin typeface="Times New Roman"/>
                  <a:cs typeface="Times New Roman"/>
                </a:rPr>
                <a:t>Delete Draft Only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609600</xdr:colOff>
          <xdr:row>1</xdr:row>
          <xdr:rowOff>66675</xdr:rowOff>
        </xdr:from>
        <xdr:to>
          <xdr:col>8</xdr:col>
          <xdr:colOff>66675</xdr:colOff>
          <xdr:row>3</xdr:row>
          <xdr:rowOff>28575</xdr:rowOff>
        </xdr:to>
        <xdr:sp macro="" textlink="">
          <xdr:nvSpPr>
            <xdr:cNvPr id="225283" name="Button 3" hidden="1">
              <a:extLst>
                <a:ext uri="{63B3BB69-23CF-44E3-9099-C40C66FF867C}">
                  <a14:compatExt spid="_x0000_s22528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900" b="0" i="0" u="none" strike="noStrike" baseline="0">
                  <a:solidFill>
                    <a:srgbClr val="000000"/>
                  </a:solidFill>
                  <a:latin typeface="Times New Roman"/>
                  <a:cs typeface="Times New Roman"/>
                </a:rPr>
                <a:t>Go to A1 in each page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dusfb\Frame\REPORTS\Internet%20Versions\2009-10%20FRAME%20Actu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Edusfb\Age%20and%20Area\Age%20and%20Area%202006-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Edusfb\Internet%20Projects\Forms\_Web%20Site\FB115A_F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dusfb\Frame\REPORTS\2008-09%20FRAME%20Budg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 3 -"/>
      <sheetName val="- 4 -"/>
      <sheetName val="- 6 -"/>
      <sheetName val="- 7 -"/>
      <sheetName val="- 8 -"/>
      <sheetName val="- 9 -"/>
      <sheetName val="- 10 -"/>
      <sheetName val="- 12 -"/>
      <sheetName val="- 13 -"/>
      <sheetName val="- 15 -"/>
      <sheetName val="- 16 -"/>
      <sheetName val="- 17 -"/>
      <sheetName val="- 18 -"/>
      <sheetName val="- 19 -"/>
      <sheetName val="- 20 -"/>
      <sheetName val="- 21 -"/>
      <sheetName val="- 22 -"/>
      <sheetName val="- 23 -"/>
      <sheetName val="- 24 -"/>
      <sheetName val="- 25 -"/>
      <sheetName val="- 26 -"/>
      <sheetName val="- 27 -"/>
      <sheetName val="- 28 -"/>
      <sheetName val="- 29 -"/>
      <sheetName val="- 30 -"/>
      <sheetName val="- 31 -"/>
      <sheetName val="- 32 -"/>
      <sheetName val="- 33 -"/>
      <sheetName val="- 34 -"/>
      <sheetName val="- 35 -"/>
      <sheetName val="- 36 -"/>
      <sheetName val="- 37 -"/>
      <sheetName val="- 38 -"/>
      <sheetName val="- 39 -"/>
      <sheetName val="- 41 -"/>
      <sheetName val="- 42 -"/>
      <sheetName val="- 43 -"/>
      <sheetName val="- 44 -"/>
      <sheetName val="- 45 -"/>
      <sheetName val="- 46 -"/>
      <sheetName val="- 47 -"/>
      <sheetName val="- 48 -"/>
      <sheetName val="- 49 -"/>
      <sheetName val="- 50 -"/>
      <sheetName val="- 51 -"/>
      <sheetName val="- 52 -"/>
      <sheetName val="- 54 -"/>
      <sheetName val="- 55 - "/>
      <sheetName val="- 56 -"/>
      <sheetName val="- 58 -"/>
      <sheetName val="- 59 -"/>
      <sheetName val="- 60 -"/>
      <sheetName val="- 61 -"/>
      <sheetName val="- 62 -"/>
      <sheetName val="- 63 -"/>
      <sheetName val="- 64 -"/>
      <sheetName val="- 65 -"/>
      <sheetName val="- 66 -"/>
      <sheetName val="- 67 -"/>
      <sheetName val="Data"/>
    </sheetNames>
    <sheetDataSet>
      <sheetData sheetId="0"/>
      <sheetData sheetId="1">
        <row r="3">
          <cell r="A3" t="str">
            <v>OPERATING FUND 2009/2010 ACTUAL</v>
          </cell>
        </row>
      </sheetData>
      <sheetData sheetId="2"/>
      <sheetData sheetId="3">
        <row r="3">
          <cell r="B3" t="str">
            <v>ACTUAL SEPTEMBER 30, 2009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
          <cell r="B1" t="str">
            <v>ANALYSIS OF OPERATING FUND REVENUE: 2009/2010 ACTUAL</v>
          </cell>
        </row>
      </sheetData>
      <sheetData sheetId="37"/>
      <sheetData sheetId="38"/>
      <sheetData sheetId="39"/>
      <sheetData sheetId="40"/>
      <sheetData sheetId="41"/>
      <sheetData sheetId="42"/>
      <sheetData sheetId="43"/>
      <sheetData sheetId="44"/>
      <sheetData sheetId="45"/>
      <sheetData sheetId="46">
        <row r="3">
          <cell r="B3" t="str">
            <v>FOR THE 2009 TAXATION YEAR</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B4" t="str">
            <v>2008/09</v>
          </cell>
        </row>
        <row r="5">
          <cell r="B5" t="str">
            <v>2009/10</v>
          </cell>
        </row>
        <row r="6">
          <cell r="B6">
            <v>2009</v>
          </cell>
        </row>
        <row r="7">
          <cell r="B7" t="str">
            <v>2010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D"/>
      <sheetName val="Data"/>
      <sheetName val="Form"/>
      <sheetName val="WI"/>
      <sheetName val="List"/>
      <sheetName val="Decades"/>
      <sheetName val="TU's"/>
      <sheetName val="Summary"/>
      <sheetName val="Summary (2)"/>
      <sheetName val="Colony Form"/>
      <sheetName val="Rented Space"/>
    </sheetNames>
    <sheetDataSet>
      <sheetData sheetId="0"/>
      <sheetData sheetId="1">
        <row r="9">
          <cell r="A9" t="str">
            <v>BE</v>
          </cell>
        </row>
        <row r="10">
          <cell r="A10" t="str">
            <v>BE</v>
          </cell>
        </row>
        <row r="11">
          <cell r="A11" t="str">
            <v>BE</v>
          </cell>
        </row>
        <row r="12">
          <cell r="A12" t="str">
            <v>BE</v>
          </cell>
        </row>
        <row r="13">
          <cell r="A13" t="str">
            <v>BE</v>
          </cell>
        </row>
        <row r="14">
          <cell r="A14" t="str">
            <v>BE</v>
          </cell>
        </row>
        <row r="15">
          <cell r="A15" t="str">
            <v>BE</v>
          </cell>
        </row>
        <row r="16">
          <cell r="A16" t="str">
            <v>BE</v>
          </cell>
        </row>
        <row r="17">
          <cell r="A17" t="str">
            <v>BE</v>
          </cell>
        </row>
        <row r="18">
          <cell r="A18" t="str">
            <v>BE</v>
          </cell>
        </row>
        <row r="19">
          <cell r="A19" t="str">
            <v>BE</v>
          </cell>
        </row>
        <row r="20">
          <cell r="A20" t="str">
            <v>BE</v>
          </cell>
        </row>
        <row r="21">
          <cell r="A21" t="str">
            <v>BE</v>
          </cell>
        </row>
        <row r="22">
          <cell r="A22" t="str">
            <v>BE</v>
          </cell>
        </row>
        <row r="23">
          <cell r="A23" t="str">
            <v>BO</v>
          </cell>
        </row>
        <row r="24">
          <cell r="A24" t="str">
            <v>BO</v>
          </cell>
        </row>
        <row r="25">
          <cell r="A25" t="str">
            <v>BO</v>
          </cell>
        </row>
        <row r="26">
          <cell r="A26" t="str">
            <v>BO</v>
          </cell>
        </row>
        <row r="27">
          <cell r="A27" t="str">
            <v>BO</v>
          </cell>
        </row>
        <row r="28">
          <cell r="A28" t="str">
            <v>BO</v>
          </cell>
        </row>
        <row r="29">
          <cell r="A29" t="str">
            <v>BO</v>
          </cell>
        </row>
        <row r="30">
          <cell r="A30" t="str">
            <v>BO</v>
          </cell>
        </row>
        <row r="31">
          <cell r="A31" t="str">
            <v>BO</v>
          </cell>
        </row>
        <row r="32">
          <cell r="A32" t="str">
            <v>BO</v>
          </cell>
        </row>
        <row r="33">
          <cell r="A33" t="str">
            <v>BO</v>
          </cell>
        </row>
        <row r="34">
          <cell r="A34" t="str">
            <v>BO</v>
          </cell>
        </row>
        <row r="35">
          <cell r="A35" t="str">
            <v>BO</v>
          </cell>
        </row>
        <row r="36">
          <cell r="A36" t="str">
            <v>BO</v>
          </cell>
        </row>
        <row r="37">
          <cell r="A37" t="str">
            <v>BO</v>
          </cell>
        </row>
        <row r="38">
          <cell r="A38" t="str">
            <v>BR</v>
          </cell>
        </row>
        <row r="39">
          <cell r="A39" t="str">
            <v>BR</v>
          </cell>
        </row>
        <row r="40">
          <cell r="A40" t="str">
            <v>BR</v>
          </cell>
        </row>
        <row r="41">
          <cell r="A41" t="str">
            <v>BR</v>
          </cell>
        </row>
        <row r="42">
          <cell r="A42" t="str">
            <v>BR</v>
          </cell>
        </row>
        <row r="43">
          <cell r="A43" t="str">
            <v>BR</v>
          </cell>
        </row>
        <row r="44">
          <cell r="A44" t="str">
            <v>BR</v>
          </cell>
        </row>
        <row r="45">
          <cell r="A45" t="str">
            <v>BR</v>
          </cell>
        </row>
        <row r="46">
          <cell r="A46" t="str">
            <v>BR</v>
          </cell>
        </row>
        <row r="47">
          <cell r="A47" t="str">
            <v>BR</v>
          </cell>
        </row>
        <row r="48">
          <cell r="A48" t="str">
            <v>BR</v>
          </cell>
        </row>
        <row r="49">
          <cell r="A49" t="str">
            <v>BR</v>
          </cell>
        </row>
        <row r="50">
          <cell r="A50" t="str">
            <v>BR</v>
          </cell>
        </row>
        <row r="51">
          <cell r="A51" t="str">
            <v>BR</v>
          </cell>
        </row>
        <row r="52">
          <cell r="A52" t="str">
            <v>BR</v>
          </cell>
        </row>
        <row r="53">
          <cell r="A53" t="str">
            <v>BR</v>
          </cell>
        </row>
        <row r="54">
          <cell r="A54" t="str">
            <v>BR</v>
          </cell>
        </row>
        <row r="55">
          <cell r="A55" t="str">
            <v>BR</v>
          </cell>
        </row>
        <row r="57">
          <cell r="A57" t="str">
            <v>BR</v>
          </cell>
        </row>
        <row r="58">
          <cell r="A58" t="str">
            <v>BR</v>
          </cell>
        </row>
        <row r="59">
          <cell r="A59" t="str">
            <v>BR</v>
          </cell>
        </row>
        <row r="60">
          <cell r="A60" t="str">
            <v>DI</v>
          </cell>
        </row>
        <row r="61">
          <cell r="A61" t="str">
            <v>DI</v>
          </cell>
        </row>
        <row r="62">
          <cell r="A62" t="str">
            <v>DI</v>
          </cell>
        </row>
        <row r="64">
          <cell r="A64" t="str">
            <v>DI</v>
          </cell>
        </row>
        <row r="65">
          <cell r="A65" t="str">
            <v>DI</v>
          </cell>
        </row>
        <row r="66">
          <cell r="A66" t="str">
            <v>DI</v>
          </cell>
        </row>
        <row r="67">
          <cell r="A67" t="str">
            <v>DI</v>
          </cell>
        </row>
        <row r="68">
          <cell r="A68" t="str">
            <v>DI</v>
          </cell>
        </row>
        <row r="70">
          <cell r="A70" t="str">
            <v>DI</v>
          </cell>
        </row>
        <row r="71">
          <cell r="A71" t="str">
            <v>DI</v>
          </cell>
        </row>
        <row r="72">
          <cell r="A72" t="str">
            <v>DI</v>
          </cell>
        </row>
        <row r="73">
          <cell r="A73" t="str">
            <v>DI</v>
          </cell>
        </row>
        <row r="74">
          <cell r="A74" t="str">
            <v>DI</v>
          </cell>
        </row>
        <row r="75">
          <cell r="A75" t="str">
            <v>DI</v>
          </cell>
        </row>
        <row r="76">
          <cell r="A76" t="str">
            <v>DI</v>
          </cell>
        </row>
        <row r="77">
          <cell r="A77" t="str">
            <v>DI</v>
          </cell>
        </row>
        <row r="78">
          <cell r="A78" t="str">
            <v>DI</v>
          </cell>
        </row>
        <row r="79">
          <cell r="A79" t="str">
            <v>DI</v>
          </cell>
        </row>
        <row r="80">
          <cell r="A80" t="str">
            <v>DI</v>
          </cell>
        </row>
        <row r="81">
          <cell r="A81" t="str">
            <v>DI</v>
          </cell>
        </row>
        <row r="82">
          <cell r="A82" t="str">
            <v>EV</v>
          </cell>
        </row>
        <row r="83">
          <cell r="A83" t="str">
            <v>EV</v>
          </cell>
        </row>
        <row r="84">
          <cell r="A84" t="str">
            <v>EV</v>
          </cell>
        </row>
        <row r="85">
          <cell r="A85" t="str">
            <v>EV</v>
          </cell>
        </row>
        <row r="86">
          <cell r="A86" t="str">
            <v>EV</v>
          </cell>
        </row>
        <row r="88">
          <cell r="A88" t="str">
            <v>EV</v>
          </cell>
        </row>
        <row r="89">
          <cell r="A89" t="str">
            <v>EV</v>
          </cell>
        </row>
        <row r="90">
          <cell r="A90" t="str">
            <v>FL</v>
          </cell>
        </row>
        <row r="91">
          <cell r="A91" t="str">
            <v>FL</v>
          </cell>
        </row>
        <row r="92">
          <cell r="A92" t="str">
            <v>FL</v>
          </cell>
        </row>
        <row r="93">
          <cell r="A93" t="str">
            <v>FL</v>
          </cell>
        </row>
        <row r="94">
          <cell r="A94" t="str">
            <v>FO</v>
          </cell>
        </row>
        <row r="95">
          <cell r="A95" t="str">
            <v>FO</v>
          </cell>
        </row>
        <row r="96">
          <cell r="A96" t="str">
            <v>FO</v>
          </cell>
        </row>
        <row r="97">
          <cell r="A97" t="str">
            <v>FO</v>
          </cell>
        </row>
        <row r="98">
          <cell r="A98" t="str">
            <v>FO</v>
          </cell>
        </row>
        <row r="99">
          <cell r="A99" t="str">
            <v>FO</v>
          </cell>
        </row>
        <row r="100">
          <cell r="A100" t="str">
            <v>FO</v>
          </cell>
        </row>
        <row r="101">
          <cell r="A101" t="str">
            <v>FO</v>
          </cell>
        </row>
        <row r="102">
          <cell r="A102" t="str">
            <v>FO</v>
          </cell>
        </row>
        <row r="103">
          <cell r="A103" t="str">
            <v>FO</v>
          </cell>
        </row>
        <row r="104">
          <cell r="A104" t="str">
            <v>FO</v>
          </cell>
        </row>
        <row r="105">
          <cell r="A105" t="str">
            <v>FR</v>
          </cell>
        </row>
        <row r="106">
          <cell r="A106" t="str">
            <v>FR</v>
          </cell>
        </row>
        <row r="107">
          <cell r="A107" t="str">
            <v>FR</v>
          </cell>
        </row>
        <row r="108">
          <cell r="A108" t="str">
            <v>FR</v>
          </cell>
        </row>
        <row r="109">
          <cell r="A109" t="str">
            <v>FR</v>
          </cell>
        </row>
        <row r="110">
          <cell r="A110" t="str">
            <v>FR</v>
          </cell>
        </row>
        <row r="111">
          <cell r="A111" t="str">
            <v>FR</v>
          </cell>
        </row>
        <row r="112">
          <cell r="A112" t="str">
            <v>FR</v>
          </cell>
        </row>
        <row r="113">
          <cell r="A113" t="str">
            <v>FR</v>
          </cell>
        </row>
        <row r="114">
          <cell r="A114" t="str">
            <v>FR</v>
          </cell>
        </row>
        <row r="115">
          <cell r="A115" t="str">
            <v>FR</v>
          </cell>
        </row>
        <row r="116">
          <cell r="A116" t="str">
            <v>FR</v>
          </cell>
        </row>
        <row r="117">
          <cell r="A117" t="str">
            <v>FR</v>
          </cell>
        </row>
        <row r="118">
          <cell r="A118" t="str">
            <v>FR</v>
          </cell>
        </row>
        <row r="119">
          <cell r="A119" t="str">
            <v>FR</v>
          </cell>
        </row>
        <row r="120">
          <cell r="A120" t="str">
            <v>FR</v>
          </cell>
        </row>
        <row r="121">
          <cell r="A121" t="str">
            <v>FR</v>
          </cell>
        </row>
        <row r="122">
          <cell r="A122" t="str">
            <v>FR</v>
          </cell>
        </row>
        <row r="123">
          <cell r="A123" t="str">
            <v>FR</v>
          </cell>
        </row>
        <row r="124">
          <cell r="A124" t="str">
            <v>FR</v>
          </cell>
        </row>
        <row r="125">
          <cell r="A125" t="str">
            <v>FR</v>
          </cell>
        </row>
        <row r="126">
          <cell r="A126" t="str">
            <v>FR</v>
          </cell>
        </row>
        <row r="127">
          <cell r="A127" t="str">
            <v>FR</v>
          </cell>
        </row>
        <row r="128">
          <cell r="A128" t="str">
            <v>FR</v>
          </cell>
        </row>
        <row r="129">
          <cell r="A129" t="str">
            <v>FR</v>
          </cell>
        </row>
        <row r="130">
          <cell r="A130" t="str">
            <v>FR</v>
          </cell>
        </row>
        <row r="131">
          <cell r="A131" t="str">
            <v>FR</v>
          </cell>
        </row>
        <row r="132">
          <cell r="A132" t="str">
            <v>FR</v>
          </cell>
        </row>
        <row r="133">
          <cell r="A133" t="str">
            <v>FR</v>
          </cell>
        </row>
        <row r="134">
          <cell r="A134" t="str">
            <v>FR</v>
          </cell>
        </row>
        <row r="135">
          <cell r="A135" t="str">
            <v>FR</v>
          </cell>
        </row>
        <row r="136">
          <cell r="A136" t="str">
            <v>FR</v>
          </cell>
        </row>
        <row r="137">
          <cell r="A137" t="str">
            <v>FR</v>
          </cell>
        </row>
        <row r="138">
          <cell r="A138" t="str">
            <v>FR</v>
          </cell>
        </row>
        <row r="139">
          <cell r="A139" t="str">
            <v>FR</v>
          </cell>
        </row>
        <row r="140">
          <cell r="A140" t="str">
            <v>FR</v>
          </cell>
        </row>
        <row r="141">
          <cell r="A141" t="str">
            <v>FR</v>
          </cell>
        </row>
        <row r="142">
          <cell r="A142" t="str">
            <v>FR</v>
          </cell>
        </row>
        <row r="143">
          <cell r="A143" t="str">
            <v>FR</v>
          </cell>
        </row>
        <row r="144">
          <cell r="A144" t="str">
            <v>GA</v>
          </cell>
        </row>
        <row r="145">
          <cell r="A145" t="str">
            <v>GA</v>
          </cell>
        </row>
        <row r="146">
          <cell r="A146" t="str">
            <v>GA</v>
          </cell>
        </row>
        <row r="147">
          <cell r="A147" t="str">
            <v>GA</v>
          </cell>
        </row>
        <row r="148">
          <cell r="A148" t="str">
            <v>GA</v>
          </cell>
        </row>
        <row r="149">
          <cell r="A149" t="str">
            <v>GA</v>
          </cell>
        </row>
        <row r="150">
          <cell r="A150" t="str">
            <v>GA</v>
          </cell>
        </row>
        <row r="151">
          <cell r="A151" t="str">
            <v>GA</v>
          </cell>
        </row>
        <row r="152">
          <cell r="A152" t="str">
            <v>GA</v>
          </cell>
        </row>
        <row r="153">
          <cell r="A153" t="str">
            <v>GA</v>
          </cell>
        </row>
        <row r="154">
          <cell r="A154" t="str">
            <v>HA</v>
          </cell>
        </row>
        <row r="155">
          <cell r="A155" t="str">
            <v>HA</v>
          </cell>
        </row>
        <row r="156">
          <cell r="A156" t="str">
            <v>HA</v>
          </cell>
        </row>
        <row r="157">
          <cell r="A157" t="str">
            <v>HA</v>
          </cell>
        </row>
        <row r="158">
          <cell r="A158" t="str">
            <v>HA</v>
          </cell>
        </row>
        <row r="159">
          <cell r="A159" t="str">
            <v>HA</v>
          </cell>
        </row>
        <row r="160">
          <cell r="A160" t="str">
            <v>HA</v>
          </cell>
        </row>
        <row r="161">
          <cell r="A161" t="str">
            <v>HA</v>
          </cell>
        </row>
        <row r="162">
          <cell r="A162" t="str">
            <v>HA</v>
          </cell>
        </row>
        <row r="163">
          <cell r="A163" t="str">
            <v>HA</v>
          </cell>
        </row>
        <row r="164">
          <cell r="A164" t="str">
            <v>HA</v>
          </cell>
        </row>
        <row r="165">
          <cell r="A165" t="str">
            <v>HA</v>
          </cell>
        </row>
        <row r="166">
          <cell r="A166" t="str">
            <v>HA</v>
          </cell>
        </row>
        <row r="167">
          <cell r="A167" t="str">
            <v>HA</v>
          </cell>
        </row>
        <row r="168">
          <cell r="A168" t="str">
            <v>HA</v>
          </cell>
        </row>
        <row r="169">
          <cell r="A169" t="str">
            <v>HA</v>
          </cell>
        </row>
        <row r="170">
          <cell r="A170" t="str">
            <v>HA</v>
          </cell>
        </row>
        <row r="171">
          <cell r="A171" t="str">
            <v>IN</v>
          </cell>
        </row>
        <row r="172">
          <cell r="A172" t="str">
            <v>IN</v>
          </cell>
        </row>
        <row r="173">
          <cell r="A173" t="str">
            <v>IN</v>
          </cell>
        </row>
        <row r="174">
          <cell r="A174" t="str">
            <v>IN</v>
          </cell>
        </row>
        <row r="175">
          <cell r="A175" t="str">
            <v>IN</v>
          </cell>
        </row>
        <row r="176">
          <cell r="A176" t="str">
            <v>IN</v>
          </cell>
        </row>
        <row r="177">
          <cell r="A177" t="str">
            <v>IN</v>
          </cell>
        </row>
        <row r="178">
          <cell r="A178" t="str">
            <v>IN</v>
          </cell>
        </row>
        <row r="179">
          <cell r="A179" t="str">
            <v>IN</v>
          </cell>
        </row>
        <row r="180">
          <cell r="A180" t="str">
            <v>IN</v>
          </cell>
        </row>
        <row r="181">
          <cell r="A181" t="str">
            <v>IN</v>
          </cell>
        </row>
        <row r="182">
          <cell r="A182" t="str">
            <v>IN</v>
          </cell>
        </row>
        <row r="183">
          <cell r="A183" t="str">
            <v>IN</v>
          </cell>
        </row>
        <row r="184">
          <cell r="A184" t="str">
            <v>IN</v>
          </cell>
        </row>
        <row r="185">
          <cell r="A185" t="str">
            <v>IN</v>
          </cell>
        </row>
        <row r="186">
          <cell r="A186" t="str">
            <v>IN</v>
          </cell>
        </row>
        <row r="187">
          <cell r="A187" t="str">
            <v>IN</v>
          </cell>
        </row>
        <row r="188">
          <cell r="A188" t="str">
            <v>IN</v>
          </cell>
        </row>
        <row r="189">
          <cell r="A189" t="str">
            <v>IN</v>
          </cell>
        </row>
        <row r="190">
          <cell r="A190" t="str">
            <v>IN</v>
          </cell>
        </row>
        <row r="191">
          <cell r="A191" t="str">
            <v>IN</v>
          </cell>
        </row>
        <row r="192">
          <cell r="A192" t="str">
            <v>KE</v>
          </cell>
        </row>
        <row r="193">
          <cell r="A193" t="str">
            <v>KE</v>
          </cell>
        </row>
        <row r="194">
          <cell r="A194" t="str">
            <v>KE</v>
          </cell>
        </row>
        <row r="195">
          <cell r="A195" t="str">
            <v>KE</v>
          </cell>
        </row>
        <row r="196">
          <cell r="A196" t="str">
            <v>KE</v>
          </cell>
        </row>
        <row r="197">
          <cell r="A197" t="str">
            <v>LA</v>
          </cell>
        </row>
        <row r="198">
          <cell r="A198" t="str">
            <v>LA</v>
          </cell>
        </row>
        <row r="200">
          <cell r="A200" t="str">
            <v>LA</v>
          </cell>
        </row>
        <row r="201">
          <cell r="A201" t="str">
            <v>LA</v>
          </cell>
        </row>
        <row r="202">
          <cell r="A202" t="str">
            <v>LA</v>
          </cell>
        </row>
        <row r="203">
          <cell r="A203" t="str">
            <v>LA</v>
          </cell>
        </row>
        <row r="204">
          <cell r="A204" t="str">
            <v>LA</v>
          </cell>
        </row>
        <row r="205">
          <cell r="A205" t="str">
            <v>LA</v>
          </cell>
        </row>
        <row r="206">
          <cell r="A206" t="str">
            <v>LA</v>
          </cell>
        </row>
        <row r="207">
          <cell r="A207" t="str">
            <v>LO</v>
          </cell>
        </row>
        <row r="208">
          <cell r="A208" t="str">
            <v>LO</v>
          </cell>
        </row>
        <row r="210">
          <cell r="A210" t="str">
            <v>LO</v>
          </cell>
        </row>
        <row r="211">
          <cell r="A211" t="str">
            <v>LO</v>
          </cell>
        </row>
        <row r="212">
          <cell r="A212" t="str">
            <v>LO</v>
          </cell>
        </row>
        <row r="213">
          <cell r="A213" t="str">
            <v>LO</v>
          </cell>
        </row>
        <row r="214">
          <cell r="A214" t="str">
            <v>LO</v>
          </cell>
        </row>
        <row r="215">
          <cell r="A215" t="str">
            <v>LO</v>
          </cell>
        </row>
        <row r="216">
          <cell r="A216" t="str">
            <v>LO</v>
          </cell>
        </row>
        <row r="217">
          <cell r="A217" t="str">
            <v>LO</v>
          </cell>
        </row>
        <row r="218">
          <cell r="A218" t="str">
            <v>LO</v>
          </cell>
        </row>
        <row r="219">
          <cell r="A219" t="str">
            <v>LO</v>
          </cell>
        </row>
        <row r="220">
          <cell r="A220" t="str">
            <v>LO</v>
          </cell>
        </row>
        <row r="221">
          <cell r="A221" t="str">
            <v>LR</v>
          </cell>
        </row>
        <row r="222">
          <cell r="A222" t="str">
            <v>LR</v>
          </cell>
        </row>
        <row r="223">
          <cell r="A223" t="str">
            <v>LR</v>
          </cell>
        </row>
        <row r="224">
          <cell r="A224" t="str">
            <v>LR</v>
          </cell>
        </row>
        <row r="225">
          <cell r="A225" t="str">
            <v>LR</v>
          </cell>
        </row>
        <row r="226">
          <cell r="A226" t="str">
            <v>LR</v>
          </cell>
        </row>
        <row r="227">
          <cell r="A227" t="str">
            <v>LR</v>
          </cell>
        </row>
        <row r="228">
          <cell r="A228" t="str">
            <v>LR</v>
          </cell>
        </row>
        <row r="229">
          <cell r="A229" t="str">
            <v>LR</v>
          </cell>
        </row>
        <row r="230">
          <cell r="A230" t="str">
            <v>LR</v>
          </cell>
        </row>
        <row r="231">
          <cell r="A231" t="str">
            <v>LR</v>
          </cell>
        </row>
        <row r="232">
          <cell r="A232" t="str">
            <v>LR</v>
          </cell>
        </row>
        <row r="233">
          <cell r="A233" t="str">
            <v>LR</v>
          </cell>
        </row>
        <row r="234">
          <cell r="A234" t="str">
            <v>LR</v>
          </cell>
        </row>
        <row r="235">
          <cell r="A235" t="str">
            <v>LR</v>
          </cell>
        </row>
        <row r="236">
          <cell r="A236" t="str">
            <v>LR</v>
          </cell>
        </row>
        <row r="237">
          <cell r="A237" t="str">
            <v>LR</v>
          </cell>
        </row>
        <row r="238">
          <cell r="A238" t="str">
            <v>LR</v>
          </cell>
        </row>
        <row r="239">
          <cell r="A239" t="str">
            <v>LR</v>
          </cell>
        </row>
        <row r="240">
          <cell r="A240" t="str">
            <v>LR</v>
          </cell>
        </row>
        <row r="241">
          <cell r="A241" t="str">
            <v>LR</v>
          </cell>
        </row>
        <row r="242">
          <cell r="A242" t="str">
            <v>LR</v>
          </cell>
        </row>
        <row r="243">
          <cell r="A243" t="str">
            <v>LR</v>
          </cell>
        </row>
        <row r="244">
          <cell r="A244" t="str">
            <v>LR</v>
          </cell>
        </row>
        <row r="245">
          <cell r="A245" t="str">
            <v>LR</v>
          </cell>
        </row>
        <row r="246">
          <cell r="A246" t="str">
            <v>LR</v>
          </cell>
        </row>
        <row r="247">
          <cell r="A247" t="str">
            <v>LR</v>
          </cell>
        </row>
        <row r="248">
          <cell r="A248" t="str">
            <v>LR</v>
          </cell>
        </row>
        <row r="249">
          <cell r="A249" t="str">
            <v>LR</v>
          </cell>
        </row>
        <row r="250">
          <cell r="A250" t="str">
            <v>LR</v>
          </cell>
        </row>
        <row r="251">
          <cell r="A251" t="str">
            <v>LR</v>
          </cell>
        </row>
        <row r="252">
          <cell r="A252" t="str">
            <v>LR</v>
          </cell>
        </row>
        <row r="253">
          <cell r="A253" t="str">
            <v>LR</v>
          </cell>
        </row>
        <row r="254">
          <cell r="A254" t="str">
            <v>LR</v>
          </cell>
        </row>
        <row r="255">
          <cell r="A255" t="str">
            <v>LR</v>
          </cell>
        </row>
        <row r="256">
          <cell r="A256" t="str">
            <v>LR</v>
          </cell>
        </row>
        <row r="257">
          <cell r="A257" t="str">
            <v>LR</v>
          </cell>
        </row>
        <row r="258">
          <cell r="A258" t="str">
            <v>LR</v>
          </cell>
        </row>
        <row r="259">
          <cell r="A259" t="str">
            <v>LR</v>
          </cell>
        </row>
        <row r="260">
          <cell r="A260" t="str">
            <v>MO</v>
          </cell>
        </row>
        <row r="261">
          <cell r="A261" t="str">
            <v>MO</v>
          </cell>
        </row>
        <row r="262">
          <cell r="A262" t="str">
            <v>MO</v>
          </cell>
        </row>
        <row r="263">
          <cell r="A263" t="str">
            <v>MO</v>
          </cell>
        </row>
        <row r="264">
          <cell r="A264" t="str">
            <v>MO</v>
          </cell>
        </row>
        <row r="265">
          <cell r="A265" t="str">
            <v>MO</v>
          </cell>
        </row>
        <row r="266">
          <cell r="A266" t="str">
            <v>MO</v>
          </cell>
        </row>
        <row r="267">
          <cell r="A267" t="str">
            <v>MO</v>
          </cell>
        </row>
        <row r="268">
          <cell r="A268" t="str">
            <v>MO</v>
          </cell>
        </row>
        <row r="269">
          <cell r="A269" t="str">
            <v>MO</v>
          </cell>
        </row>
        <row r="270">
          <cell r="A270" t="str">
            <v>MO</v>
          </cell>
        </row>
        <row r="271">
          <cell r="A271" t="str">
            <v>MO</v>
          </cell>
        </row>
        <row r="272">
          <cell r="A272" t="str">
            <v>MO</v>
          </cell>
        </row>
        <row r="273">
          <cell r="A273" t="str">
            <v>MO</v>
          </cell>
        </row>
        <row r="274">
          <cell r="A274" t="str">
            <v>MO</v>
          </cell>
        </row>
        <row r="275">
          <cell r="A275" t="str">
            <v>MO</v>
          </cell>
        </row>
        <row r="276">
          <cell r="A276" t="str">
            <v>MY</v>
          </cell>
        </row>
        <row r="277">
          <cell r="A277" t="str">
            <v>MY</v>
          </cell>
        </row>
        <row r="278">
          <cell r="A278" t="str">
            <v>MY</v>
          </cell>
        </row>
        <row r="279">
          <cell r="A279" t="str">
            <v>MY</v>
          </cell>
        </row>
        <row r="280">
          <cell r="A280" t="str">
            <v>MY</v>
          </cell>
        </row>
        <row r="281">
          <cell r="A281" t="str">
            <v>MY</v>
          </cell>
        </row>
        <row r="282">
          <cell r="A282" t="str">
            <v>MY</v>
          </cell>
        </row>
        <row r="283">
          <cell r="A283" t="str">
            <v>PA</v>
          </cell>
        </row>
        <row r="284">
          <cell r="A284" t="str">
            <v>PA</v>
          </cell>
        </row>
        <row r="285">
          <cell r="A285" t="str">
            <v>PA</v>
          </cell>
        </row>
        <row r="286">
          <cell r="A286" t="str">
            <v>PA</v>
          </cell>
        </row>
        <row r="287">
          <cell r="A287" t="str">
            <v>PA</v>
          </cell>
        </row>
        <row r="288">
          <cell r="A288" t="str">
            <v>PA</v>
          </cell>
        </row>
        <row r="289">
          <cell r="A289" t="str">
            <v>PA</v>
          </cell>
        </row>
        <row r="290">
          <cell r="A290" t="str">
            <v>PA</v>
          </cell>
        </row>
        <row r="291">
          <cell r="A291" t="str">
            <v>PA</v>
          </cell>
        </row>
        <row r="292">
          <cell r="A292" t="str">
            <v>PA</v>
          </cell>
        </row>
        <row r="293">
          <cell r="A293" t="str">
            <v>PA</v>
          </cell>
        </row>
        <row r="294">
          <cell r="A294" t="str">
            <v>PA</v>
          </cell>
        </row>
        <row r="295">
          <cell r="A295" t="str">
            <v>PA</v>
          </cell>
        </row>
        <row r="296">
          <cell r="A296" t="str">
            <v>PA</v>
          </cell>
        </row>
        <row r="297">
          <cell r="A297" t="str">
            <v>PE</v>
          </cell>
        </row>
        <row r="298">
          <cell r="A298" t="str">
            <v>PE</v>
          </cell>
        </row>
        <row r="299">
          <cell r="A299" t="str">
            <v>PE</v>
          </cell>
        </row>
        <row r="300">
          <cell r="A300" t="str">
            <v>PE</v>
          </cell>
        </row>
        <row r="301">
          <cell r="A301" t="str">
            <v>PE</v>
          </cell>
        </row>
        <row r="302">
          <cell r="A302" t="str">
            <v>PE</v>
          </cell>
        </row>
        <row r="303">
          <cell r="A303" t="str">
            <v>PE</v>
          </cell>
        </row>
        <row r="304">
          <cell r="A304" t="str">
            <v>PE</v>
          </cell>
        </row>
        <row r="305">
          <cell r="A305" t="str">
            <v>PE</v>
          </cell>
        </row>
        <row r="306">
          <cell r="A306" t="str">
            <v>PE</v>
          </cell>
        </row>
        <row r="307">
          <cell r="A307" t="str">
            <v>PE</v>
          </cell>
        </row>
        <row r="308">
          <cell r="A308" t="str">
            <v>PE</v>
          </cell>
        </row>
        <row r="309">
          <cell r="A309" t="str">
            <v>PE</v>
          </cell>
        </row>
        <row r="310">
          <cell r="A310" t="str">
            <v>PE</v>
          </cell>
        </row>
        <row r="311">
          <cell r="A311" t="str">
            <v>PE</v>
          </cell>
        </row>
        <row r="312">
          <cell r="A312" t="str">
            <v>PE</v>
          </cell>
        </row>
        <row r="313">
          <cell r="A313" t="str">
            <v>PE</v>
          </cell>
        </row>
        <row r="314">
          <cell r="A314" t="str">
            <v>PE</v>
          </cell>
        </row>
        <row r="315">
          <cell r="A315" t="str">
            <v>PE</v>
          </cell>
        </row>
        <row r="316">
          <cell r="A316" t="str">
            <v>PE</v>
          </cell>
        </row>
        <row r="317">
          <cell r="A317" t="str">
            <v>PE</v>
          </cell>
        </row>
        <row r="318">
          <cell r="A318" t="str">
            <v>PE</v>
          </cell>
        </row>
        <row r="319">
          <cell r="A319" t="str">
            <v>PE</v>
          </cell>
        </row>
        <row r="320">
          <cell r="A320" t="str">
            <v>PE</v>
          </cell>
        </row>
        <row r="321">
          <cell r="A321" t="str">
            <v>PE</v>
          </cell>
        </row>
        <row r="322">
          <cell r="A322" t="str">
            <v>PE</v>
          </cell>
        </row>
        <row r="323">
          <cell r="A323" t="str">
            <v>PE</v>
          </cell>
        </row>
        <row r="324">
          <cell r="A324" t="str">
            <v>PE</v>
          </cell>
        </row>
        <row r="325">
          <cell r="A325" t="str">
            <v>PE</v>
          </cell>
        </row>
        <row r="326">
          <cell r="A326" t="str">
            <v>PE</v>
          </cell>
        </row>
        <row r="327">
          <cell r="A327" t="str">
            <v>PE</v>
          </cell>
        </row>
        <row r="328">
          <cell r="A328" t="str">
            <v>PE</v>
          </cell>
        </row>
        <row r="329">
          <cell r="A329" t="str">
            <v>PE</v>
          </cell>
        </row>
        <row r="330">
          <cell r="A330" t="str">
            <v>PI</v>
          </cell>
        </row>
        <row r="331">
          <cell r="A331" t="str">
            <v>PI</v>
          </cell>
        </row>
        <row r="332">
          <cell r="A332" t="str">
            <v>PI</v>
          </cell>
        </row>
        <row r="333">
          <cell r="A333" t="str">
            <v>PI</v>
          </cell>
        </row>
        <row r="334">
          <cell r="A334" t="str">
            <v>PI</v>
          </cell>
        </row>
        <row r="335">
          <cell r="A335" t="str">
            <v>PI</v>
          </cell>
        </row>
        <row r="336">
          <cell r="A336" t="str">
            <v>PI</v>
          </cell>
        </row>
        <row r="337">
          <cell r="A337" t="str">
            <v>PI</v>
          </cell>
        </row>
        <row r="338">
          <cell r="A338" t="str">
            <v>PI</v>
          </cell>
        </row>
        <row r="339">
          <cell r="A339" t="str">
            <v>PI</v>
          </cell>
        </row>
        <row r="340">
          <cell r="A340" t="str">
            <v>PI</v>
          </cell>
        </row>
        <row r="341">
          <cell r="A341" t="str">
            <v>PI</v>
          </cell>
        </row>
        <row r="342">
          <cell r="A342" t="str">
            <v>PI</v>
          </cell>
        </row>
        <row r="343">
          <cell r="A343" t="str">
            <v>PO</v>
          </cell>
        </row>
        <row r="344">
          <cell r="A344" t="str">
            <v>PO</v>
          </cell>
        </row>
        <row r="345">
          <cell r="A345" t="str">
            <v>PO</v>
          </cell>
        </row>
        <row r="346">
          <cell r="A346" t="str">
            <v>PO</v>
          </cell>
        </row>
        <row r="347">
          <cell r="A347" t="str">
            <v>PO</v>
          </cell>
        </row>
        <row r="348">
          <cell r="A348" t="str">
            <v>PO</v>
          </cell>
        </row>
        <row r="349">
          <cell r="A349" t="str">
            <v>PO</v>
          </cell>
        </row>
        <row r="350">
          <cell r="A350" t="str">
            <v>PO</v>
          </cell>
        </row>
        <row r="351">
          <cell r="A351" t="str">
            <v>PO</v>
          </cell>
        </row>
        <row r="352">
          <cell r="A352" t="str">
            <v>PO</v>
          </cell>
        </row>
        <row r="353">
          <cell r="A353" t="str">
            <v>PO</v>
          </cell>
        </row>
        <row r="354">
          <cell r="A354" t="str">
            <v>PO</v>
          </cell>
        </row>
        <row r="355">
          <cell r="A355" t="str">
            <v>PO</v>
          </cell>
        </row>
        <row r="356">
          <cell r="A356" t="str">
            <v>PO</v>
          </cell>
        </row>
        <row r="357">
          <cell r="A357" t="str">
            <v>PO</v>
          </cell>
        </row>
        <row r="358">
          <cell r="A358" t="str">
            <v>PO</v>
          </cell>
        </row>
        <row r="359">
          <cell r="A359" t="str">
            <v>PO</v>
          </cell>
        </row>
        <row r="360">
          <cell r="A360" t="str">
            <v>PO</v>
          </cell>
        </row>
        <row r="361">
          <cell r="A361" t="str">
            <v>PO</v>
          </cell>
        </row>
        <row r="362">
          <cell r="A362" t="str">
            <v>PO</v>
          </cell>
        </row>
        <row r="363">
          <cell r="A363" t="str">
            <v>PR</v>
          </cell>
        </row>
        <row r="364">
          <cell r="A364" t="str">
            <v>PR</v>
          </cell>
        </row>
        <row r="365">
          <cell r="A365" t="str">
            <v>PR</v>
          </cell>
        </row>
        <row r="366">
          <cell r="A366" t="str">
            <v>PR</v>
          </cell>
        </row>
        <row r="367">
          <cell r="A367" t="str">
            <v>PR</v>
          </cell>
        </row>
        <row r="368">
          <cell r="A368" t="str">
            <v>PR</v>
          </cell>
        </row>
        <row r="369">
          <cell r="A369" t="str">
            <v>PR</v>
          </cell>
        </row>
        <row r="370">
          <cell r="A370" t="str">
            <v>PR</v>
          </cell>
        </row>
        <row r="371">
          <cell r="A371" t="str">
            <v>PR</v>
          </cell>
        </row>
        <row r="372">
          <cell r="A372" t="str">
            <v>PR</v>
          </cell>
        </row>
        <row r="373">
          <cell r="A373" t="str">
            <v>PR</v>
          </cell>
        </row>
        <row r="374">
          <cell r="A374" t="str">
            <v>PR</v>
          </cell>
        </row>
        <row r="375">
          <cell r="A375" t="str">
            <v>PR</v>
          </cell>
        </row>
        <row r="376">
          <cell r="A376" t="str">
            <v>PR</v>
          </cell>
        </row>
        <row r="377">
          <cell r="A377" t="str">
            <v>PR</v>
          </cell>
        </row>
        <row r="378">
          <cell r="A378" t="str">
            <v>PR</v>
          </cell>
        </row>
        <row r="379">
          <cell r="A379" t="str">
            <v>PR</v>
          </cell>
        </row>
        <row r="380">
          <cell r="A380" t="str">
            <v>PR</v>
          </cell>
        </row>
        <row r="381">
          <cell r="A381" t="str">
            <v>PR</v>
          </cell>
        </row>
        <row r="382">
          <cell r="A382" t="str">
            <v>PR</v>
          </cell>
        </row>
        <row r="383">
          <cell r="A383" t="str">
            <v>PR</v>
          </cell>
        </row>
        <row r="384">
          <cell r="A384" t="str">
            <v>PR</v>
          </cell>
        </row>
        <row r="385">
          <cell r="A385" t="str">
            <v>PR</v>
          </cell>
        </row>
        <row r="386">
          <cell r="A386" t="str">
            <v>PR</v>
          </cell>
        </row>
        <row r="387">
          <cell r="A387" t="str">
            <v>PR</v>
          </cell>
        </row>
        <row r="388">
          <cell r="A388" t="str">
            <v>PS</v>
          </cell>
        </row>
        <row r="389">
          <cell r="A389" t="str">
            <v>PS</v>
          </cell>
        </row>
        <row r="390">
          <cell r="A390" t="str">
            <v>PS</v>
          </cell>
        </row>
        <row r="391">
          <cell r="A391" t="str">
            <v>PS</v>
          </cell>
        </row>
        <row r="392">
          <cell r="A392" t="str">
            <v>PS</v>
          </cell>
        </row>
        <row r="393">
          <cell r="A393" t="str">
            <v>PS</v>
          </cell>
        </row>
        <row r="394">
          <cell r="A394" t="str">
            <v>PS</v>
          </cell>
        </row>
        <row r="395">
          <cell r="A395" t="str">
            <v>PS</v>
          </cell>
        </row>
        <row r="396">
          <cell r="A396" t="str">
            <v>PS</v>
          </cell>
        </row>
        <row r="397">
          <cell r="A397" t="str">
            <v>PS</v>
          </cell>
        </row>
        <row r="398">
          <cell r="A398" t="str">
            <v>PS</v>
          </cell>
        </row>
        <row r="399">
          <cell r="A399" t="str">
            <v>PS</v>
          </cell>
        </row>
        <row r="400">
          <cell r="A400" t="str">
            <v>PS</v>
          </cell>
        </row>
        <row r="401">
          <cell r="A401" t="str">
            <v>PS</v>
          </cell>
        </row>
        <row r="402">
          <cell r="A402" t="str">
            <v>PS</v>
          </cell>
        </row>
        <row r="403">
          <cell r="A403" t="str">
            <v>PS</v>
          </cell>
        </row>
        <row r="404">
          <cell r="A404" t="str">
            <v>PS</v>
          </cell>
        </row>
        <row r="405">
          <cell r="A405" t="str">
            <v>PS</v>
          </cell>
        </row>
        <row r="406">
          <cell r="A406" t="str">
            <v>PS</v>
          </cell>
        </row>
        <row r="408">
          <cell r="A408" t="str">
            <v>PS</v>
          </cell>
        </row>
        <row r="409">
          <cell r="A409" t="str">
            <v>PS</v>
          </cell>
        </row>
        <row r="410">
          <cell r="A410" t="str">
            <v>PS</v>
          </cell>
        </row>
        <row r="411">
          <cell r="A411" t="str">
            <v>PS</v>
          </cell>
        </row>
        <row r="412">
          <cell r="A412" t="str">
            <v>PS</v>
          </cell>
        </row>
        <row r="413">
          <cell r="A413" t="str">
            <v>PS</v>
          </cell>
        </row>
        <row r="414">
          <cell r="A414" t="str">
            <v>PS</v>
          </cell>
        </row>
        <row r="415">
          <cell r="A415" t="str">
            <v>PS</v>
          </cell>
        </row>
        <row r="416">
          <cell r="A416" t="str">
            <v>PS</v>
          </cell>
        </row>
        <row r="417">
          <cell r="A417" t="str">
            <v>RE</v>
          </cell>
        </row>
        <row r="418">
          <cell r="A418" t="str">
            <v>RE</v>
          </cell>
        </row>
        <row r="420">
          <cell r="A420" t="str">
            <v>RE</v>
          </cell>
        </row>
        <row r="421">
          <cell r="A421" t="str">
            <v>RE</v>
          </cell>
        </row>
        <row r="422">
          <cell r="A422" t="str">
            <v>RE</v>
          </cell>
        </row>
        <row r="423">
          <cell r="A423" t="str">
            <v>RE</v>
          </cell>
        </row>
        <row r="424">
          <cell r="A424" t="str">
            <v>RE</v>
          </cell>
        </row>
        <row r="425">
          <cell r="A425" t="str">
            <v>RE</v>
          </cell>
        </row>
        <row r="426">
          <cell r="A426" t="str">
            <v>RE</v>
          </cell>
        </row>
        <row r="427">
          <cell r="A427" t="str">
            <v>RE</v>
          </cell>
        </row>
        <row r="428">
          <cell r="A428" t="str">
            <v>RE</v>
          </cell>
        </row>
        <row r="429">
          <cell r="A429" t="str">
            <v>RE</v>
          </cell>
        </row>
        <row r="430">
          <cell r="A430" t="str">
            <v>RE</v>
          </cell>
        </row>
        <row r="431">
          <cell r="A431" t="str">
            <v>RE</v>
          </cell>
        </row>
        <row r="432">
          <cell r="A432" t="str">
            <v>RI</v>
          </cell>
        </row>
        <row r="433">
          <cell r="A433" t="str">
            <v>RI</v>
          </cell>
        </row>
        <row r="434">
          <cell r="A434" t="str">
            <v>RI</v>
          </cell>
        </row>
        <row r="435">
          <cell r="A435" t="str">
            <v>RI</v>
          </cell>
        </row>
        <row r="436">
          <cell r="A436" t="str">
            <v>RI</v>
          </cell>
        </row>
        <row r="437">
          <cell r="A437" t="str">
            <v>RI</v>
          </cell>
        </row>
        <row r="438">
          <cell r="A438" t="str">
            <v>RI</v>
          </cell>
        </row>
        <row r="439">
          <cell r="A439" t="str">
            <v>RI</v>
          </cell>
        </row>
        <row r="440">
          <cell r="A440" t="str">
            <v>RI</v>
          </cell>
        </row>
        <row r="441">
          <cell r="A441" t="str">
            <v>RI</v>
          </cell>
        </row>
        <row r="442">
          <cell r="A442" t="str">
            <v>RI</v>
          </cell>
        </row>
        <row r="443">
          <cell r="A443" t="str">
            <v>RI</v>
          </cell>
        </row>
        <row r="444">
          <cell r="A444" t="str">
            <v>RI</v>
          </cell>
        </row>
        <row r="445">
          <cell r="A445" t="str">
            <v>RI</v>
          </cell>
        </row>
        <row r="446">
          <cell r="A446" t="str">
            <v>RI</v>
          </cell>
        </row>
        <row r="447">
          <cell r="A447" t="str">
            <v>RI</v>
          </cell>
        </row>
        <row r="448">
          <cell r="A448" t="str">
            <v>RI</v>
          </cell>
        </row>
        <row r="449">
          <cell r="A449" t="str">
            <v>RI</v>
          </cell>
        </row>
        <row r="450">
          <cell r="A450" t="str">
            <v>RI</v>
          </cell>
        </row>
        <row r="451">
          <cell r="A451" t="str">
            <v>RI</v>
          </cell>
        </row>
        <row r="452">
          <cell r="A452" t="str">
            <v>RI</v>
          </cell>
        </row>
        <row r="453">
          <cell r="A453" t="str">
            <v>RI</v>
          </cell>
        </row>
        <row r="454">
          <cell r="A454" t="str">
            <v>RI</v>
          </cell>
        </row>
        <row r="455">
          <cell r="A455" t="str">
            <v>RI</v>
          </cell>
        </row>
        <row r="456">
          <cell r="A456" t="str">
            <v>RI</v>
          </cell>
        </row>
        <row r="457">
          <cell r="A457" t="str">
            <v>RI</v>
          </cell>
        </row>
        <row r="458">
          <cell r="A458" t="str">
            <v>RI</v>
          </cell>
        </row>
        <row r="459">
          <cell r="A459" t="str">
            <v>RI</v>
          </cell>
        </row>
        <row r="460">
          <cell r="A460" t="str">
            <v>RI</v>
          </cell>
        </row>
        <row r="461">
          <cell r="A461" t="str">
            <v>RI</v>
          </cell>
        </row>
        <row r="462">
          <cell r="A462" t="str">
            <v>RI</v>
          </cell>
        </row>
        <row r="463">
          <cell r="A463" t="str">
            <v>RI</v>
          </cell>
        </row>
        <row r="464">
          <cell r="A464" t="str">
            <v>RI</v>
          </cell>
        </row>
        <row r="465">
          <cell r="A465" t="str">
            <v>RI</v>
          </cell>
        </row>
        <row r="466">
          <cell r="A466" t="str">
            <v>RI</v>
          </cell>
        </row>
        <row r="467">
          <cell r="A467" t="str">
            <v>RI</v>
          </cell>
        </row>
        <row r="468">
          <cell r="A468" t="str">
            <v>RI</v>
          </cell>
        </row>
        <row r="469">
          <cell r="A469" t="str">
            <v>RI</v>
          </cell>
        </row>
        <row r="470">
          <cell r="A470" t="str">
            <v>RI</v>
          </cell>
        </row>
        <row r="471">
          <cell r="A471" t="str">
            <v>RI</v>
          </cell>
        </row>
        <row r="472">
          <cell r="A472" t="str">
            <v>RI</v>
          </cell>
        </row>
        <row r="473">
          <cell r="A473" t="str">
            <v>RI</v>
          </cell>
        </row>
        <row r="474">
          <cell r="A474" t="str">
            <v>RO</v>
          </cell>
        </row>
        <row r="475">
          <cell r="A475" t="str">
            <v>RO</v>
          </cell>
        </row>
        <row r="476">
          <cell r="A476" t="str">
            <v>RO</v>
          </cell>
        </row>
        <row r="477">
          <cell r="A477" t="str">
            <v>RO</v>
          </cell>
        </row>
        <row r="478">
          <cell r="A478" t="str">
            <v>RO</v>
          </cell>
        </row>
        <row r="479">
          <cell r="A479" t="str">
            <v>RO</v>
          </cell>
        </row>
        <row r="480">
          <cell r="A480" t="str">
            <v>RO</v>
          </cell>
        </row>
        <row r="481">
          <cell r="A481" t="str">
            <v>RO</v>
          </cell>
        </row>
        <row r="482">
          <cell r="A482" t="str">
            <v>RO</v>
          </cell>
        </row>
        <row r="483">
          <cell r="A483" t="str">
            <v>RO</v>
          </cell>
        </row>
        <row r="484">
          <cell r="A484" t="str">
            <v>RO</v>
          </cell>
        </row>
        <row r="485">
          <cell r="A485" t="str">
            <v>RO</v>
          </cell>
        </row>
        <row r="486">
          <cell r="A486" t="str">
            <v>RO</v>
          </cell>
        </row>
        <row r="487">
          <cell r="A487" t="str">
            <v>RO</v>
          </cell>
        </row>
        <row r="488">
          <cell r="A488" t="str">
            <v>RO</v>
          </cell>
        </row>
        <row r="489">
          <cell r="A489" t="str">
            <v>RO</v>
          </cell>
        </row>
        <row r="490">
          <cell r="A490" t="str">
            <v>SE</v>
          </cell>
        </row>
        <row r="491">
          <cell r="A491" t="str">
            <v>SE</v>
          </cell>
        </row>
        <row r="492">
          <cell r="A492" t="str">
            <v>SE</v>
          </cell>
        </row>
        <row r="493">
          <cell r="A493" t="str">
            <v>SE</v>
          </cell>
        </row>
        <row r="494">
          <cell r="A494" t="str">
            <v>SE</v>
          </cell>
        </row>
        <row r="495">
          <cell r="A495" t="str">
            <v>SE</v>
          </cell>
        </row>
        <row r="496">
          <cell r="A496" t="str">
            <v>SE</v>
          </cell>
        </row>
        <row r="498">
          <cell r="A498" t="str">
            <v>SE</v>
          </cell>
        </row>
        <row r="499">
          <cell r="A499" t="str">
            <v>SE</v>
          </cell>
        </row>
        <row r="500">
          <cell r="A500" t="str">
            <v>SE</v>
          </cell>
        </row>
        <row r="501">
          <cell r="A501" t="str">
            <v>SE</v>
          </cell>
        </row>
        <row r="502">
          <cell r="A502" t="str">
            <v>SE</v>
          </cell>
        </row>
        <row r="503">
          <cell r="A503" t="str">
            <v>SE</v>
          </cell>
        </row>
        <row r="504">
          <cell r="A504" t="str">
            <v>SE</v>
          </cell>
        </row>
        <row r="505">
          <cell r="A505" t="str">
            <v>SO</v>
          </cell>
        </row>
        <row r="506">
          <cell r="A506" t="str">
            <v>SO</v>
          </cell>
        </row>
        <row r="507">
          <cell r="A507" t="str">
            <v>SO</v>
          </cell>
        </row>
        <row r="508">
          <cell r="A508" t="str">
            <v>SO</v>
          </cell>
        </row>
        <row r="509">
          <cell r="A509" t="str">
            <v>SO</v>
          </cell>
        </row>
        <row r="510">
          <cell r="A510" t="str">
            <v>SO</v>
          </cell>
        </row>
        <row r="511">
          <cell r="A511" t="str">
            <v>SO</v>
          </cell>
        </row>
        <row r="512">
          <cell r="A512" t="str">
            <v>SO</v>
          </cell>
        </row>
        <row r="513">
          <cell r="A513" t="str">
            <v>SO</v>
          </cell>
        </row>
        <row r="514">
          <cell r="A514" t="str">
            <v>SO</v>
          </cell>
        </row>
        <row r="515">
          <cell r="A515" t="str">
            <v>SO</v>
          </cell>
        </row>
        <row r="516">
          <cell r="A516" t="str">
            <v>SO</v>
          </cell>
        </row>
        <row r="517">
          <cell r="A517" t="str">
            <v>SO</v>
          </cell>
        </row>
        <row r="518">
          <cell r="A518" t="str">
            <v>SO</v>
          </cell>
        </row>
        <row r="519">
          <cell r="A519" t="str">
            <v>SO</v>
          </cell>
        </row>
        <row r="520">
          <cell r="A520" t="str">
            <v>SO</v>
          </cell>
        </row>
        <row r="521">
          <cell r="A521" t="str">
            <v>SO</v>
          </cell>
        </row>
        <row r="522">
          <cell r="A522" t="str">
            <v>SO</v>
          </cell>
        </row>
        <row r="523">
          <cell r="A523" t="str">
            <v>SO</v>
          </cell>
        </row>
        <row r="524">
          <cell r="A524" t="str">
            <v>SO</v>
          </cell>
        </row>
        <row r="525">
          <cell r="A525" t="str">
            <v>SR</v>
          </cell>
        </row>
        <row r="526">
          <cell r="A526" t="str">
            <v>SR</v>
          </cell>
        </row>
        <row r="527">
          <cell r="A527" t="str">
            <v>SR</v>
          </cell>
        </row>
        <row r="528">
          <cell r="A528" t="str">
            <v>SR</v>
          </cell>
        </row>
        <row r="529">
          <cell r="A529" t="str">
            <v>SR</v>
          </cell>
        </row>
        <row r="530">
          <cell r="A530" t="str">
            <v>SR</v>
          </cell>
        </row>
        <row r="531">
          <cell r="A531" t="str">
            <v>SR</v>
          </cell>
        </row>
        <row r="532">
          <cell r="A532" t="str">
            <v>SR</v>
          </cell>
        </row>
        <row r="533">
          <cell r="A533" t="str">
            <v>SR</v>
          </cell>
        </row>
        <row r="534">
          <cell r="A534" t="str">
            <v>SR</v>
          </cell>
        </row>
        <row r="535">
          <cell r="A535" t="str">
            <v>SR</v>
          </cell>
        </row>
        <row r="536">
          <cell r="A536" t="str">
            <v>SR</v>
          </cell>
        </row>
        <row r="537">
          <cell r="A537" t="str">
            <v>SR</v>
          </cell>
        </row>
        <row r="538">
          <cell r="A538" t="str">
            <v>ST</v>
          </cell>
        </row>
        <row r="539">
          <cell r="A539" t="str">
            <v>ST</v>
          </cell>
        </row>
        <row r="540">
          <cell r="A540" t="str">
            <v>ST</v>
          </cell>
        </row>
        <row r="541">
          <cell r="A541" t="str">
            <v>ST</v>
          </cell>
        </row>
        <row r="542">
          <cell r="A542" t="str">
            <v>ST</v>
          </cell>
        </row>
        <row r="543">
          <cell r="A543" t="str">
            <v>ST</v>
          </cell>
        </row>
        <row r="544">
          <cell r="A544" t="str">
            <v>ST</v>
          </cell>
        </row>
        <row r="545">
          <cell r="A545" t="str">
            <v>ST</v>
          </cell>
        </row>
        <row r="547">
          <cell r="A547" t="str">
            <v>ST</v>
          </cell>
        </row>
        <row r="548">
          <cell r="A548" t="str">
            <v>ST</v>
          </cell>
        </row>
        <row r="549">
          <cell r="A549" t="str">
            <v>ST</v>
          </cell>
        </row>
        <row r="550">
          <cell r="A550" t="str">
            <v>ST</v>
          </cell>
        </row>
        <row r="551">
          <cell r="A551" t="str">
            <v>ST</v>
          </cell>
        </row>
        <row r="552">
          <cell r="A552" t="str">
            <v>ST</v>
          </cell>
        </row>
        <row r="553">
          <cell r="A553" t="str">
            <v>ST</v>
          </cell>
        </row>
        <row r="554">
          <cell r="A554" t="str">
            <v>ST</v>
          </cell>
        </row>
        <row r="555">
          <cell r="A555" t="str">
            <v>ST</v>
          </cell>
        </row>
        <row r="556">
          <cell r="A556" t="str">
            <v>ST</v>
          </cell>
        </row>
        <row r="557">
          <cell r="A557" t="str">
            <v>ST</v>
          </cell>
        </row>
        <row r="558">
          <cell r="A558" t="str">
            <v>ST</v>
          </cell>
        </row>
        <row r="559">
          <cell r="A559" t="str">
            <v>ST</v>
          </cell>
        </row>
        <row r="560">
          <cell r="A560" t="str">
            <v>ST</v>
          </cell>
        </row>
        <row r="561">
          <cell r="A561" t="str">
            <v>ST</v>
          </cell>
        </row>
        <row r="562">
          <cell r="A562" t="str">
            <v>ST</v>
          </cell>
        </row>
        <row r="563">
          <cell r="A563" t="str">
            <v>ST</v>
          </cell>
        </row>
        <row r="564">
          <cell r="A564" t="str">
            <v>SU</v>
          </cell>
        </row>
        <row r="565">
          <cell r="A565" t="str">
            <v>SU</v>
          </cell>
        </row>
        <row r="566">
          <cell r="A566" t="str">
            <v>SU</v>
          </cell>
        </row>
        <row r="567">
          <cell r="A567" t="str">
            <v>SU</v>
          </cell>
        </row>
        <row r="568">
          <cell r="A568" t="str">
            <v>SU</v>
          </cell>
        </row>
        <row r="569">
          <cell r="A569" t="str">
            <v>SU</v>
          </cell>
        </row>
        <row r="570">
          <cell r="A570" t="str">
            <v>SU</v>
          </cell>
        </row>
        <row r="571">
          <cell r="A571" t="str">
            <v>SU</v>
          </cell>
        </row>
        <row r="572">
          <cell r="A572" t="str">
            <v>SU</v>
          </cell>
        </row>
        <row r="573">
          <cell r="A573" t="str">
            <v>SU</v>
          </cell>
        </row>
        <row r="574">
          <cell r="A574" t="str">
            <v>SU</v>
          </cell>
        </row>
        <row r="575">
          <cell r="A575" t="str">
            <v>SU</v>
          </cell>
        </row>
        <row r="576">
          <cell r="A576" t="str">
            <v>SU</v>
          </cell>
        </row>
        <row r="577">
          <cell r="A577" t="str">
            <v>SU</v>
          </cell>
        </row>
        <row r="578">
          <cell r="A578" t="str">
            <v>SU</v>
          </cell>
        </row>
        <row r="579">
          <cell r="A579" t="str">
            <v>SU</v>
          </cell>
        </row>
        <row r="580">
          <cell r="A580" t="str">
            <v>SU</v>
          </cell>
        </row>
        <row r="581">
          <cell r="A581" t="str">
            <v>SU</v>
          </cell>
        </row>
        <row r="582">
          <cell r="A582" t="str">
            <v>SU</v>
          </cell>
        </row>
        <row r="583">
          <cell r="A583" t="str">
            <v>SU</v>
          </cell>
        </row>
        <row r="584">
          <cell r="A584" t="str">
            <v>SU</v>
          </cell>
        </row>
        <row r="585">
          <cell r="A585" t="str">
            <v>SW</v>
          </cell>
        </row>
        <row r="586">
          <cell r="A586" t="str">
            <v>SW</v>
          </cell>
        </row>
        <row r="587">
          <cell r="A587" t="str">
            <v>SW</v>
          </cell>
        </row>
        <row r="588">
          <cell r="A588" t="str">
            <v>SW</v>
          </cell>
        </row>
        <row r="589">
          <cell r="A589" t="str">
            <v>SW</v>
          </cell>
        </row>
        <row r="590">
          <cell r="A590" t="str">
            <v>SW</v>
          </cell>
        </row>
        <row r="591">
          <cell r="A591" t="str">
            <v>SW</v>
          </cell>
        </row>
        <row r="592">
          <cell r="A592" t="str">
            <v>SW</v>
          </cell>
        </row>
        <row r="593">
          <cell r="A593" t="str">
            <v>SW</v>
          </cell>
        </row>
        <row r="594">
          <cell r="A594" t="str">
            <v>TM</v>
          </cell>
        </row>
        <row r="596">
          <cell r="A596" t="str">
            <v>TM</v>
          </cell>
        </row>
        <row r="597">
          <cell r="A597" t="str">
            <v>TM</v>
          </cell>
        </row>
        <row r="598">
          <cell r="A598" t="str">
            <v>TM</v>
          </cell>
        </row>
        <row r="599">
          <cell r="A599" t="str">
            <v>TM</v>
          </cell>
        </row>
        <row r="600">
          <cell r="A600" t="str">
            <v>TM</v>
          </cell>
        </row>
        <row r="601">
          <cell r="A601" t="str">
            <v>TM</v>
          </cell>
        </row>
        <row r="602">
          <cell r="A602" t="str">
            <v>TR</v>
          </cell>
        </row>
        <row r="603">
          <cell r="A603" t="str">
            <v>TR</v>
          </cell>
        </row>
        <row r="604">
          <cell r="A604" t="str">
            <v>TR</v>
          </cell>
        </row>
        <row r="605">
          <cell r="A605" t="str">
            <v>TR</v>
          </cell>
        </row>
        <row r="606">
          <cell r="A606" t="str">
            <v>TR</v>
          </cell>
        </row>
        <row r="607">
          <cell r="A607" t="str">
            <v>TR</v>
          </cell>
        </row>
        <row r="608">
          <cell r="A608" t="str">
            <v>TR</v>
          </cell>
        </row>
        <row r="609">
          <cell r="A609" t="str">
            <v>WE</v>
          </cell>
        </row>
        <row r="610">
          <cell r="A610" t="str">
            <v>WE</v>
          </cell>
        </row>
        <row r="611">
          <cell r="A611" t="str">
            <v>WE</v>
          </cell>
        </row>
        <row r="612">
          <cell r="A612" t="str">
            <v>WE</v>
          </cell>
        </row>
        <row r="613">
          <cell r="A613" t="str">
            <v>WI</v>
          </cell>
        </row>
        <row r="614">
          <cell r="A614" t="str">
            <v>WI</v>
          </cell>
        </row>
        <row r="615">
          <cell r="A615" t="str">
            <v>WI</v>
          </cell>
        </row>
        <row r="616">
          <cell r="A616" t="str">
            <v>WI</v>
          </cell>
        </row>
        <row r="617">
          <cell r="A617" t="str">
            <v>WI</v>
          </cell>
        </row>
        <row r="618">
          <cell r="A618" t="str">
            <v>WI</v>
          </cell>
        </row>
        <row r="619">
          <cell r="A619" t="str">
            <v>WI</v>
          </cell>
        </row>
        <row r="620">
          <cell r="A620" t="str">
            <v>WI</v>
          </cell>
        </row>
        <row r="621">
          <cell r="A621" t="str">
            <v>WI</v>
          </cell>
        </row>
        <row r="623">
          <cell r="A623" t="str">
            <v>WI</v>
          </cell>
        </row>
        <row r="624">
          <cell r="A624" t="str">
            <v>WI</v>
          </cell>
        </row>
        <row r="625">
          <cell r="A625" t="str">
            <v>WI</v>
          </cell>
        </row>
        <row r="626">
          <cell r="A626" t="str">
            <v>WI</v>
          </cell>
        </row>
        <row r="627">
          <cell r="A627" t="str">
            <v>WI</v>
          </cell>
        </row>
        <row r="628">
          <cell r="A628" t="str">
            <v>WI</v>
          </cell>
        </row>
        <row r="629">
          <cell r="A629" t="str">
            <v>WI</v>
          </cell>
        </row>
        <row r="630">
          <cell r="A630" t="str">
            <v>WI</v>
          </cell>
        </row>
        <row r="631">
          <cell r="A631" t="str">
            <v>WI</v>
          </cell>
        </row>
        <row r="632">
          <cell r="A632" t="str">
            <v>WI</v>
          </cell>
        </row>
        <row r="633">
          <cell r="A633" t="str">
            <v>WI</v>
          </cell>
        </row>
        <row r="634">
          <cell r="A634" t="str">
            <v>WI</v>
          </cell>
        </row>
        <row r="635">
          <cell r="A635" t="str">
            <v>WI</v>
          </cell>
        </row>
        <row r="636">
          <cell r="A636" t="str">
            <v>WI</v>
          </cell>
        </row>
        <row r="637">
          <cell r="A637" t="str">
            <v>WI</v>
          </cell>
        </row>
        <row r="638">
          <cell r="A638" t="str">
            <v>WI</v>
          </cell>
        </row>
        <row r="639">
          <cell r="A639" t="str">
            <v>WI</v>
          </cell>
        </row>
        <row r="640">
          <cell r="A640" t="str">
            <v>WI</v>
          </cell>
        </row>
        <row r="641">
          <cell r="A641" t="str">
            <v>WI</v>
          </cell>
        </row>
        <row r="642">
          <cell r="A642" t="str">
            <v>WI</v>
          </cell>
        </row>
        <row r="643">
          <cell r="A643" t="str">
            <v>WI</v>
          </cell>
        </row>
        <row r="644">
          <cell r="A644" t="str">
            <v>WI</v>
          </cell>
        </row>
        <row r="646">
          <cell r="A646" t="str">
            <v>WI</v>
          </cell>
        </row>
        <row r="647">
          <cell r="A647" t="str">
            <v>WI</v>
          </cell>
        </row>
        <row r="648">
          <cell r="A648" t="str">
            <v>WI</v>
          </cell>
        </row>
        <row r="649">
          <cell r="A649" t="str">
            <v>WI</v>
          </cell>
        </row>
        <row r="650">
          <cell r="A650" t="str">
            <v>WI</v>
          </cell>
        </row>
        <row r="651">
          <cell r="A651" t="str">
            <v>WI</v>
          </cell>
        </row>
        <row r="652">
          <cell r="A652" t="str">
            <v>WI</v>
          </cell>
        </row>
        <row r="653">
          <cell r="A653" t="str">
            <v>WI</v>
          </cell>
        </row>
        <row r="654">
          <cell r="A654" t="str">
            <v>WI</v>
          </cell>
        </row>
        <row r="655">
          <cell r="A655" t="str">
            <v>WI</v>
          </cell>
        </row>
        <row r="656">
          <cell r="A656" t="str">
            <v>WI</v>
          </cell>
        </row>
        <row r="657">
          <cell r="A657" t="str">
            <v>WI</v>
          </cell>
        </row>
        <row r="658">
          <cell r="A658" t="str">
            <v>WI</v>
          </cell>
        </row>
        <row r="659">
          <cell r="A659" t="str">
            <v>WI</v>
          </cell>
        </row>
        <row r="661">
          <cell r="A661" t="str">
            <v>WI</v>
          </cell>
        </row>
        <row r="662">
          <cell r="A662" t="str">
            <v>WI</v>
          </cell>
        </row>
        <row r="663">
          <cell r="A663" t="str">
            <v>WI</v>
          </cell>
        </row>
        <row r="664">
          <cell r="A664" t="str">
            <v>WI</v>
          </cell>
        </row>
        <row r="665">
          <cell r="A665" t="str">
            <v>WI</v>
          </cell>
        </row>
        <row r="666">
          <cell r="A666" t="str">
            <v>WI</v>
          </cell>
        </row>
        <row r="667">
          <cell r="A667" t="str">
            <v>WI</v>
          </cell>
        </row>
        <row r="668">
          <cell r="A668" t="str">
            <v>WI</v>
          </cell>
        </row>
        <row r="669">
          <cell r="A669" t="str">
            <v>WI</v>
          </cell>
        </row>
        <row r="670">
          <cell r="A670" t="str">
            <v>WI</v>
          </cell>
        </row>
        <row r="671">
          <cell r="A671" t="str">
            <v>WI</v>
          </cell>
        </row>
        <row r="672">
          <cell r="A672" t="str">
            <v>WI</v>
          </cell>
        </row>
        <row r="673">
          <cell r="A673" t="str">
            <v>WI</v>
          </cell>
        </row>
        <row r="674">
          <cell r="A674" t="str">
            <v>WI</v>
          </cell>
        </row>
        <row r="675">
          <cell r="A675" t="str">
            <v>WI</v>
          </cell>
        </row>
        <row r="676">
          <cell r="A676" t="str">
            <v>WI</v>
          </cell>
        </row>
        <row r="677">
          <cell r="A677" t="str">
            <v>WI</v>
          </cell>
        </row>
        <row r="678">
          <cell r="A678" t="str">
            <v>WI</v>
          </cell>
        </row>
        <row r="679">
          <cell r="A679" t="str">
            <v>WI</v>
          </cell>
        </row>
        <row r="680">
          <cell r="A680" t="str">
            <v>WI</v>
          </cell>
        </row>
        <row r="681">
          <cell r="A681" t="str">
            <v>WI</v>
          </cell>
        </row>
        <row r="682">
          <cell r="A682" t="str">
            <v>WI</v>
          </cell>
        </row>
        <row r="683">
          <cell r="A683" t="str">
            <v>WI</v>
          </cell>
        </row>
        <row r="684">
          <cell r="A684" t="str">
            <v>WI</v>
          </cell>
        </row>
        <row r="685">
          <cell r="A685" t="str">
            <v>WI</v>
          </cell>
        </row>
        <row r="686">
          <cell r="A686" t="str">
            <v>WI</v>
          </cell>
        </row>
        <row r="687">
          <cell r="A687" t="str">
            <v>WI</v>
          </cell>
        </row>
        <row r="688">
          <cell r="A688" t="str">
            <v>WI</v>
          </cell>
        </row>
        <row r="689">
          <cell r="A689" t="str">
            <v>WI</v>
          </cell>
        </row>
        <row r="690">
          <cell r="A690" t="str">
            <v>WI</v>
          </cell>
        </row>
        <row r="691">
          <cell r="A691" t="str">
            <v>WI</v>
          </cell>
        </row>
        <row r="692">
          <cell r="A692" t="str">
            <v>XW</v>
          </cell>
        </row>
        <row r="693">
          <cell r="A693" t="str">
            <v>XW</v>
          </cell>
        </row>
        <row r="694">
          <cell r="A694" t="str">
            <v>FR</v>
          </cell>
        </row>
      </sheetData>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115A 2nd Semester"/>
      <sheetName val="DATA"/>
      <sheetName val="FB115A_Feb"/>
    </sheetNames>
    <sheetDataSet>
      <sheetData sheetId="0" refreshError="1"/>
      <sheetData sheetId="1" refreshError="1"/>
      <sheetData sheetId="2">
        <row r="1">
          <cell r="B1">
            <v>1</v>
          </cell>
          <cell r="D1" t="str">
            <v>Press arrow for your School Division Name -&gt;</v>
          </cell>
        </row>
        <row r="2">
          <cell r="D2" t="str">
            <v>BEAUTIFUL PLAINS</v>
          </cell>
        </row>
        <row r="3">
          <cell r="D3" t="str">
            <v>BORDER LAND</v>
          </cell>
        </row>
        <row r="4">
          <cell r="D4" t="str">
            <v>BRANDON</v>
          </cell>
        </row>
        <row r="5">
          <cell r="D5" t="str">
            <v>EVERGREEN</v>
          </cell>
        </row>
        <row r="6">
          <cell r="D6" t="str">
            <v>FLIN FLON</v>
          </cell>
        </row>
        <row r="7">
          <cell r="D7" t="str">
            <v>FORT LA BOSSE</v>
          </cell>
        </row>
        <row r="8">
          <cell r="D8" t="str">
            <v>FRONTIER</v>
          </cell>
        </row>
        <row r="9">
          <cell r="D9" t="str">
            <v>GARDEN VALLEY</v>
          </cell>
        </row>
        <row r="10">
          <cell r="D10" t="str">
            <v>HANOVER</v>
          </cell>
        </row>
        <row r="11">
          <cell r="D11" t="str">
            <v>INTERLAKE</v>
          </cell>
        </row>
        <row r="12">
          <cell r="D12" t="str">
            <v>KELSEY</v>
          </cell>
        </row>
        <row r="13">
          <cell r="D13" t="str">
            <v>LAKESHORE</v>
          </cell>
        </row>
        <row r="14">
          <cell r="D14" t="str">
            <v>LORD SELKIRK</v>
          </cell>
        </row>
        <row r="15">
          <cell r="D15" t="str">
            <v>LOUIS RIEL</v>
          </cell>
        </row>
        <row r="16">
          <cell r="D16" t="str">
            <v>MOUNTAIN VIEW</v>
          </cell>
        </row>
        <row r="17">
          <cell r="D17" t="str">
            <v>MYSTERY LAKE</v>
          </cell>
        </row>
        <row r="18">
          <cell r="D18" t="str">
            <v>PARK WEST</v>
          </cell>
        </row>
        <row r="19">
          <cell r="D19" t="str">
            <v>PEMBINA TRAILS</v>
          </cell>
        </row>
        <row r="20">
          <cell r="D20" t="str">
            <v>PINE CREEK</v>
          </cell>
        </row>
        <row r="21">
          <cell r="D21" t="str">
            <v>PINE FALLS</v>
          </cell>
        </row>
        <row r="22">
          <cell r="D22" t="str">
            <v>PORTAGE LA PRAIRIE</v>
          </cell>
        </row>
        <row r="23">
          <cell r="D23" t="str">
            <v>PRAIRIE ROSE</v>
          </cell>
        </row>
        <row r="24">
          <cell r="D24" t="str">
            <v>PRAIRIE SPIRIT</v>
          </cell>
        </row>
        <row r="25">
          <cell r="D25" t="str">
            <v>RED RIVER VALLEY</v>
          </cell>
        </row>
        <row r="26">
          <cell r="D26" t="str">
            <v>RIVER EAST TRANSCONA</v>
          </cell>
        </row>
        <row r="27">
          <cell r="D27" t="str">
            <v>ROLLING RIVER</v>
          </cell>
        </row>
        <row r="28">
          <cell r="D28" t="str">
            <v>SEINE RIVER</v>
          </cell>
        </row>
        <row r="29">
          <cell r="D29" t="str">
            <v>SEVEN OAKS</v>
          </cell>
        </row>
        <row r="30">
          <cell r="D30" t="str">
            <v>SOUTHWEST HORIZON</v>
          </cell>
        </row>
        <row r="31">
          <cell r="D31" t="str">
            <v>ST. JAMES-ASSINIBOIA</v>
          </cell>
        </row>
        <row r="32">
          <cell r="D32" t="str">
            <v>SUNRISE</v>
          </cell>
        </row>
        <row r="33">
          <cell r="D33" t="str">
            <v>SWAN VALLEY</v>
          </cell>
        </row>
        <row r="34">
          <cell r="D34" t="str">
            <v>TURTLE MOUNTAIN</v>
          </cell>
        </row>
        <row r="35">
          <cell r="D35" t="str">
            <v>TURTLE RIVER</v>
          </cell>
        </row>
        <row r="36">
          <cell r="D36" t="str">
            <v>WESTERN</v>
          </cell>
        </row>
        <row r="37">
          <cell r="D37" t="str">
            <v>WHITESHELL</v>
          </cell>
        </row>
        <row r="38">
          <cell r="D38" t="str">
            <v>WINNIPEG</v>
          </cell>
        </row>
        <row r="39">
          <cell r="D39" t="str">
            <v>WINNIPEG TECHNICAL COLLEGE</v>
          </cell>
        </row>
      </sheetData>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 1 -"/>
      <sheetName val="- 2 -"/>
      <sheetName val="- 3 -"/>
      <sheetName val="- 4 -"/>
      <sheetName val="- 5 -"/>
      <sheetName val="- 6 -"/>
      <sheetName val="- 7 -"/>
      <sheetName val="- 8 -"/>
      <sheetName val="- 9 -"/>
      <sheetName val="- 10 -"/>
      <sheetName val="- 11 -"/>
      <sheetName val="- 12 -"/>
      <sheetName val="- 13 -"/>
      <sheetName val="- 14 -"/>
      <sheetName val="- 15 -"/>
      <sheetName val="- 16 -"/>
      <sheetName val="- 17 -"/>
      <sheetName val="- 18 -"/>
      <sheetName val="- 19 -"/>
      <sheetName val="- 20 -"/>
      <sheetName val="- 21 -"/>
      <sheetName val="- 22 -"/>
      <sheetName val="- 23 -"/>
      <sheetName val="- 24 -"/>
      <sheetName val="- 25 -"/>
      <sheetName val="- 26 -"/>
      <sheetName val="- 27 -"/>
      <sheetName val="- 28 -"/>
      <sheetName val="- 29 -"/>
      <sheetName val="- 30 -"/>
      <sheetName val="- 31 -"/>
      <sheetName val="- 32 -"/>
      <sheetName val="- 33 -"/>
      <sheetName val="- 34 -"/>
      <sheetName val="- 35 -"/>
      <sheetName val="- 36 -"/>
      <sheetName val="- 37 -"/>
      <sheetName val="- 38 -"/>
      <sheetName val="- 39 -"/>
      <sheetName val="- 40 -"/>
      <sheetName val="- 41 -"/>
      <sheetName val="- 42 -"/>
      <sheetName val="- 43 -"/>
      <sheetName val="- 44 -"/>
      <sheetName val="- 45 -"/>
      <sheetName val="- 46 -"/>
      <sheetName val="- 47 -"/>
      <sheetName val="- 48 -"/>
      <sheetName val="- 49 -"/>
      <sheetName val="- 50 - "/>
      <sheetName val="- 51 -"/>
      <sheetName val="- 52 -"/>
      <sheetName val="- 53 -"/>
      <sheetName val="- 54 -"/>
      <sheetName val="- 55 -"/>
      <sheetName val="- 56 -"/>
      <sheetName val="- 57 -"/>
      <sheetName val="- 58 -"/>
      <sheetName val="- 59 -"/>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3">
          <cell r="B3" t="str">
            <v>FOR THE 2008 TAXATION YEAR</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www.edu.gov.mb.ca/k12/finance/frame_manual/index.html" TargetMode="External"/></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K19"/>
  <sheetViews>
    <sheetView showRowColHeaders="0" tabSelected="1" workbookViewId="0"/>
  </sheetViews>
  <sheetFormatPr defaultColWidth="0" defaultRowHeight="12" customHeight="1" zeroHeight="1" x14ac:dyDescent="0.2"/>
  <cols>
    <col min="1" max="1" width="9.33203125" style="594" customWidth="1"/>
    <col min="2" max="2" width="133.5" style="594" customWidth="1"/>
    <col min="3" max="3" width="9.33203125" style="594" customWidth="1"/>
    <col min="4" max="256" width="0" style="594" hidden="1"/>
    <col min="257" max="257" width="9.33203125" style="594" hidden="1" customWidth="1"/>
    <col min="258" max="258" width="133.5" style="594" hidden="1" customWidth="1"/>
    <col min="259" max="259" width="9.33203125" style="594" hidden="1" customWidth="1"/>
    <col min="260" max="512" width="0" style="594" hidden="1"/>
    <col min="513" max="513" width="9.33203125" style="594" hidden="1" customWidth="1"/>
    <col min="514" max="514" width="133.5" style="594" hidden="1" customWidth="1"/>
    <col min="515" max="515" width="9.33203125" style="594" hidden="1" customWidth="1"/>
    <col min="516" max="768" width="0" style="594" hidden="1"/>
    <col min="769" max="769" width="9.33203125" style="594" hidden="1" customWidth="1"/>
    <col min="770" max="770" width="133.5" style="594" hidden="1" customWidth="1"/>
    <col min="771" max="771" width="9.33203125" style="594" hidden="1" customWidth="1"/>
    <col min="772" max="1024" width="0" style="594" hidden="1"/>
    <col min="1025" max="1025" width="9.33203125" style="594" hidden="1" customWidth="1"/>
    <col min="1026" max="1026" width="133.5" style="594" hidden="1" customWidth="1"/>
    <col min="1027" max="1027" width="9.33203125" style="594" hidden="1" customWidth="1"/>
    <col min="1028" max="1280" width="0" style="594" hidden="1"/>
    <col min="1281" max="1281" width="9.33203125" style="594" hidden="1" customWidth="1"/>
    <col min="1282" max="1282" width="133.5" style="594" hidden="1" customWidth="1"/>
    <col min="1283" max="1283" width="9.33203125" style="594" hidden="1" customWidth="1"/>
    <col min="1284" max="1536" width="0" style="594" hidden="1"/>
    <col min="1537" max="1537" width="9.33203125" style="594" hidden="1" customWidth="1"/>
    <col min="1538" max="1538" width="133.5" style="594" hidden="1" customWidth="1"/>
    <col min="1539" max="1539" width="9.33203125" style="594" hidden="1" customWidth="1"/>
    <col min="1540" max="1792" width="0" style="594" hidden="1"/>
    <col min="1793" max="1793" width="9.33203125" style="594" hidden="1" customWidth="1"/>
    <col min="1794" max="1794" width="133.5" style="594" hidden="1" customWidth="1"/>
    <col min="1795" max="1795" width="9.33203125" style="594" hidden="1" customWidth="1"/>
    <col min="1796" max="2048" width="0" style="594" hidden="1"/>
    <col min="2049" max="2049" width="9.33203125" style="594" hidden="1" customWidth="1"/>
    <col min="2050" max="2050" width="133.5" style="594" hidden="1" customWidth="1"/>
    <col min="2051" max="2051" width="9.33203125" style="594" hidden="1" customWidth="1"/>
    <col min="2052" max="2304" width="0" style="594" hidden="1"/>
    <col min="2305" max="2305" width="9.33203125" style="594" hidden="1" customWidth="1"/>
    <col min="2306" max="2306" width="133.5" style="594" hidden="1" customWidth="1"/>
    <col min="2307" max="2307" width="9.33203125" style="594" hidden="1" customWidth="1"/>
    <col min="2308" max="2560" width="0" style="594" hidden="1"/>
    <col min="2561" max="2561" width="9.33203125" style="594" hidden="1" customWidth="1"/>
    <col min="2562" max="2562" width="133.5" style="594" hidden="1" customWidth="1"/>
    <col min="2563" max="2563" width="9.33203125" style="594" hidden="1" customWidth="1"/>
    <col min="2564" max="2816" width="0" style="594" hidden="1"/>
    <col min="2817" max="2817" width="9.33203125" style="594" hidden="1" customWidth="1"/>
    <col min="2818" max="2818" width="133.5" style="594" hidden="1" customWidth="1"/>
    <col min="2819" max="2819" width="9.33203125" style="594" hidden="1" customWidth="1"/>
    <col min="2820" max="3072" width="0" style="594" hidden="1"/>
    <col min="3073" max="3073" width="9.33203125" style="594" hidden="1" customWidth="1"/>
    <col min="3074" max="3074" width="133.5" style="594" hidden="1" customWidth="1"/>
    <col min="3075" max="3075" width="9.33203125" style="594" hidden="1" customWidth="1"/>
    <col min="3076" max="3328" width="0" style="594" hidden="1"/>
    <col min="3329" max="3329" width="9.33203125" style="594" hidden="1" customWidth="1"/>
    <col min="3330" max="3330" width="133.5" style="594" hidden="1" customWidth="1"/>
    <col min="3331" max="3331" width="9.33203125" style="594" hidden="1" customWidth="1"/>
    <col min="3332" max="3584" width="0" style="594" hidden="1"/>
    <col min="3585" max="3585" width="9.33203125" style="594" hidden="1" customWidth="1"/>
    <col min="3586" max="3586" width="133.5" style="594" hidden="1" customWidth="1"/>
    <col min="3587" max="3587" width="9.33203125" style="594" hidden="1" customWidth="1"/>
    <col min="3588" max="3840" width="0" style="594" hidden="1"/>
    <col min="3841" max="3841" width="9.33203125" style="594" hidden="1" customWidth="1"/>
    <col min="3842" max="3842" width="133.5" style="594" hidden="1" customWidth="1"/>
    <col min="3843" max="3843" width="9.33203125" style="594" hidden="1" customWidth="1"/>
    <col min="3844" max="4096" width="0" style="594" hidden="1"/>
    <col min="4097" max="4097" width="9.33203125" style="594" hidden="1" customWidth="1"/>
    <col min="4098" max="4098" width="133.5" style="594" hidden="1" customWidth="1"/>
    <col min="4099" max="4099" width="9.33203125" style="594" hidden="1" customWidth="1"/>
    <col min="4100" max="4352" width="0" style="594" hidden="1"/>
    <col min="4353" max="4353" width="9.33203125" style="594" hidden="1" customWidth="1"/>
    <col min="4354" max="4354" width="133.5" style="594" hidden="1" customWidth="1"/>
    <col min="4355" max="4355" width="9.33203125" style="594" hidden="1" customWidth="1"/>
    <col min="4356" max="4608" width="0" style="594" hidden="1"/>
    <col min="4609" max="4609" width="9.33203125" style="594" hidden="1" customWidth="1"/>
    <col min="4610" max="4610" width="133.5" style="594" hidden="1" customWidth="1"/>
    <col min="4611" max="4611" width="9.33203125" style="594" hidden="1" customWidth="1"/>
    <col min="4612" max="4864" width="0" style="594" hidden="1"/>
    <col min="4865" max="4865" width="9.33203125" style="594" hidden="1" customWidth="1"/>
    <col min="4866" max="4866" width="133.5" style="594" hidden="1" customWidth="1"/>
    <col min="4867" max="4867" width="9.33203125" style="594" hidden="1" customWidth="1"/>
    <col min="4868" max="5120" width="0" style="594" hidden="1"/>
    <col min="5121" max="5121" width="9.33203125" style="594" hidden="1" customWidth="1"/>
    <col min="5122" max="5122" width="133.5" style="594" hidden="1" customWidth="1"/>
    <col min="5123" max="5123" width="9.33203125" style="594" hidden="1" customWidth="1"/>
    <col min="5124" max="5376" width="0" style="594" hidden="1"/>
    <col min="5377" max="5377" width="9.33203125" style="594" hidden="1" customWidth="1"/>
    <col min="5378" max="5378" width="133.5" style="594" hidden="1" customWidth="1"/>
    <col min="5379" max="5379" width="9.33203125" style="594" hidden="1" customWidth="1"/>
    <col min="5380" max="5632" width="0" style="594" hidden="1"/>
    <col min="5633" max="5633" width="9.33203125" style="594" hidden="1" customWidth="1"/>
    <col min="5634" max="5634" width="133.5" style="594" hidden="1" customWidth="1"/>
    <col min="5635" max="5635" width="9.33203125" style="594" hidden="1" customWidth="1"/>
    <col min="5636" max="5888" width="0" style="594" hidden="1"/>
    <col min="5889" max="5889" width="9.33203125" style="594" hidden="1" customWidth="1"/>
    <col min="5890" max="5890" width="133.5" style="594" hidden="1" customWidth="1"/>
    <col min="5891" max="5891" width="9.33203125" style="594" hidden="1" customWidth="1"/>
    <col min="5892" max="6144" width="0" style="594" hidden="1"/>
    <col min="6145" max="6145" width="9.33203125" style="594" hidden="1" customWidth="1"/>
    <col min="6146" max="6146" width="133.5" style="594" hidden="1" customWidth="1"/>
    <col min="6147" max="6147" width="9.33203125" style="594" hidden="1" customWidth="1"/>
    <col min="6148" max="6400" width="0" style="594" hidden="1"/>
    <col min="6401" max="6401" width="9.33203125" style="594" hidden="1" customWidth="1"/>
    <col min="6402" max="6402" width="133.5" style="594" hidden="1" customWidth="1"/>
    <col min="6403" max="6403" width="9.33203125" style="594" hidden="1" customWidth="1"/>
    <col min="6404" max="6656" width="0" style="594" hidden="1"/>
    <col min="6657" max="6657" width="9.33203125" style="594" hidden="1" customWidth="1"/>
    <col min="6658" max="6658" width="133.5" style="594" hidden="1" customWidth="1"/>
    <col min="6659" max="6659" width="9.33203125" style="594" hidden="1" customWidth="1"/>
    <col min="6660" max="6912" width="0" style="594" hidden="1"/>
    <col min="6913" max="6913" width="9.33203125" style="594" hidden="1" customWidth="1"/>
    <col min="6914" max="6914" width="133.5" style="594" hidden="1" customWidth="1"/>
    <col min="6915" max="6915" width="9.33203125" style="594" hidden="1" customWidth="1"/>
    <col min="6916" max="7168" width="0" style="594" hidden="1"/>
    <col min="7169" max="7169" width="9.33203125" style="594" hidden="1" customWidth="1"/>
    <col min="7170" max="7170" width="133.5" style="594" hidden="1" customWidth="1"/>
    <col min="7171" max="7171" width="9.33203125" style="594" hidden="1" customWidth="1"/>
    <col min="7172" max="7424" width="0" style="594" hidden="1"/>
    <col min="7425" max="7425" width="9.33203125" style="594" hidden="1" customWidth="1"/>
    <col min="7426" max="7426" width="133.5" style="594" hidden="1" customWidth="1"/>
    <col min="7427" max="7427" width="9.33203125" style="594" hidden="1" customWidth="1"/>
    <col min="7428" max="7680" width="0" style="594" hidden="1"/>
    <col min="7681" max="7681" width="9.33203125" style="594" hidden="1" customWidth="1"/>
    <col min="7682" max="7682" width="133.5" style="594" hidden="1" customWidth="1"/>
    <col min="7683" max="7683" width="9.33203125" style="594" hidden="1" customWidth="1"/>
    <col min="7684" max="7936" width="0" style="594" hidden="1"/>
    <col min="7937" max="7937" width="9.33203125" style="594" hidden="1" customWidth="1"/>
    <col min="7938" max="7938" width="133.5" style="594" hidden="1" customWidth="1"/>
    <col min="7939" max="7939" width="9.33203125" style="594" hidden="1" customWidth="1"/>
    <col min="7940" max="8192" width="0" style="594" hidden="1"/>
    <col min="8193" max="8193" width="9.33203125" style="594" hidden="1" customWidth="1"/>
    <col min="8194" max="8194" width="133.5" style="594" hidden="1" customWidth="1"/>
    <col min="8195" max="8195" width="9.33203125" style="594" hidden="1" customWidth="1"/>
    <col min="8196" max="8448" width="0" style="594" hidden="1"/>
    <col min="8449" max="8449" width="9.33203125" style="594" hidden="1" customWidth="1"/>
    <col min="8450" max="8450" width="133.5" style="594" hidden="1" customWidth="1"/>
    <col min="8451" max="8451" width="9.33203125" style="594" hidden="1" customWidth="1"/>
    <col min="8452" max="8704" width="0" style="594" hidden="1"/>
    <col min="8705" max="8705" width="9.33203125" style="594" hidden="1" customWidth="1"/>
    <col min="8706" max="8706" width="133.5" style="594" hidden="1" customWidth="1"/>
    <col min="8707" max="8707" width="9.33203125" style="594" hidden="1" customWidth="1"/>
    <col min="8708" max="8960" width="0" style="594" hidden="1"/>
    <col min="8961" max="8961" width="9.33203125" style="594" hidden="1" customWidth="1"/>
    <col min="8962" max="8962" width="133.5" style="594" hidden="1" customWidth="1"/>
    <col min="8963" max="8963" width="9.33203125" style="594" hidden="1" customWidth="1"/>
    <col min="8964" max="9216" width="0" style="594" hidden="1"/>
    <col min="9217" max="9217" width="9.33203125" style="594" hidden="1" customWidth="1"/>
    <col min="9218" max="9218" width="133.5" style="594" hidden="1" customWidth="1"/>
    <col min="9219" max="9219" width="9.33203125" style="594" hidden="1" customWidth="1"/>
    <col min="9220" max="9472" width="0" style="594" hidden="1"/>
    <col min="9473" max="9473" width="9.33203125" style="594" hidden="1" customWidth="1"/>
    <col min="9474" max="9474" width="133.5" style="594" hidden="1" customWidth="1"/>
    <col min="9475" max="9475" width="9.33203125" style="594" hidden="1" customWidth="1"/>
    <col min="9476" max="9728" width="0" style="594" hidden="1"/>
    <col min="9729" max="9729" width="9.33203125" style="594" hidden="1" customWidth="1"/>
    <col min="9730" max="9730" width="133.5" style="594" hidden="1" customWidth="1"/>
    <col min="9731" max="9731" width="9.33203125" style="594" hidden="1" customWidth="1"/>
    <col min="9732" max="9984" width="0" style="594" hidden="1"/>
    <col min="9985" max="9985" width="9.33203125" style="594" hidden="1" customWidth="1"/>
    <col min="9986" max="9986" width="133.5" style="594" hidden="1" customWidth="1"/>
    <col min="9987" max="9987" width="9.33203125" style="594" hidden="1" customWidth="1"/>
    <col min="9988" max="10240" width="0" style="594" hidden="1"/>
    <col min="10241" max="10241" width="9.33203125" style="594" hidden="1" customWidth="1"/>
    <col min="10242" max="10242" width="133.5" style="594" hidden="1" customWidth="1"/>
    <col min="10243" max="10243" width="9.33203125" style="594" hidden="1" customWidth="1"/>
    <col min="10244" max="10496" width="0" style="594" hidden="1"/>
    <col min="10497" max="10497" width="9.33203125" style="594" hidden="1" customWidth="1"/>
    <col min="10498" max="10498" width="133.5" style="594" hidden="1" customWidth="1"/>
    <col min="10499" max="10499" width="9.33203125" style="594" hidden="1" customWidth="1"/>
    <col min="10500" max="10752" width="0" style="594" hidden="1"/>
    <col min="10753" max="10753" width="9.33203125" style="594" hidden="1" customWidth="1"/>
    <col min="10754" max="10754" width="133.5" style="594" hidden="1" customWidth="1"/>
    <col min="10755" max="10755" width="9.33203125" style="594" hidden="1" customWidth="1"/>
    <col min="10756" max="11008" width="0" style="594" hidden="1"/>
    <col min="11009" max="11009" width="9.33203125" style="594" hidden="1" customWidth="1"/>
    <col min="11010" max="11010" width="133.5" style="594" hidden="1" customWidth="1"/>
    <col min="11011" max="11011" width="9.33203125" style="594" hidden="1" customWidth="1"/>
    <col min="11012" max="11264" width="0" style="594" hidden="1"/>
    <col min="11265" max="11265" width="9.33203125" style="594" hidden="1" customWidth="1"/>
    <col min="11266" max="11266" width="133.5" style="594" hidden="1" customWidth="1"/>
    <col min="11267" max="11267" width="9.33203125" style="594" hidden="1" customWidth="1"/>
    <col min="11268" max="11520" width="0" style="594" hidden="1"/>
    <col min="11521" max="11521" width="9.33203125" style="594" hidden="1" customWidth="1"/>
    <col min="11522" max="11522" width="133.5" style="594" hidden="1" customWidth="1"/>
    <col min="11523" max="11523" width="9.33203125" style="594" hidden="1" customWidth="1"/>
    <col min="11524" max="11776" width="0" style="594" hidden="1"/>
    <col min="11777" max="11777" width="9.33203125" style="594" hidden="1" customWidth="1"/>
    <col min="11778" max="11778" width="133.5" style="594" hidden="1" customWidth="1"/>
    <col min="11779" max="11779" width="9.33203125" style="594" hidden="1" customWidth="1"/>
    <col min="11780" max="12032" width="0" style="594" hidden="1"/>
    <col min="12033" max="12033" width="9.33203125" style="594" hidden="1" customWidth="1"/>
    <col min="12034" max="12034" width="133.5" style="594" hidden="1" customWidth="1"/>
    <col min="12035" max="12035" width="9.33203125" style="594" hidden="1" customWidth="1"/>
    <col min="12036" max="12288" width="0" style="594" hidden="1"/>
    <col min="12289" max="12289" width="9.33203125" style="594" hidden="1" customWidth="1"/>
    <col min="12290" max="12290" width="133.5" style="594" hidden="1" customWidth="1"/>
    <col min="12291" max="12291" width="9.33203125" style="594" hidden="1" customWidth="1"/>
    <col min="12292" max="12544" width="0" style="594" hidden="1"/>
    <col min="12545" max="12545" width="9.33203125" style="594" hidden="1" customWidth="1"/>
    <col min="12546" max="12546" width="133.5" style="594" hidden="1" customWidth="1"/>
    <col min="12547" max="12547" width="9.33203125" style="594" hidden="1" customWidth="1"/>
    <col min="12548" max="12800" width="0" style="594" hidden="1"/>
    <col min="12801" max="12801" width="9.33203125" style="594" hidden="1" customWidth="1"/>
    <col min="12802" max="12802" width="133.5" style="594" hidden="1" customWidth="1"/>
    <col min="12803" max="12803" width="9.33203125" style="594" hidden="1" customWidth="1"/>
    <col min="12804" max="13056" width="0" style="594" hidden="1"/>
    <col min="13057" max="13057" width="9.33203125" style="594" hidden="1" customWidth="1"/>
    <col min="13058" max="13058" width="133.5" style="594" hidden="1" customWidth="1"/>
    <col min="13059" max="13059" width="9.33203125" style="594" hidden="1" customWidth="1"/>
    <col min="13060" max="13312" width="0" style="594" hidden="1"/>
    <col min="13313" max="13313" width="9.33203125" style="594" hidden="1" customWidth="1"/>
    <col min="13314" max="13314" width="133.5" style="594" hidden="1" customWidth="1"/>
    <col min="13315" max="13315" width="9.33203125" style="594" hidden="1" customWidth="1"/>
    <col min="13316" max="13568" width="0" style="594" hidden="1"/>
    <col min="13569" max="13569" width="9.33203125" style="594" hidden="1" customWidth="1"/>
    <col min="13570" max="13570" width="133.5" style="594" hidden="1" customWidth="1"/>
    <col min="13571" max="13571" width="9.33203125" style="594" hidden="1" customWidth="1"/>
    <col min="13572" max="13824" width="0" style="594" hidden="1"/>
    <col min="13825" max="13825" width="9.33203125" style="594" hidden="1" customWidth="1"/>
    <col min="13826" max="13826" width="133.5" style="594" hidden="1" customWidth="1"/>
    <col min="13827" max="13827" width="9.33203125" style="594" hidden="1" customWidth="1"/>
    <col min="13828" max="14080" width="0" style="594" hidden="1"/>
    <col min="14081" max="14081" width="9.33203125" style="594" hidden="1" customWidth="1"/>
    <col min="14082" max="14082" width="133.5" style="594" hidden="1" customWidth="1"/>
    <col min="14083" max="14083" width="9.33203125" style="594" hidden="1" customWidth="1"/>
    <col min="14084" max="14336" width="0" style="594" hidden="1"/>
    <col min="14337" max="14337" width="9.33203125" style="594" hidden="1" customWidth="1"/>
    <col min="14338" max="14338" width="133.5" style="594" hidden="1" customWidth="1"/>
    <col min="14339" max="14339" width="9.33203125" style="594" hidden="1" customWidth="1"/>
    <col min="14340" max="14592" width="0" style="594" hidden="1"/>
    <col min="14593" max="14593" width="9.33203125" style="594" hidden="1" customWidth="1"/>
    <col min="14594" max="14594" width="133.5" style="594" hidden="1" customWidth="1"/>
    <col min="14595" max="14595" width="9.33203125" style="594" hidden="1" customWidth="1"/>
    <col min="14596" max="14848" width="0" style="594" hidden="1"/>
    <col min="14849" max="14849" width="9.33203125" style="594" hidden="1" customWidth="1"/>
    <col min="14850" max="14850" width="133.5" style="594" hidden="1" customWidth="1"/>
    <col min="14851" max="14851" width="9.33203125" style="594" hidden="1" customWidth="1"/>
    <col min="14852" max="15104" width="0" style="594" hidden="1"/>
    <col min="15105" max="15105" width="9.33203125" style="594" hidden="1" customWidth="1"/>
    <col min="15106" max="15106" width="133.5" style="594" hidden="1" customWidth="1"/>
    <col min="15107" max="15107" width="9.33203125" style="594" hidden="1" customWidth="1"/>
    <col min="15108" max="15360" width="0" style="594" hidden="1"/>
    <col min="15361" max="15361" width="9.33203125" style="594" hidden="1" customWidth="1"/>
    <col min="15362" max="15362" width="133.5" style="594" hidden="1" customWidth="1"/>
    <col min="15363" max="15363" width="9.33203125" style="594" hidden="1" customWidth="1"/>
    <col min="15364" max="15616" width="0" style="594" hidden="1"/>
    <col min="15617" max="15617" width="9.33203125" style="594" hidden="1" customWidth="1"/>
    <col min="15618" max="15618" width="133.5" style="594" hidden="1" customWidth="1"/>
    <col min="15619" max="15619" width="9.33203125" style="594" hidden="1" customWidth="1"/>
    <col min="15620" max="15872" width="0" style="594" hidden="1"/>
    <col min="15873" max="15873" width="9.33203125" style="594" hidden="1" customWidth="1"/>
    <col min="15874" max="15874" width="133.5" style="594" hidden="1" customWidth="1"/>
    <col min="15875" max="15875" width="9.33203125" style="594" hidden="1" customWidth="1"/>
    <col min="15876" max="16128" width="0" style="594" hidden="1"/>
    <col min="16129" max="16129" width="9.33203125" style="594" hidden="1" customWidth="1"/>
    <col min="16130" max="16130" width="133.5" style="594" hidden="1" customWidth="1"/>
    <col min="16131" max="16131" width="9.33203125" style="594" hidden="1" customWidth="1"/>
    <col min="16132" max="16384" width="0" style="594" hidden="1"/>
  </cols>
  <sheetData>
    <row r="1" spans="1:3" ht="14.25" x14ac:dyDescent="0.2">
      <c r="A1" s="593"/>
      <c r="B1" s="593"/>
      <c r="C1" s="593"/>
    </row>
    <row r="2" spans="1:3" ht="15" x14ac:dyDescent="0.25">
      <c r="A2" s="593"/>
      <c r="B2" s="595" t="s">
        <v>657</v>
      </c>
      <c r="C2" s="593"/>
    </row>
    <row r="3" spans="1:3" ht="14.25" x14ac:dyDescent="0.2">
      <c r="A3" s="593"/>
      <c r="B3" s="593"/>
      <c r="C3" s="593"/>
    </row>
    <row r="4" spans="1:3" ht="14.25" x14ac:dyDescent="0.2">
      <c r="A4" s="593"/>
      <c r="B4" s="596" t="s">
        <v>652</v>
      </c>
      <c r="C4" s="596"/>
    </row>
    <row r="5" spans="1:3" ht="14.25" x14ac:dyDescent="0.2">
      <c r="A5" s="593"/>
      <c r="B5" s="593"/>
      <c r="C5" s="593"/>
    </row>
    <row r="6" spans="1:3" ht="14.25" x14ac:dyDescent="0.2">
      <c r="A6" s="593"/>
      <c r="B6" s="597" t="s">
        <v>653</v>
      </c>
      <c r="C6" s="593"/>
    </row>
    <row r="7" spans="1:3" ht="14.25" x14ac:dyDescent="0.2">
      <c r="A7" s="593"/>
      <c r="B7" s="597"/>
      <c r="C7" s="593"/>
    </row>
    <row r="8" spans="1:3" ht="14.25" x14ac:dyDescent="0.2">
      <c r="A8" s="593"/>
      <c r="B8" s="598" t="s">
        <v>654</v>
      </c>
      <c r="C8" s="593"/>
    </row>
    <row r="9" spans="1:3" ht="14.25" x14ac:dyDescent="0.2">
      <c r="A9" s="593"/>
      <c r="B9" s="598"/>
      <c r="C9" s="593"/>
    </row>
    <row r="10" spans="1:3" ht="14.25" x14ac:dyDescent="0.2">
      <c r="A10" s="593"/>
      <c r="B10" s="598"/>
      <c r="C10" s="593"/>
    </row>
    <row r="11" spans="1:3" ht="14.25" x14ac:dyDescent="0.2">
      <c r="A11" s="593"/>
      <c r="B11" s="593"/>
      <c r="C11" s="593"/>
    </row>
    <row r="12" spans="1:3" ht="14.25" x14ac:dyDescent="0.2">
      <c r="A12" s="593"/>
      <c r="B12" s="598" t="s">
        <v>655</v>
      </c>
      <c r="C12" s="593"/>
    </row>
    <row r="13" spans="1:3" ht="14.25" x14ac:dyDescent="0.2">
      <c r="A13" s="593"/>
      <c r="B13" s="598"/>
      <c r="C13" s="593"/>
    </row>
    <row r="14" spans="1:3" ht="14.25" x14ac:dyDescent="0.2">
      <c r="A14" s="593"/>
      <c r="B14" s="593"/>
      <c r="C14" s="593"/>
    </row>
    <row r="15" spans="1:3" ht="14.25" x14ac:dyDescent="0.2">
      <c r="A15" s="593"/>
      <c r="B15" s="598" t="s">
        <v>656</v>
      </c>
      <c r="C15" s="593"/>
    </row>
    <row r="16" spans="1:3" ht="14.25" x14ac:dyDescent="0.2">
      <c r="A16" s="593"/>
      <c r="B16" s="598"/>
      <c r="C16" s="593"/>
    </row>
    <row r="17" spans="1:3" ht="14.25" x14ac:dyDescent="0.2">
      <c r="A17" s="593"/>
      <c r="B17" s="598"/>
      <c r="C17" s="593"/>
    </row>
    <row r="18" spans="1:3" ht="40.5" customHeight="1" x14ac:dyDescent="0.2">
      <c r="A18" s="593"/>
      <c r="B18" s="596"/>
      <c r="C18" s="593"/>
    </row>
    <row r="19" spans="1:3" hidden="1" x14ac:dyDescent="0.2"/>
  </sheetData>
  <mergeCells count="4">
    <mergeCell ref="B6:B7"/>
    <mergeCell ref="B8:B10"/>
    <mergeCell ref="B12:B13"/>
    <mergeCell ref="B15:B17"/>
  </mergeCells>
  <pageMargins left="0.70866141732283472" right="0.70866141732283472" top="0.74803149606299213" bottom="0.74803149606299213" header="0.31496062992125984" footer="0.31496062992125984"/>
  <pageSetup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A2:O54"/>
  <sheetViews>
    <sheetView showGridLines="0" showZeros="0" workbookViewId="0"/>
  </sheetViews>
  <sheetFormatPr defaultColWidth="14.83203125" defaultRowHeight="12" x14ac:dyDescent="0.2"/>
  <cols>
    <col min="1" max="1" width="48.83203125" style="2" customWidth="1"/>
    <col min="2" max="2" width="22.83203125" style="2" customWidth="1"/>
    <col min="3" max="3" width="7.83203125" style="2" customWidth="1"/>
    <col min="4" max="4" width="15.83203125" style="2" customWidth="1"/>
    <col min="5" max="5" width="7.83203125" style="2" customWidth="1"/>
    <col min="6" max="6" width="15.83203125" style="2" customWidth="1"/>
    <col min="7" max="7" width="7.83203125" style="2" customWidth="1"/>
    <col min="8" max="8" width="12.83203125" style="2" customWidth="1"/>
    <col min="9" max="9" width="7.83203125" style="2" customWidth="1"/>
    <col min="10" max="10" width="15.83203125" style="2" customWidth="1"/>
    <col min="11" max="11" width="8.83203125" style="2" customWidth="1"/>
    <col min="12" max="12" width="5.83203125" style="2" customWidth="1"/>
    <col min="13" max="13" width="45.6640625" style="2" hidden="1" customWidth="1"/>
    <col min="14" max="18" width="0" style="2" hidden="1" customWidth="1"/>
    <col min="19" max="16384" width="14.83203125" style="2"/>
  </cols>
  <sheetData>
    <row r="2" spans="1:14" x14ac:dyDescent="0.2">
      <c r="A2" s="39"/>
      <c r="B2" s="39"/>
      <c r="C2" s="40" t="str">
        <f>OPYEAR</f>
        <v>OPERATING FUND 2019/2020 ACTUAL</v>
      </c>
      <c r="D2" s="40"/>
      <c r="E2" s="40"/>
      <c r="F2" s="41"/>
      <c r="G2" s="41"/>
      <c r="H2" s="41"/>
      <c r="I2" s="41"/>
      <c r="J2" s="42"/>
      <c r="K2" s="111" t="s">
        <v>77</v>
      </c>
    </row>
    <row r="3" spans="1:14" ht="11.1" customHeight="1" x14ac:dyDescent="0.2">
      <c r="A3" s="538"/>
      <c r="J3" s="80"/>
      <c r="K3" s="80"/>
    </row>
    <row r="4" spans="1:14" ht="15.75" x14ac:dyDescent="0.25">
      <c r="B4" s="280" t="s">
        <v>258</v>
      </c>
      <c r="C4" s="80"/>
      <c r="D4" s="80"/>
      <c r="E4" s="80"/>
      <c r="F4" s="80"/>
      <c r="G4" s="80"/>
      <c r="H4" s="80"/>
      <c r="I4" s="80"/>
      <c r="J4" s="80"/>
      <c r="K4" s="80"/>
    </row>
    <row r="5" spans="1:14" ht="15.75" x14ac:dyDescent="0.25">
      <c r="B5" s="280" t="s">
        <v>259</v>
      </c>
      <c r="C5" s="80"/>
      <c r="D5" s="80"/>
      <c r="E5" s="80"/>
      <c r="F5" s="80"/>
      <c r="G5" s="80"/>
      <c r="H5" s="80"/>
      <c r="I5" s="80"/>
      <c r="J5" s="80"/>
      <c r="K5" s="80"/>
    </row>
    <row r="6" spans="1:14" ht="11.1" customHeight="1" x14ac:dyDescent="0.2"/>
    <row r="7" spans="1:14" x14ac:dyDescent="0.2">
      <c r="B7" s="112" t="s">
        <v>78</v>
      </c>
      <c r="C7" s="41"/>
      <c r="D7" s="41"/>
      <c r="E7" s="41"/>
      <c r="F7" s="41"/>
      <c r="G7" s="41"/>
      <c r="H7" s="41"/>
      <c r="I7" s="113"/>
    </row>
    <row r="8" spans="1:14" x14ac:dyDescent="0.2">
      <c r="A8" s="8"/>
      <c r="B8" s="653" t="s">
        <v>463</v>
      </c>
      <c r="C8" s="650"/>
      <c r="D8" s="653" t="s">
        <v>75</v>
      </c>
      <c r="E8" s="650"/>
      <c r="F8" s="653" t="s">
        <v>76</v>
      </c>
      <c r="G8" s="650"/>
      <c r="H8" s="311"/>
      <c r="I8" s="306"/>
      <c r="J8" s="316"/>
      <c r="K8" s="306"/>
    </row>
    <row r="9" spans="1:14" x14ac:dyDescent="0.2">
      <c r="A9" s="8"/>
      <c r="B9" s="651"/>
      <c r="C9" s="652"/>
      <c r="D9" s="651"/>
      <c r="E9" s="652"/>
      <c r="F9" s="651"/>
      <c r="G9" s="652"/>
      <c r="H9" s="654" t="s">
        <v>30</v>
      </c>
      <c r="I9" s="655"/>
      <c r="J9" s="654" t="s">
        <v>31</v>
      </c>
      <c r="K9" s="655"/>
    </row>
    <row r="10" spans="1:14" x14ac:dyDescent="0.2">
      <c r="A10" s="114" t="s">
        <v>71</v>
      </c>
      <c r="B10" s="115" t="s">
        <v>43</v>
      </c>
      <c r="C10" s="115" t="s">
        <v>44</v>
      </c>
      <c r="D10" s="115" t="s">
        <v>43</v>
      </c>
      <c r="E10" s="115" t="s">
        <v>44</v>
      </c>
      <c r="F10" s="115" t="s">
        <v>43</v>
      </c>
      <c r="G10" s="115" t="s">
        <v>44</v>
      </c>
      <c r="H10" s="115" t="s">
        <v>43</v>
      </c>
      <c r="I10" s="46" t="s">
        <v>44</v>
      </c>
      <c r="J10" s="115" t="s">
        <v>43</v>
      </c>
      <c r="K10" s="46" t="s">
        <v>44</v>
      </c>
    </row>
    <row r="11" spans="1:14" ht="5.0999999999999996" customHeight="1" x14ac:dyDescent="0.2"/>
    <row r="12" spans="1:14" x14ac:dyDescent="0.2">
      <c r="A12" s="313" t="s">
        <v>72</v>
      </c>
      <c r="B12" s="117"/>
      <c r="C12" s="118"/>
      <c r="D12" s="117"/>
      <c r="E12" s="118"/>
      <c r="F12" s="117"/>
      <c r="G12" s="118"/>
      <c r="H12" s="117"/>
      <c r="I12" s="118"/>
      <c r="J12" s="117"/>
      <c r="K12" s="118"/>
      <c r="M12" s="2" t="s">
        <v>72</v>
      </c>
      <c r="N12" s="131">
        <f>K21/100</f>
        <v>0.78092539822535001</v>
      </c>
    </row>
    <row r="13" spans="1:14" x14ac:dyDescent="0.2">
      <c r="A13" s="119" t="s">
        <v>190</v>
      </c>
      <c r="B13" s="120"/>
      <c r="C13" s="339"/>
      <c r="D13" s="120"/>
      <c r="E13" s="339"/>
      <c r="F13" s="120"/>
      <c r="G13" s="339"/>
      <c r="H13" s="120"/>
      <c r="I13" s="339"/>
      <c r="J13" s="120">
        <f>SUM(F13,D13,B13,'- 12 -'!J13,'- 12 -'!H13,'- 12 -'!F13,'- 12 -'!D13,'- 12 -'!B13)</f>
        <v>3952002</v>
      </c>
      <c r="K13" s="339">
        <f t="shared" ref="K13:K22" si="0">J13/$J$53*100</f>
        <v>0.16386414063980054</v>
      </c>
      <c r="M13" s="2" t="s">
        <v>89</v>
      </c>
      <c r="N13" s="131">
        <f>K22/100</f>
        <v>6.3076005563866416E-2</v>
      </c>
    </row>
    <row r="14" spans="1:14" x14ac:dyDescent="0.2">
      <c r="A14" s="119" t="s">
        <v>226</v>
      </c>
      <c r="B14" s="120">
        <v>5084755</v>
      </c>
      <c r="C14" s="339">
        <f>B14/$J$53*100</f>
        <v>0.21083213228103853</v>
      </c>
      <c r="D14" s="120">
        <v>3331585</v>
      </c>
      <c r="E14" s="339">
        <f>D14/$J$53*100</f>
        <v>0.13813943236705087</v>
      </c>
      <c r="F14" s="120">
        <v>5401013</v>
      </c>
      <c r="G14" s="339">
        <f>F14/$J$53*100</f>
        <v>0.22394532032863115</v>
      </c>
      <c r="H14" s="120"/>
      <c r="I14" s="339"/>
      <c r="J14" s="120">
        <f>SUM(F14,D14,B14,'- 12 -'!J14,'- 12 -'!H14,'- 12 -'!F14,'- 12 -'!D14,'- 12 -'!B14)</f>
        <v>153039703</v>
      </c>
      <c r="K14" s="339">
        <f t="shared" si="0"/>
        <v>6.345573563946906</v>
      </c>
      <c r="M14" s="2" t="s">
        <v>67</v>
      </c>
      <c r="N14" s="131">
        <f>K39/100</f>
        <v>8.3631903259125118E-2</v>
      </c>
    </row>
    <row r="15" spans="1:14" x14ac:dyDescent="0.2">
      <c r="A15" s="119" t="s">
        <v>191</v>
      </c>
      <c r="B15" s="120">
        <v>25291399</v>
      </c>
      <c r="C15" s="339">
        <f>B15/$J$53*100</f>
        <v>1.0486718788890568</v>
      </c>
      <c r="D15" s="120"/>
      <c r="E15" s="339">
        <f>D15/$J$53*100</f>
        <v>0</v>
      </c>
      <c r="F15" s="120"/>
      <c r="G15" s="339">
        <f>F15/$J$53*100</f>
        <v>0</v>
      </c>
      <c r="H15" s="120"/>
      <c r="I15" s="339"/>
      <c r="J15" s="120">
        <f>SUM(F15,D15,B15,'- 12 -'!J15,'- 12 -'!H15,'- 12 -'!F15,'- 12 -'!D15,'- 12 -'!B15)</f>
        <v>1224213125</v>
      </c>
      <c r="K15" s="339">
        <f t="shared" si="0"/>
        <v>50.760255609205082</v>
      </c>
      <c r="M15" s="2" t="s">
        <v>90</v>
      </c>
      <c r="N15" s="131">
        <f>K45/100</f>
        <v>5.5032532217061746E-2</v>
      </c>
    </row>
    <row r="16" spans="1:14" x14ac:dyDescent="0.2">
      <c r="A16" s="119" t="s">
        <v>192</v>
      </c>
      <c r="B16" s="120">
        <v>15083341</v>
      </c>
      <c r="C16" s="339">
        <f>B16/$J$53*100</f>
        <v>0.62540927634704369</v>
      </c>
      <c r="D16" s="120">
        <v>427127</v>
      </c>
      <c r="E16" s="339">
        <f>D16/$J$53*100</f>
        <v>1.77102134055236E-2</v>
      </c>
      <c r="F16" s="120"/>
      <c r="G16" s="339">
        <f>F16/$J$53*100</f>
        <v>0</v>
      </c>
      <c r="H16" s="120"/>
      <c r="I16" s="339"/>
      <c r="J16" s="120">
        <f>SUM(F16,D16,B16,'- 12 -'!J16,'- 12 -'!H16,'- 12 -'!F16,'- 12 -'!D16,'- 12 -'!B16)</f>
        <v>198961247</v>
      </c>
      <c r="K16" s="339">
        <f t="shared" si="0"/>
        <v>8.2496450559180108</v>
      </c>
      <c r="M16" s="2" t="s">
        <v>37</v>
      </c>
      <c r="N16" s="131">
        <f>K48/100</f>
        <v>9.9602064055388123E-4</v>
      </c>
    </row>
    <row r="17" spans="1:15" x14ac:dyDescent="0.2">
      <c r="A17" s="119" t="s">
        <v>193</v>
      </c>
      <c r="B17" s="120">
        <v>4171692</v>
      </c>
      <c r="C17" s="339">
        <f>B17/$J$53*100</f>
        <v>0.17297327394923653</v>
      </c>
      <c r="D17" s="120">
        <v>37860145</v>
      </c>
      <c r="E17" s="339">
        <f>D17/$J$53*100</f>
        <v>1.5698170509334863</v>
      </c>
      <c r="F17" s="120">
        <v>114503727</v>
      </c>
      <c r="G17" s="339">
        <f>F17/$J$53*100</f>
        <v>4.7477341420650401</v>
      </c>
      <c r="H17" s="120"/>
      <c r="I17" s="339"/>
      <c r="J17" s="120">
        <f>SUM(F17,D17,B17,'- 12 -'!J17,'- 12 -'!H17,'- 12 -'!F17,'- 12 -'!D17,'- 12 -'!B17)</f>
        <v>174893602</v>
      </c>
      <c r="K17" s="339">
        <f t="shared" si="0"/>
        <v>7.2517143956732051</v>
      </c>
      <c r="M17" s="2" t="s">
        <v>47</v>
      </c>
      <c r="N17" s="131">
        <f>K51/100-N16</f>
        <v>1.633814009404282E-2</v>
      </c>
    </row>
    <row r="18" spans="1:15" x14ac:dyDescent="0.2">
      <c r="A18" s="121" t="s">
        <v>194</v>
      </c>
      <c r="B18" s="120">
        <v>2498446</v>
      </c>
      <c r="C18" s="339">
        <f>B18/$J$53*100</f>
        <v>0.10359450899188488</v>
      </c>
      <c r="D18" s="120">
        <v>1877795</v>
      </c>
      <c r="E18" s="339">
        <f>D18/$J$53*100</f>
        <v>7.786009824203384E-2</v>
      </c>
      <c r="F18" s="120">
        <v>1898618</v>
      </c>
      <c r="G18" s="339">
        <f>F18/$J$53*100</f>
        <v>7.8723494313326967E-2</v>
      </c>
      <c r="H18" s="120"/>
      <c r="I18" s="339"/>
      <c r="J18" s="120">
        <f>SUM(F18,D18,B18,'- 12 -'!J18,'- 12 -'!H18,'- 12 -'!F18,'- 12 -'!D18,'- 12 -'!B18)</f>
        <v>66232035</v>
      </c>
      <c r="K18" s="339">
        <f t="shared" si="0"/>
        <v>2.7462171066968568</v>
      </c>
      <c r="N18" s="131"/>
    </row>
    <row r="19" spans="1:15" x14ac:dyDescent="0.2">
      <c r="A19" s="121" t="s">
        <v>195</v>
      </c>
      <c r="B19" s="122"/>
      <c r="C19" s="340"/>
      <c r="D19" s="122"/>
      <c r="E19" s="340"/>
      <c r="F19" s="122"/>
      <c r="G19" s="340"/>
      <c r="H19" s="122"/>
      <c r="I19" s="340"/>
      <c r="J19" s="122">
        <f>SUM(F19,D19,B19,'- 12 -'!J19,'- 12 -'!H19,'- 12 -'!F19,'- 12 -'!D19,'- 12 -'!B19)</f>
        <v>45234368</v>
      </c>
      <c r="K19" s="340">
        <f t="shared" si="0"/>
        <v>1.8755787167376161</v>
      </c>
      <c r="N19" s="131">
        <f>SUM(N12:N17)</f>
        <v>1</v>
      </c>
    </row>
    <row r="20" spans="1:15" x14ac:dyDescent="0.2">
      <c r="A20" s="124" t="s">
        <v>196</v>
      </c>
      <c r="B20" s="123">
        <v>267497</v>
      </c>
      <c r="C20" s="340">
        <f>B20/'- 13 -'!$J$53*100</f>
        <v>1.1091382552115288E-2</v>
      </c>
      <c r="D20" s="123">
        <v>0</v>
      </c>
      <c r="E20" s="340">
        <f>D20/'- 13 -'!$J$53*100</f>
        <v>0</v>
      </c>
      <c r="F20" s="123">
        <v>0</v>
      </c>
      <c r="G20" s="340">
        <f>F20/'- 13 -'!$J$53*100</f>
        <v>0</v>
      </c>
      <c r="H20" s="123"/>
      <c r="I20" s="340"/>
      <c r="J20" s="123">
        <f>SUM(F20,D20,B20,'- 12 -'!J20,'- 12 -'!H20,'- 12 -'!F20,'- 12 -'!D20,'- 12 -'!B20)</f>
        <v>16874840</v>
      </c>
      <c r="K20" s="340">
        <f t="shared" si="0"/>
        <v>0.6996912337175264</v>
      </c>
      <c r="N20" s="131"/>
    </row>
    <row r="21" spans="1:15" x14ac:dyDescent="0.2">
      <c r="A21" s="125" t="s">
        <v>197</v>
      </c>
      <c r="B21" s="342">
        <f>SUM(B13:B20)</f>
        <v>52397130</v>
      </c>
      <c r="C21" s="343">
        <f>B21/$J$53*100</f>
        <v>2.1725724530103756</v>
      </c>
      <c r="D21" s="342">
        <f>SUM(D13:D20)</f>
        <v>43496652</v>
      </c>
      <c r="E21" s="343">
        <f>D21/$J$53*100</f>
        <v>1.8035267949480949</v>
      </c>
      <c r="F21" s="342">
        <f>SUM(F13:F20)</f>
        <v>121803358</v>
      </c>
      <c r="G21" s="343">
        <f>F21/$J$53*100</f>
        <v>5.050402956706999</v>
      </c>
      <c r="H21" s="342"/>
      <c r="I21" s="343"/>
      <c r="J21" s="342">
        <f>SUM(F21,D21,B21,'- 12 -'!J21,'- 12 -'!H21,'- 12 -'!F21,'- 12 -'!D21,'- 12 -'!B21)</f>
        <v>1883400922</v>
      </c>
      <c r="K21" s="343">
        <f t="shared" si="0"/>
        <v>78.092539822535002</v>
      </c>
      <c r="N21" s="131"/>
    </row>
    <row r="22" spans="1:15" x14ac:dyDescent="0.2">
      <c r="A22" s="313" t="s">
        <v>80</v>
      </c>
      <c r="B22" s="342">
        <v>5102033</v>
      </c>
      <c r="C22" s="343">
        <f>B22/$J$53*100</f>
        <v>0.21154853997060311</v>
      </c>
      <c r="D22" s="342">
        <v>6619542</v>
      </c>
      <c r="E22" s="343">
        <f>D22/$J$53*100</f>
        <v>0.27446989178119502</v>
      </c>
      <c r="F22" s="342">
        <v>20289969</v>
      </c>
      <c r="G22" s="343">
        <f>F22/$J$53*100</f>
        <v>0.84129469919124356</v>
      </c>
      <c r="H22" s="342"/>
      <c r="I22" s="343"/>
      <c r="J22" s="342">
        <f>SUM(F22,D22,B22,'- 12 -'!J22,'- 12 -'!H22,'- 12 -'!F22,'- 12 -'!D22,'- 12 -'!B22)</f>
        <v>152123887</v>
      </c>
      <c r="K22" s="343">
        <f t="shared" si="0"/>
        <v>6.3076005563866415</v>
      </c>
    </row>
    <row r="23" spans="1:15" x14ac:dyDescent="0.2">
      <c r="A23" s="313" t="s">
        <v>67</v>
      </c>
      <c r="B23" s="128"/>
      <c r="C23" s="341"/>
      <c r="D23" s="128"/>
      <c r="E23" s="341"/>
      <c r="F23" s="128"/>
      <c r="G23" s="341"/>
      <c r="H23" s="128"/>
      <c r="I23" s="341"/>
      <c r="J23" s="128"/>
      <c r="K23" s="341"/>
      <c r="M23" s="2" t="s">
        <v>26</v>
      </c>
      <c r="N23" s="131">
        <f>'- 12 -'!C50/100</f>
        <v>0.5675610164456153</v>
      </c>
      <c r="O23" s="2" t="s">
        <v>26</v>
      </c>
    </row>
    <row r="24" spans="1:15" x14ac:dyDescent="0.2">
      <c r="A24" s="121" t="s">
        <v>198</v>
      </c>
      <c r="B24" s="120">
        <v>2522553</v>
      </c>
      <c r="C24" s="339">
        <f t="shared" ref="C24:C34" si="1">B24/$J$53*100</f>
        <v>0.10459407145121656</v>
      </c>
      <c r="D24" s="120">
        <v>398967</v>
      </c>
      <c r="E24" s="339">
        <f t="shared" ref="E24:E34" si="2">D24/$J$53*100</f>
        <v>1.6542599067166288E-2</v>
      </c>
      <c r="F24" s="120">
        <v>6096819</v>
      </c>
      <c r="G24" s="339">
        <f t="shared" ref="G24:G34" si="3">F24/$J$53*100</f>
        <v>0.25279592623470537</v>
      </c>
      <c r="H24" s="120"/>
      <c r="I24" s="339"/>
      <c r="J24" s="120">
        <f>SUM(F24,D24,B24,'- 12 -'!J24,'- 12 -'!H24,'- 12 -'!F24,'- 12 -'!D24,'- 12 -'!B24)</f>
        <v>26807888</v>
      </c>
      <c r="K24" s="339">
        <f t="shared" ref="K24:K39" si="4">J24/$J$53*100</f>
        <v>1.1115509378507451</v>
      </c>
      <c r="M24" s="2" t="s">
        <v>27</v>
      </c>
      <c r="N24" s="131">
        <f>'- 12 -'!E50/100</f>
        <v>0.18494803262666573</v>
      </c>
      <c r="O24" s="2" t="s">
        <v>260</v>
      </c>
    </row>
    <row r="25" spans="1:15" x14ac:dyDescent="0.2">
      <c r="A25" s="121" t="s">
        <v>199</v>
      </c>
      <c r="B25" s="122">
        <v>118507</v>
      </c>
      <c r="C25" s="340">
        <f t="shared" si="1"/>
        <v>4.9137241617794834E-3</v>
      </c>
      <c r="D25" s="122">
        <v>348936</v>
      </c>
      <c r="E25" s="340">
        <f t="shared" si="2"/>
        <v>1.44681348284463E-2</v>
      </c>
      <c r="F25" s="122">
        <v>693174</v>
      </c>
      <c r="G25" s="340">
        <f t="shared" si="3"/>
        <v>2.8741473770472051E-2</v>
      </c>
      <c r="H25" s="122"/>
      <c r="I25" s="340"/>
      <c r="J25" s="122">
        <f>SUM(F25,D25,B25,'- 12 -'!J25,'- 12 -'!H25,'- 12 -'!F25,'- 12 -'!D25,'- 12 -'!B25)</f>
        <v>6419311</v>
      </c>
      <c r="K25" s="340">
        <f t="shared" si="4"/>
        <v>0.26616759822353797</v>
      </c>
      <c r="M25" s="2" t="s">
        <v>106</v>
      </c>
      <c r="N25" s="131">
        <f>'- 12 -'!G50/100</f>
        <v>5.0120189621679764E-3</v>
      </c>
      <c r="O25" s="2" t="s">
        <v>106</v>
      </c>
    </row>
    <row r="26" spans="1:15" x14ac:dyDescent="0.2">
      <c r="A26" s="121" t="s">
        <v>200</v>
      </c>
      <c r="B26" s="122"/>
      <c r="C26" s="340">
        <f t="shared" si="1"/>
        <v>0</v>
      </c>
      <c r="D26" s="122"/>
      <c r="E26" s="340">
        <f t="shared" si="2"/>
        <v>0</v>
      </c>
      <c r="F26" s="122">
        <v>45452897</v>
      </c>
      <c r="G26" s="340">
        <f t="shared" si="3"/>
        <v>1.8846397108337414</v>
      </c>
      <c r="H26" s="122"/>
      <c r="I26" s="340"/>
      <c r="J26" s="122">
        <f>SUM(F26,D26,B26,'- 12 -'!J26,'- 12 -'!H26,'- 12 -'!F26,'- 12 -'!D26,'- 12 -'!B26)</f>
        <v>45512701</v>
      </c>
      <c r="K26" s="340">
        <f t="shared" si="4"/>
        <v>1.8871193986139658</v>
      </c>
      <c r="L26" s="647" t="s">
        <v>107</v>
      </c>
      <c r="M26" s="2" t="s">
        <v>28</v>
      </c>
      <c r="N26" s="131">
        <f>'- 12 -'!I50/100</f>
        <v>9.8402945690955375E-3</v>
      </c>
      <c r="O26" s="2" t="s">
        <v>28</v>
      </c>
    </row>
    <row r="27" spans="1:15" ht="12.75" customHeight="1" x14ac:dyDescent="0.2">
      <c r="A27" s="121" t="s">
        <v>222</v>
      </c>
      <c r="B27" s="122">
        <v>691567</v>
      </c>
      <c r="C27" s="340">
        <f t="shared" si="1"/>
        <v>2.8674841801660252E-2</v>
      </c>
      <c r="D27" s="122">
        <v>939215</v>
      </c>
      <c r="E27" s="340">
        <f t="shared" si="2"/>
        <v>3.8943213806827588E-2</v>
      </c>
      <c r="F27" s="122">
        <v>755873</v>
      </c>
      <c r="G27" s="340">
        <f t="shared" si="3"/>
        <v>3.1341198607143399E-2</v>
      </c>
      <c r="H27" s="122"/>
      <c r="I27" s="340"/>
      <c r="J27" s="122">
        <f>SUM(F27,D27,B27,'- 12 -'!J27,'- 12 -'!H27,'- 12 -'!F27,'- 12 -'!D27,'- 12 -'!B27)</f>
        <v>8213292</v>
      </c>
      <c r="K27" s="340">
        <f t="shared" si="4"/>
        <v>0.34055246819301926</v>
      </c>
      <c r="L27" s="648"/>
      <c r="M27" s="2" t="s">
        <v>93</v>
      </c>
      <c r="N27" s="131">
        <f>'- 12 -'!K50/100</f>
        <v>3.2841458226564708E-2</v>
      </c>
      <c r="O27" s="2" t="s">
        <v>93</v>
      </c>
    </row>
    <row r="28" spans="1:15" ht="12.75" customHeight="1" x14ac:dyDescent="0.2">
      <c r="A28" s="121" t="s">
        <v>201</v>
      </c>
      <c r="B28" s="122"/>
      <c r="C28" s="340">
        <f t="shared" si="1"/>
        <v>0</v>
      </c>
      <c r="D28" s="122">
        <v>15052300</v>
      </c>
      <c r="E28" s="340">
        <f t="shared" si="2"/>
        <v>0.62412220544232244</v>
      </c>
      <c r="F28" s="122"/>
      <c r="G28" s="340">
        <f t="shared" si="3"/>
        <v>0</v>
      </c>
      <c r="H28" s="122"/>
      <c r="I28" s="340"/>
      <c r="J28" s="122">
        <f>SUM(F28,D28,B28,'- 12 -'!J28,'- 12 -'!H28,'- 12 -'!F28,'- 12 -'!D28,'- 12 -'!B28)</f>
        <v>15052300</v>
      </c>
      <c r="K28" s="340">
        <f t="shared" si="4"/>
        <v>0.62412220544232244</v>
      </c>
      <c r="L28" s="648"/>
      <c r="M28" s="2" t="s">
        <v>92</v>
      </c>
      <c r="N28" s="131">
        <f>C53/100</f>
        <v>3.2153777747300022E-2</v>
      </c>
      <c r="O28" s="2" t="s">
        <v>92</v>
      </c>
    </row>
    <row r="29" spans="1:15" ht="12.75" customHeight="1" x14ac:dyDescent="0.2">
      <c r="A29" s="121" t="s">
        <v>202</v>
      </c>
      <c r="B29" s="122">
        <v>3727</v>
      </c>
      <c r="C29" s="340">
        <f t="shared" si="1"/>
        <v>1.5453475280744711E-4</v>
      </c>
      <c r="D29" s="122"/>
      <c r="E29" s="340">
        <f t="shared" si="2"/>
        <v>0</v>
      </c>
      <c r="F29" s="122"/>
      <c r="G29" s="340">
        <f t="shared" si="3"/>
        <v>0</v>
      </c>
      <c r="H29" s="122"/>
      <c r="I29" s="340"/>
      <c r="J29" s="122">
        <f>SUM(F29,D29,B29,'- 12 -'!J29,'- 12 -'!H29,'- 12 -'!F29,'- 12 -'!D29,'- 12 -'!B29)</f>
        <v>1869371</v>
      </c>
      <c r="K29" s="340">
        <f t="shared" si="4"/>
        <v>7.7510809066383191E-2</v>
      </c>
      <c r="M29" s="2" t="s">
        <v>75</v>
      </c>
      <c r="N29" s="131">
        <f>E53/100</f>
        <v>3.6913096937269185E-2</v>
      </c>
      <c r="O29" s="2" t="s">
        <v>75</v>
      </c>
    </row>
    <row r="30" spans="1:15" ht="12.75" customHeight="1" x14ac:dyDescent="0.2">
      <c r="A30" s="121" t="s">
        <v>203</v>
      </c>
      <c r="B30" s="122">
        <v>146215</v>
      </c>
      <c r="C30" s="340">
        <f t="shared" si="1"/>
        <v>6.0625969631716865E-3</v>
      </c>
      <c r="D30" s="122">
        <v>7274</v>
      </c>
      <c r="E30" s="340">
        <f t="shared" si="2"/>
        <v>3.0160606169073526E-4</v>
      </c>
      <c r="F30" s="122">
        <v>5819</v>
      </c>
      <c r="G30" s="340">
        <f t="shared" si="3"/>
        <v>2.4127655663711689E-4</v>
      </c>
      <c r="H30" s="122"/>
      <c r="I30" s="340"/>
      <c r="J30" s="122">
        <f>SUM(F30,D30,B30,'- 12 -'!J30,'- 12 -'!H30,'- 12 -'!F30,'- 12 -'!D30,'- 12 -'!B30)</f>
        <v>544920</v>
      </c>
      <c r="K30" s="340">
        <f t="shared" si="4"/>
        <v>2.2594332573070586E-2</v>
      </c>
      <c r="M30" s="2" t="s">
        <v>91</v>
      </c>
      <c r="N30" s="131">
        <f>G53/100</f>
        <v>0.11339614375072485</v>
      </c>
      <c r="O30" s="2" t="s">
        <v>91</v>
      </c>
    </row>
    <row r="31" spans="1:15" ht="12.75" customHeight="1" x14ac:dyDescent="0.2">
      <c r="A31" s="121" t="s">
        <v>204</v>
      </c>
      <c r="B31" s="122">
        <v>151328</v>
      </c>
      <c r="C31" s="340">
        <f t="shared" si="1"/>
        <v>6.274600234195158E-3</v>
      </c>
      <c r="D31" s="122">
        <v>1123906</v>
      </c>
      <c r="E31" s="340">
        <f t="shared" si="2"/>
        <v>4.6601163372365612E-2</v>
      </c>
      <c r="F31" s="122">
        <v>9422142</v>
      </c>
      <c r="G31" s="340">
        <f t="shared" si="3"/>
        <v>0.3906757136803502</v>
      </c>
      <c r="H31" s="122"/>
      <c r="I31" s="340"/>
      <c r="J31" s="122">
        <f>SUM(F31,D31,B31,'- 12 -'!J31,'- 12 -'!H31,'- 12 -'!F31,'- 12 -'!D31,'- 12 -'!B31)</f>
        <v>12602019</v>
      </c>
      <c r="K31" s="340">
        <f t="shared" si="4"/>
        <v>0.52252478965381044</v>
      </c>
      <c r="M31" s="2" t="s">
        <v>30</v>
      </c>
      <c r="N31" s="131">
        <f>I53/100</f>
        <v>1.7334160734596701E-2</v>
      </c>
      <c r="O31" s="2" t="s">
        <v>30</v>
      </c>
    </row>
    <row r="32" spans="1:15" x14ac:dyDescent="0.2">
      <c r="A32" s="121" t="s">
        <v>205</v>
      </c>
      <c r="B32" s="122">
        <v>29327</v>
      </c>
      <c r="C32" s="340">
        <f t="shared" si="1"/>
        <v>1.2160023331322782E-3</v>
      </c>
      <c r="D32" s="122">
        <v>2947397</v>
      </c>
      <c r="E32" s="340">
        <f t="shared" si="2"/>
        <v>0.12220962350963541</v>
      </c>
      <c r="F32" s="122">
        <v>34147950</v>
      </c>
      <c r="G32" s="340">
        <f t="shared" si="3"/>
        <v>1.4158961663888014</v>
      </c>
      <c r="H32" s="122"/>
      <c r="I32" s="340"/>
      <c r="J32" s="122">
        <f>SUM(F32,D32,B32,'- 12 -'!J32,'- 12 -'!H32,'- 12 -'!F32,'- 12 -'!D32,'- 12 -'!B32)</f>
        <v>40209161</v>
      </c>
      <c r="K32" s="340">
        <f t="shared" si="4"/>
        <v>1.6672156575609987</v>
      </c>
      <c r="N32" s="131"/>
    </row>
    <row r="33" spans="1:14" x14ac:dyDescent="0.2">
      <c r="A33" s="121" t="s">
        <v>206</v>
      </c>
      <c r="B33" s="122">
        <v>394975</v>
      </c>
      <c r="C33" s="340">
        <f t="shared" si="1"/>
        <v>1.6377076466359382E-2</v>
      </c>
      <c r="D33" s="122">
        <v>1044836</v>
      </c>
      <c r="E33" s="340">
        <f t="shared" si="2"/>
        <v>4.3322638310792007E-2</v>
      </c>
      <c r="F33" s="122">
        <v>2980858</v>
      </c>
      <c r="G33" s="340">
        <f t="shared" si="3"/>
        <v>0.1235970362715592</v>
      </c>
      <c r="H33" s="122"/>
      <c r="I33" s="340"/>
      <c r="J33" s="122">
        <f>SUM(F33,D33,B33,'- 12 -'!J33,'- 12 -'!H33,'- 12 -'!F33,'- 12 -'!D33,'- 12 -'!B33)</f>
        <v>9382067</v>
      </c>
      <c r="K33" s="340">
        <f t="shared" si="4"/>
        <v>0.38901406081779094</v>
      </c>
      <c r="N33" s="131">
        <f>SUM(N23:N31)</f>
        <v>0.99999999999999989</v>
      </c>
    </row>
    <row r="34" spans="1:14" x14ac:dyDescent="0.2">
      <c r="A34" s="392" t="s">
        <v>247</v>
      </c>
      <c r="B34" s="122"/>
      <c r="C34" s="340">
        <f t="shared" si="1"/>
        <v>0</v>
      </c>
      <c r="D34" s="122"/>
      <c r="E34" s="340">
        <f t="shared" si="2"/>
        <v>0</v>
      </c>
      <c r="F34" s="122">
        <v>5264700</v>
      </c>
      <c r="G34" s="340">
        <f t="shared" si="3"/>
        <v>0.21829329570844289</v>
      </c>
      <c r="H34" s="122"/>
      <c r="I34" s="340"/>
      <c r="J34" s="122">
        <f>SUM(F34,D34,B34,'- 12 -'!J34,'- 12 -'!H34,'- 12 -'!F34,'- 12 -'!D34,'- 12 -'!B34)</f>
        <v>5280602</v>
      </c>
      <c r="K34" s="340">
        <f t="shared" si="4"/>
        <v>0.21895264951556498</v>
      </c>
    </row>
    <row r="35" spans="1:14" x14ac:dyDescent="0.2">
      <c r="A35" s="121" t="s">
        <v>207</v>
      </c>
      <c r="B35" s="122">
        <v>21475</v>
      </c>
      <c r="C35" s="340">
        <f>B35/J53</f>
        <v>8.9043032372952149E-6</v>
      </c>
      <c r="D35" s="122">
        <v>26892</v>
      </c>
      <c r="E35" s="340">
        <f>D35/J53</f>
        <v>1.11503852226935E-5</v>
      </c>
      <c r="F35" s="122">
        <v>24258</v>
      </c>
      <c r="G35" s="340">
        <f>F35/J53</f>
        <v>1.0058234595124904E-5</v>
      </c>
      <c r="H35" s="122"/>
      <c r="I35" s="340"/>
      <c r="J35" s="122">
        <f>SUM(F35,D35,B35,'- 12 -'!J35,'- 12 -'!H35,'- 12 -'!F35,'- 12 -'!D35,'- 12 -'!B35)</f>
        <v>1070268</v>
      </c>
      <c r="K35" s="340">
        <f t="shared" si="4"/>
        <v>4.4377140010120955E-2</v>
      </c>
    </row>
    <row r="36" spans="1:14" x14ac:dyDescent="0.2">
      <c r="A36" s="121" t="s">
        <v>208</v>
      </c>
      <c r="B36" s="122">
        <v>191181</v>
      </c>
      <c r="C36" s="340">
        <f>B36/$J$53*100</f>
        <v>7.9270481825813102E-3</v>
      </c>
      <c r="D36" s="122">
        <v>65237</v>
      </c>
      <c r="E36" s="340">
        <f>D36/$J$53*100</f>
        <v>2.7049593960019928E-3</v>
      </c>
      <c r="F36" s="122">
        <v>94357</v>
      </c>
      <c r="G36" s="340">
        <f>F36/$J$53*100</f>
        <v>3.9123787686214887E-3</v>
      </c>
      <c r="H36" s="122"/>
      <c r="I36" s="340"/>
      <c r="J36" s="122">
        <f>SUM(F36,D36,B36,'- 12 -'!J36,'- 12 -'!H36,'- 12 -'!F36,'- 12 -'!D36,'- 12 -'!B36)</f>
        <v>4128222</v>
      </c>
      <c r="K36" s="340">
        <f t="shared" si="4"/>
        <v>0.17117085224155215</v>
      </c>
    </row>
    <row r="37" spans="1:14" x14ac:dyDescent="0.2">
      <c r="A37" s="126" t="s">
        <v>209</v>
      </c>
      <c r="B37" s="122">
        <v>7129650</v>
      </c>
      <c r="C37" s="340">
        <f>B37/'- 13 -'!$J$53*100</f>
        <v>0.2956207942993333</v>
      </c>
      <c r="D37" s="122">
        <v>116948</v>
      </c>
      <c r="E37" s="340">
        <f>D37/'- 13 -'!$J$53*100</f>
        <v>4.849082444680795E-3</v>
      </c>
      <c r="F37" s="122">
        <v>148282</v>
      </c>
      <c r="G37" s="340">
        <f>F37/'- 13 -'!$J$53*100</f>
        <v>6.1483021775674447E-3</v>
      </c>
      <c r="H37" s="122"/>
      <c r="I37" s="340"/>
      <c r="J37" s="122">
        <f>SUM(F37,D37,B37,'- 12 -'!J37,'- 12 -'!H37,'- 12 -'!F37,'- 12 -'!D37,'- 12 -'!B37)</f>
        <v>8915686</v>
      </c>
      <c r="K37" s="340">
        <f t="shared" si="4"/>
        <v>0.36967623614671768</v>
      </c>
    </row>
    <row r="38" spans="1:14" x14ac:dyDescent="0.2">
      <c r="A38" s="127" t="s">
        <v>210</v>
      </c>
      <c r="B38" s="122">
        <v>848612</v>
      </c>
      <c r="C38" s="340">
        <f>B38/$J$53*100</f>
        <v>3.5186489307602174E-2</v>
      </c>
      <c r="D38" s="122">
        <v>539040</v>
      </c>
      <c r="E38" s="340">
        <f>D38/$J$53*100</f>
        <v>2.2350526738214724E-2</v>
      </c>
      <c r="F38" s="122">
        <v>324382</v>
      </c>
      <c r="G38" s="340">
        <f>F38/$J$53*100</f>
        <v>1.3450038150036302E-2</v>
      </c>
      <c r="H38" s="122"/>
      <c r="I38" s="340"/>
      <c r="J38" s="122">
        <f>SUM(F38,D38,B38,'- 12 -'!J38,'- 12 -'!H38,'- 12 -'!F38,'- 12 -'!D38,'- 12 -'!B38)</f>
        <v>15691873</v>
      </c>
      <c r="K38" s="340">
        <f t="shared" si="4"/>
        <v>0.6506411900029121</v>
      </c>
    </row>
    <row r="39" spans="1:14" x14ac:dyDescent="0.2">
      <c r="A39" s="125" t="s">
        <v>211</v>
      </c>
      <c r="B39" s="342">
        <f>SUM(B24:B38)</f>
        <v>12249117</v>
      </c>
      <c r="C39" s="343">
        <f>B39/$J$53*100</f>
        <v>0.50789221027756848</v>
      </c>
      <c r="D39" s="342">
        <f>SUM(D24:D38)</f>
        <v>22610948</v>
      </c>
      <c r="E39" s="343">
        <f>D39/$J$53*100</f>
        <v>0.9375307915004133</v>
      </c>
      <c r="F39" s="342">
        <f>SUM(F24:F38)</f>
        <v>105411511</v>
      </c>
      <c r="G39" s="343">
        <f>F39/$J$53*100</f>
        <v>4.3707383406075904</v>
      </c>
      <c r="H39" s="342"/>
      <c r="I39" s="343"/>
      <c r="J39" s="342">
        <f>SUM(F39,D39,B39,'- 12 -'!J39,'- 12 -'!H39,'- 12 -'!F39,'- 12 -'!D39,'- 12 -'!B39)</f>
        <v>201699681</v>
      </c>
      <c r="K39" s="343">
        <f t="shared" si="4"/>
        <v>8.3631903259125124</v>
      </c>
    </row>
    <row r="40" spans="1:14" x14ac:dyDescent="0.2">
      <c r="A40" s="314" t="s">
        <v>212</v>
      </c>
      <c r="B40" s="128"/>
      <c r="C40" s="341"/>
      <c r="D40" s="128"/>
      <c r="E40" s="341"/>
      <c r="F40" s="128"/>
      <c r="G40" s="341"/>
      <c r="H40" s="128"/>
      <c r="I40" s="341"/>
      <c r="J40" s="128"/>
      <c r="K40" s="341"/>
    </row>
    <row r="41" spans="1:14" x14ac:dyDescent="0.2">
      <c r="A41" s="121" t="s">
        <v>213</v>
      </c>
      <c r="B41" s="122">
        <v>4497926</v>
      </c>
      <c r="C41" s="340">
        <f>B41/$J$53*100</f>
        <v>0.18650010264453698</v>
      </c>
      <c r="D41" s="122">
        <v>15329450</v>
      </c>
      <c r="E41" s="340">
        <f>D41/$J$53*100</f>
        <v>0.63561383590665954</v>
      </c>
      <c r="F41" s="122">
        <v>22769412</v>
      </c>
      <c r="G41" s="340">
        <f>F41/$J$53*100</f>
        <v>0.94410127582262393</v>
      </c>
      <c r="H41" s="122"/>
      <c r="I41" s="340"/>
      <c r="J41" s="122">
        <f>SUM(F41,D41,B41,'- 12 -'!J41,'- 12 -'!H41,'- 12 -'!F41,'- 12 -'!D41,'- 12 -'!B41)</f>
        <v>77015249</v>
      </c>
      <c r="K41" s="340">
        <f>J41/$J$53*100</f>
        <v>3.1933277345368896</v>
      </c>
    </row>
    <row r="42" spans="1:14" x14ac:dyDescent="0.2">
      <c r="A42" s="121" t="s">
        <v>214</v>
      </c>
      <c r="B42" s="122">
        <v>2274808</v>
      </c>
      <c r="C42" s="340">
        <f>B42/$J$53*100</f>
        <v>9.4321677479045643E-2</v>
      </c>
      <c r="D42" s="122">
        <v>6781</v>
      </c>
      <c r="E42" s="340">
        <f>D42/$J$53*100</f>
        <v>2.8116451805401091E-4</v>
      </c>
      <c r="F42" s="122">
        <v>44538</v>
      </c>
      <c r="G42" s="340">
        <f>F42/$J$53*100</f>
        <v>1.8467048083010674E-3</v>
      </c>
      <c r="H42" s="122"/>
      <c r="I42" s="340"/>
      <c r="J42" s="122">
        <f>SUM(F42,D42,B42,'- 12 -'!J42,'- 12 -'!H42,'- 12 -'!F42,'- 12 -'!D42,'- 12 -'!B42)</f>
        <v>11940965</v>
      </c>
      <c r="K42" s="340">
        <f>J42/$J$53*100</f>
        <v>0.49511512598802726</v>
      </c>
    </row>
    <row r="43" spans="1:14" x14ac:dyDescent="0.2">
      <c r="A43" s="121" t="s">
        <v>215</v>
      </c>
      <c r="B43" s="122">
        <v>398427</v>
      </c>
      <c r="C43" s="340">
        <f>B43/$J$53*100</f>
        <v>1.652020873539381E-2</v>
      </c>
      <c r="D43" s="122">
        <v>395541</v>
      </c>
      <c r="E43" s="340">
        <f>D43/$J$53*100</f>
        <v>1.6400544851143124E-2</v>
      </c>
      <c r="F43" s="122">
        <v>3014055</v>
      </c>
      <c r="G43" s="340">
        <f>F43/$J$53*100</f>
        <v>0.1249735026490609</v>
      </c>
      <c r="H43" s="122"/>
      <c r="I43" s="340"/>
      <c r="J43" s="122">
        <f>SUM(F43,D43,B43,'- 12 -'!J43,'- 12 -'!H43,'- 12 -'!F43,'- 12 -'!D43,'- 12 -'!B43)</f>
        <v>16304959</v>
      </c>
      <c r="K43" s="340">
        <f>J43/$J$53*100</f>
        <v>0.67606192879006166</v>
      </c>
    </row>
    <row r="44" spans="1:14" x14ac:dyDescent="0.2">
      <c r="A44" s="127" t="s">
        <v>216</v>
      </c>
      <c r="B44" s="122">
        <v>627601</v>
      </c>
      <c r="C44" s="340">
        <f>B44/$J$53*100</f>
        <v>2.6022582612478293E-2</v>
      </c>
      <c r="D44" s="122">
        <v>566441</v>
      </c>
      <c r="E44" s="340">
        <f>D44/$J$53*100</f>
        <v>2.3486670221358502E-2</v>
      </c>
      <c r="F44" s="122">
        <v>150901</v>
      </c>
      <c r="G44" s="340">
        <f>F44/$J$53*100</f>
        <v>6.2568952866639584E-3</v>
      </c>
      <c r="H44" s="122"/>
      <c r="I44" s="340"/>
      <c r="J44" s="122">
        <f>SUM(F44,D44,B44,'- 12 -'!J44,'- 12 -'!H44,'- 12 -'!F44,'- 12 -'!D44,'- 12 -'!B44)</f>
        <v>27463825</v>
      </c>
      <c r="K44" s="340">
        <f>J44/$J$53*100</f>
        <v>1.1387484323911956</v>
      </c>
    </row>
    <row r="45" spans="1:14" x14ac:dyDescent="0.2">
      <c r="A45" s="125" t="s">
        <v>217</v>
      </c>
      <c r="B45" s="342">
        <f>SUM(B41:B44)</f>
        <v>7798762</v>
      </c>
      <c r="C45" s="343">
        <f>B45/$J$53*100</f>
        <v>0.32336457147145475</v>
      </c>
      <c r="D45" s="342">
        <f>SUM(D41:D44)</f>
        <v>16298213</v>
      </c>
      <c r="E45" s="343">
        <f>D45/$J$53*100</f>
        <v>0.67578221549721518</v>
      </c>
      <c r="F45" s="342">
        <f>SUM(F41:F44)</f>
        <v>25978906</v>
      </c>
      <c r="G45" s="343">
        <f>F45/$J$53*100</f>
        <v>1.07717837856665</v>
      </c>
      <c r="H45" s="342"/>
      <c r="I45" s="343"/>
      <c r="J45" s="342">
        <f>SUM(F45,D45,B45,'- 12 -'!J45,'- 12 -'!H45,'- 12 -'!F45,'- 12 -'!D45,'- 12 -'!B45)</f>
        <v>132724998</v>
      </c>
      <c r="K45" s="343">
        <f>J45/$J$53*100</f>
        <v>5.5032532217061743</v>
      </c>
    </row>
    <row r="46" spans="1:14" x14ac:dyDescent="0.2">
      <c r="A46" s="313" t="s">
        <v>47</v>
      </c>
      <c r="B46" s="128"/>
      <c r="C46" s="341"/>
      <c r="D46" s="128"/>
      <c r="E46" s="341"/>
      <c r="F46" s="128"/>
      <c r="G46" s="341"/>
      <c r="H46" s="128"/>
      <c r="I46" s="341"/>
      <c r="J46" s="128"/>
      <c r="K46" s="341"/>
    </row>
    <row r="47" spans="1:14" ht="13.5" x14ac:dyDescent="0.2">
      <c r="A47" s="256" t="s">
        <v>269</v>
      </c>
      <c r="B47" s="122"/>
      <c r="C47" s="426"/>
      <c r="D47" s="122">
        <v>0</v>
      </c>
      <c r="E47" s="426"/>
      <c r="F47" s="122">
        <v>0</v>
      </c>
      <c r="G47" s="426"/>
      <c r="H47" s="122">
        <f>'- 10 -'!G21</f>
        <v>0</v>
      </c>
      <c r="I47" s="426"/>
      <c r="J47" s="122"/>
      <c r="K47" s="426"/>
    </row>
    <row r="48" spans="1:14" x14ac:dyDescent="0.2">
      <c r="A48" s="121" t="s">
        <v>218</v>
      </c>
      <c r="B48" s="122"/>
      <c r="C48" s="340"/>
      <c r="D48" s="122"/>
      <c r="E48" s="340"/>
      <c r="F48" s="122"/>
      <c r="G48" s="340"/>
      <c r="H48" s="122">
        <f>'- 10 -'!G22</f>
        <v>2402158</v>
      </c>
      <c r="I48" s="340">
        <f>H48/$J$53*100</f>
        <v>9.9602064055388129E-2</v>
      </c>
      <c r="J48" s="122">
        <f>H48</f>
        <v>2402158</v>
      </c>
      <c r="K48" s="340">
        <f>J48/$J$53*100</f>
        <v>9.9602064055388129E-2</v>
      </c>
    </row>
    <row r="49" spans="1:11" x14ac:dyDescent="0.2">
      <c r="A49" s="126" t="s">
        <v>270</v>
      </c>
      <c r="B49" s="122"/>
      <c r="C49" s="340"/>
      <c r="D49" s="122"/>
      <c r="E49" s="340"/>
      <c r="F49" s="122"/>
      <c r="G49" s="340"/>
      <c r="H49" s="122">
        <f>'- 10 -'!H22</f>
        <v>137801</v>
      </c>
      <c r="I49" s="340">
        <f>H49/$J$53*100</f>
        <v>5.7137224232946112E-3</v>
      </c>
      <c r="J49" s="122">
        <f>H49</f>
        <v>137801</v>
      </c>
      <c r="K49" s="340">
        <f>J49/$J$53*100</f>
        <v>5.7137224232946112E-3</v>
      </c>
    </row>
    <row r="50" spans="1:11" x14ac:dyDescent="0.2">
      <c r="A50" s="121" t="s">
        <v>219</v>
      </c>
      <c r="B50" s="122"/>
      <c r="C50" s="340"/>
      <c r="D50" s="122"/>
      <c r="E50" s="340"/>
      <c r="F50" s="122"/>
      <c r="G50" s="340"/>
      <c r="H50" s="122">
        <f>'- 10 -'!I22</f>
        <v>39265794</v>
      </c>
      <c r="I50" s="340">
        <f>H50/$J$53*100</f>
        <v>1.6281002869809873</v>
      </c>
      <c r="J50" s="122">
        <f>H50</f>
        <v>39265794</v>
      </c>
      <c r="K50" s="340">
        <f>J50/$J$53*100</f>
        <v>1.6281002869809873</v>
      </c>
    </row>
    <row r="51" spans="1:11" x14ac:dyDescent="0.2">
      <c r="A51" s="125" t="s">
        <v>220</v>
      </c>
      <c r="B51" s="342"/>
      <c r="C51" s="343"/>
      <c r="D51" s="342"/>
      <c r="E51" s="343"/>
      <c r="F51" s="342">
        <f>SUM(F47:F50)</f>
        <v>0</v>
      </c>
      <c r="G51" s="343"/>
      <c r="H51" s="342">
        <f>SUM(H48:H50)</f>
        <v>41805753</v>
      </c>
      <c r="I51" s="343">
        <f>H51/$J$53*100</f>
        <v>1.73341607345967</v>
      </c>
      <c r="J51" s="342">
        <f>SUM(J47:J50)</f>
        <v>41805753</v>
      </c>
      <c r="K51" s="343">
        <f>J51/$J$53*100</f>
        <v>1.73341607345967</v>
      </c>
    </row>
    <row r="52" spans="1:11" ht="5.0999999999999996" customHeight="1" x14ac:dyDescent="0.2">
      <c r="A52" s="23"/>
      <c r="B52" s="32"/>
      <c r="C52" s="129"/>
      <c r="D52" s="57"/>
      <c r="E52" s="129"/>
      <c r="F52" s="57"/>
      <c r="G52" s="129"/>
      <c r="H52" s="57"/>
      <c r="I52" s="129"/>
      <c r="J52" s="57"/>
      <c r="K52" s="129"/>
    </row>
    <row r="53" spans="1:11" x14ac:dyDescent="0.2">
      <c r="A53" s="315" t="s">
        <v>221</v>
      </c>
      <c r="B53" s="344">
        <f>SUM(B51,B45,B39,B22,B21)</f>
        <v>77547042</v>
      </c>
      <c r="C53" s="345">
        <f>B53/$J$53*100</f>
        <v>3.2153777747300021</v>
      </c>
      <c r="D53" s="344">
        <f>SUM(D51,D45,D39,D22,D21)</f>
        <v>89025355</v>
      </c>
      <c r="E53" s="345">
        <f>D53/$J$53*100</f>
        <v>3.6913096937269185</v>
      </c>
      <c r="F53" s="344">
        <f>SUM(F51,F45,F39,F22,F21)</f>
        <v>273483744</v>
      </c>
      <c r="G53" s="345">
        <f>F53/$J$53*100</f>
        <v>11.339614375072484</v>
      </c>
      <c r="H53" s="344">
        <f>SUM(H51,H45,H39,H22,H21)</f>
        <v>41805753</v>
      </c>
      <c r="I53" s="345">
        <f>H53/$J$53*100</f>
        <v>1.73341607345967</v>
      </c>
      <c r="J53" s="344">
        <f>SUM(J51,J45,J39,J22,J21)</f>
        <v>2411755241</v>
      </c>
      <c r="K53" s="345">
        <f>J53/$J$53*100</f>
        <v>100</v>
      </c>
    </row>
    <row r="54" spans="1:11" ht="20.100000000000001" customHeight="1" x14ac:dyDescent="0.2">
      <c r="A54" s="132"/>
      <c r="B54" s="2">
        <f>+B53-'- 16 -'!G48</f>
        <v>0</v>
      </c>
      <c r="D54" s="2">
        <f>+D53-'- 17 -'!B48</f>
        <v>0</v>
      </c>
      <c r="F54" s="2">
        <f>+F53-'- 17 -'!E48</f>
        <v>0</v>
      </c>
      <c r="H54" s="2">
        <f>+H53-'- 17 -'!H48</f>
        <v>0</v>
      </c>
      <c r="J54" s="2">
        <f>+J53-'- 3 -'!D48</f>
        <v>0</v>
      </c>
    </row>
  </sheetData>
  <mergeCells count="6">
    <mergeCell ref="L26:L28"/>
    <mergeCell ref="B8:C9"/>
    <mergeCell ref="D8:E9"/>
    <mergeCell ref="F8:G9"/>
    <mergeCell ref="H9:I9"/>
    <mergeCell ref="J9:K9"/>
  </mergeCells>
  <phoneticPr fontId="6" type="noConversion"/>
  <printOptions verticalCentered="1"/>
  <pageMargins left="0.51181102362204722" right="0" top="0.59055118110236227" bottom="0.19685039370078741" header="0.31496062992125984" footer="0.51181102362204722"/>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52"/>
  <sheetViews>
    <sheetView showGridLines="0" showZeros="0" workbookViewId="0"/>
  </sheetViews>
  <sheetFormatPr defaultColWidth="15.83203125" defaultRowHeight="12" x14ac:dyDescent="0.2"/>
  <cols>
    <col min="1" max="1" width="32.83203125" style="2" customWidth="1"/>
    <col min="2" max="2" width="17.83203125" style="2" customWidth="1"/>
    <col min="3" max="3" width="8.83203125" style="2" customWidth="1"/>
    <col min="4" max="4" width="9.83203125" style="2" customWidth="1"/>
    <col min="5" max="5" width="17.83203125" style="2" customWidth="1"/>
    <col min="6" max="6" width="8.83203125" style="2" customWidth="1"/>
    <col min="7" max="7" width="9.83203125" style="2" customWidth="1"/>
    <col min="8" max="8" width="17.83203125" style="2" customWidth="1"/>
    <col min="9" max="9" width="8.83203125" style="2" customWidth="1"/>
    <col min="10" max="16384" width="15.83203125" style="2"/>
  </cols>
  <sheetData>
    <row r="1" spans="1:9" ht="6.95" customHeight="1" x14ac:dyDescent="0.2">
      <c r="A1" s="7"/>
      <c r="B1" s="8"/>
      <c r="C1" s="8"/>
      <c r="D1" s="8"/>
      <c r="E1" s="8"/>
      <c r="F1" s="8"/>
      <c r="G1" s="8"/>
      <c r="H1" s="8"/>
      <c r="I1" s="8"/>
    </row>
    <row r="2" spans="1:9" ht="15.95" customHeight="1" x14ac:dyDescent="0.2">
      <c r="A2" s="134"/>
      <c r="B2" s="9" t="s">
        <v>261</v>
      </c>
      <c r="C2" s="10"/>
      <c r="D2" s="10"/>
      <c r="E2" s="10"/>
      <c r="F2" s="10"/>
      <c r="G2" s="10"/>
      <c r="H2" s="73"/>
      <c r="I2" s="135" t="s">
        <v>6</v>
      </c>
    </row>
    <row r="3" spans="1:9" ht="15.95" customHeight="1" x14ac:dyDescent="0.2">
      <c r="A3" s="541"/>
      <c r="B3" s="11" t="str">
        <f>OPYEAR</f>
        <v>OPERATING FUND 2019/2020 ACTUAL</v>
      </c>
      <c r="C3" s="12"/>
      <c r="D3" s="12"/>
      <c r="E3" s="12"/>
      <c r="F3" s="12"/>
      <c r="G3" s="12"/>
      <c r="H3" s="75"/>
      <c r="I3" s="66"/>
    </row>
    <row r="4" spans="1:9" ht="15.95" customHeight="1" x14ac:dyDescent="0.2">
      <c r="B4" s="8"/>
      <c r="C4" s="8"/>
      <c r="D4" s="8"/>
      <c r="E4" s="8"/>
      <c r="F4" s="8"/>
      <c r="G4" s="8"/>
      <c r="H4" s="8"/>
      <c r="I4" s="8"/>
    </row>
    <row r="5" spans="1:9" ht="15.95" customHeight="1" x14ac:dyDescent="0.2">
      <c r="B5" s="8"/>
      <c r="C5" s="8"/>
      <c r="D5" s="8"/>
      <c r="E5" s="8"/>
      <c r="F5" s="8"/>
      <c r="G5" s="8"/>
      <c r="H5" s="8"/>
      <c r="I5" s="8"/>
    </row>
    <row r="6" spans="1:9" ht="15.95" customHeight="1" x14ac:dyDescent="0.2">
      <c r="B6" s="318"/>
      <c r="C6" s="312"/>
      <c r="D6" s="310"/>
      <c r="E6" s="649" t="s">
        <v>464</v>
      </c>
      <c r="F6" s="657"/>
      <c r="G6" s="650"/>
      <c r="H6" s="649" t="s">
        <v>465</v>
      </c>
      <c r="I6" s="650"/>
    </row>
    <row r="7" spans="1:9" ht="15.95" customHeight="1" x14ac:dyDescent="0.2">
      <c r="B7" s="654" t="s">
        <v>26</v>
      </c>
      <c r="C7" s="656"/>
      <c r="D7" s="655"/>
      <c r="E7" s="651"/>
      <c r="F7" s="658"/>
      <c r="G7" s="652"/>
      <c r="H7" s="651"/>
      <c r="I7" s="652"/>
    </row>
    <row r="8" spans="1:9" ht="15.95" customHeight="1" x14ac:dyDescent="0.2">
      <c r="A8" s="67"/>
      <c r="B8" s="137" t="s">
        <v>7</v>
      </c>
      <c r="C8" s="138"/>
      <c r="D8" s="623" t="s">
        <v>327</v>
      </c>
      <c r="E8" s="137"/>
      <c r="F8" s="139"/>
      <c r="G8" s="623" t="s">
        <v>327</v>
      </c>
      <c r="H8" s="137"/>
      <c r="I8" s="139"/>
    </row>
    <row r="9" spans="1:9" ht="15.95" customHeight="1" x14ac:dyDescent="0.2">
      <c r="A9" s="35" t="s">
        <v>42</v>
      </c>
      <c r="B9" s="77" t="s">
        <v>43</v>
      </c>
      <c r="C9" s="77" t="s">
        <v>44</v>
      </c>
      <c r="D9" s="604"/>
      <c r="E9" s="77" t="s">
        <v>43</v>
      </c>
      <c r="F9" s="77" t="s">
        <v>44</v>
      </c>
      <c r="G9" s="604"/>
      <c r="H9" s="77" t="s">
        <v>43</v>
      </c>
      <c r="I9" s="77" t="s">
        <v>44</v>
      </c>
    </row>
    <row r="10" spans="1:9" ht="5.0999999999999996" customHeight="1" x14ac:dyDescent="0.2">
      <c r="A10" s="6"/>
    </row>
    <row r="11" spans="1:9" ht="14.1" customHeight="1" x14ac:dyDescent="0.2">
      <c r="A11" s="284" t="s">
        <v>110</v>
      </c>
      <c r="B11" s="285">
        <f>SUM('- 18 -'!B11,'- 18 -'!E11,'- 19 -'!B11,'- 19 -'!E11,'- 19 -'!H11,'- 20 -'!B11)</f>
        <v>13602485</v>
      </c>
      <c r="C11" s="291">
        <f>B11/'- 3 -'!D11*100</f>
        <v>64.719133637628971</v>
      </c>
      <c r="D11" s="285">
        <f>B11/'- 7 -'!C11</f>
        <v>6869.9419191919196</v>
      </c>
      <c r="E11" s="285">
        <f>SUM('- 21 -'!B11,'- 21 -'!E11,'- 21 -'!H11,'- 22 -'!B11,'- 22 -'!E11,'- 22 -'!H11)</f>
        <v>2654851</v>
      </c>
      <c r="F11" s="291">
        <f>E11/'- 3 -'!D11*100</f>
        <v>12.631490250273602</v>
      </c>
      <c r="G11" s="285">
        <f>E11/'- 7 -'!E11</f>
        <v>1340.8338383838384</v>
      </c>
      <c r="H11" s="285">
        <f>SUM('- 23 -'!D11,'- 23 -'!B11)</f>
        <v>0</v>
      </c>
      <c r="I11" s="291">
        <f>H11/'- 3 -'!D11*100</f>
        <v>0</v>
      </c>
    </row>
    <row r="12" spans="1:9" ht="14.1" customHeight="1" x14ac:dyDescent="0.2">
      <c r="A12" s="19" t="s">
        <v>111</v>
      </c>
      <c r="B12" s="20">
        <f>SUM('- 18 -'!B12,'- 18 -'!E12,'- 19 -'!B12,'- 19 -'!E12,'- 19 -'!H12,'- 20 -'!B12)</f>
        <v>19450227</v>
      </c>
      <c r="C12" s="70">
        <f>B12/'- 3 -'!D12*100</f>
        <v>57.977455766698341</v>
      </c>
      <c r="D12" s="20">
        <f>B12/'- 7 -'!C12</f>
        <v>8941.1531884377746</v>
      </c>
      <c r="E12" s="20">
        <f>SUM('- 21 -'!B12,'- 21 -'!E12,'- 21 -'!H12,'- 22 -'!B12,'- 22 -'!E12,'- 22 -'!H12)</f>
        <v>5436874</v>
      </c>
      <c r="F12" s="70">
        <f>E12/'- 3 -'!D12*100</f>
        <v>16.206295270698501</v>
      </c>
      <c r="G12" s="20">
        <f>E12/'- 7 -'!E12</f>
        <v>2499.2985069137981</v>
      </c>
      <c r="H12" s="20">
        <f>SUM('- 23 -'!D12,'- 23 -'!B12)</f>
        <v>468636</v>
      </c>
      <c r="I12" s="70">
        <f>H12/'- 3 -'!D12*100</f>
        <v>1.3969154684252501</v>
      </c>
    </row>
    <row r="13" spans="1:9" ht="14.1" customHeight="1" x14ac:dyDescent="0.2">
      <c r="A13" s="284" t="s">
        <v>112</v>
      </c>
      <c r="B13" s="285">
        <f>SUM('- 18 -'!B13,'- 18 -'!E13,'- 19 -'!B13,'- 19 -'!E13,'- 19 -'!H13,'- 20 -'!B13)</f>
        <v>64355590</v>
      </c>
      <c r="C13" s="291">
        <f>B13/'- 3 -'!D13*100</f>
        <v>61.558539850751828</v>
      </c>
      <c r="D13" s="285">
        <f>B13/'- 7 -'!C13</f>
        <v>7431.3614318706695</v>
      </c>
      <c r="E13" s="285">
        <f>SUM('- 21 -'!B13,'- 21 -'!E13,'- 21 -'!H13,'- 22 -'!B13,'- 22 -'!E13,'- 22 -'!H13)</f>
        <v>21571007</v>
      </c>
      <c r="F13" s="291">
        <f>E13/'- 3 -'!D13*100</f>
        <v>20.633478677304439</v>
      </c>
      <c r="G13" s="285">
        <f>E13/'- 7 -'!E13</f>
        <v>2490.8784064665128</v>
      </c>
      <c r="H13" s="285">
        <f>SUM('- 23 -'!D13,'- 23 -'!B13)</f>
        <v>0</v>
      </c>
      <c r="I13" s="291">
        <f>H13/'- 3 -'!D13*100</f>
        <v>0</v>
      </c>
    </row>
    <row r="14" spans="1:9" ht="14.1" customHeight="1" x14ac:dyDescent="0.2">
      <c r="A14" s="19" t="s">
        <v>358</v>
      </c>
      <c r="B14" s="20">
        <f>SUM('- 18 -'!B14,'- 18 -'!E14,'- 19 -'!B14,'- 19 -'!E14,'- 19 -'!H14,'- 20 -'!B14)</f>
        <v>51635709</v>
      </c>
      <c r="C14" s="70">
        <f>B14/'- 3 -'!D14*100</f>
        <v>57.641365139543652</v>
      </c>
      <c r="D14" s="20">
        <f>B14/'- 7 -'!C14</f>
        <v>9329.753799787517</v>
      </c>
      <c r="E14" s="20">
        <f>SUM('- 21 -'!B14,'- 21 -'!E14,'- 21 -'!H14,'- 22 -'!B14,'- 22 -'!E14,'- 22 -'!H14)</f>
        <v>11456554</v>
      </c>
      <c r="F14" s="70">
        <f>E14/'- 3 -'!D14*100</f>
        <v>12.789045122918704</v>
      </c>
      <c r="G14" s="20">
        <f>E14/'- 7 -'!E14</f>
        <v>2070.0176347723022</v>
      </c>
      <c r="H14" s="20">
        <f>SUM('- 23 -'!D14,'- 23 -'!B14)</f>
        <v>262258</v>
      </c>
      <c r="I14" s="70">
        <f>H14/'- 3 -'!D14*100</f>
        <v>0.29276075474758062</v>
      </c>
    </row>
    <row r="15" spans="1:9" ht="14.1" customHeight="1" x14ac:dyDescent="0.2">
      <c r="A15" s="284" t="s">
        <v>113</v>
      </c>
      <c r="B15" s="285">
        <f>SUM('- 18 -'!B15,'- 18 -'!E15,'- 19 -'!B15,'- 19 -'!E15,'- 19 -'!H15,'- 20 -'!B15)</f>
        <v>10762839</v>
      </c>
      <c r="C15" s="291">
        <f>B15/'- 3 -'!D15*100</f>
        <v>54.565075922788672</v>
      </c>
      <c r="D15" s="285">
        <f>B15/'- 7 -'!C15</f>
        <v>7394.5991068361391</v>
      </c>
      <c r="E15" s="285">
        <f>SUM('- 21 -'!B15,'- 21 -'!E15,'- 21 -'!H15,'- 22 -'!B15,'- 22 -'!E15,'- 22 -'!H15)</f>
        <v>3197958</v>
      </c>
      <c r="F15" s="291">
        <f>E15/'- 3 -'!D15*100</f>
        <v>16.212898944961402</v>
      </c>
      <c r="G15" s="285">
        <f>E15/'- 7 -'!E15</f>
        <v>2197.154242528341</v>
      </c>
      <c r="H15" s="285">
        <f>SUM('- 23 -'!D15,'- 23 -'!B15)</f>
        <v>0</v>
      </c>
      <c r="I15" s="291">
        <f>H15/'- 3 -'!D15*100</f>
        <v>0</v>
      </c>
    </row>
    <row r="16" spans="1:9" ht="14.1" customHeight="1" x14ac:dyDescent="0.2">
      <c r="A16" s="19" t="s">
        <v>114</v>
      </c>
      <c r="B16" s="20">
        <f>SUM('- 18 -'!B16,'- 18 -'!E16,'- 19 -'!B16,'- 19 -'!E16,'- 19 -'!H16,'- 20 -'!B16)</f>
        <v>7929085</v>
      </c>
      <c r="C16" s="70">
        <f>B16/'- 3 -'!D16*100</f>
        <v>55.16516882559214</v>
      </c>
      <c r="D16" s="20">
        <f>B16/'- 7 -'!C16</f>
        <v>8712.322821667949</v>
      </c>
      <c r="E16" s="20">
        <f>SUM('- 21 -'!B16,'- 21 -'!E16,'- 21 -'!H16,'- 22 -'!B16,'- 22 -'!E16,'- 22 -'!H16)</f>
        <v>2584224</v>
      </c>
      <c r="F16" s="70">
        <f>E16/'- 3 -'!D16*100</f>
        <v>17.979269139269789</v>
      </c>
      <c r="G16" s="20">
        <f>E16/'- 7 -'!E16</f>
        <v>2839.4945610372488</v>
      </c>
      <c r="H16" s="20">
        <f>SUM('- 23 -'!D16,'- 23 -'!B16)</f>
        <v>94214</v>
      </c>
      <c r="I16" s="70">
        <f>H16/'- 3 -'!D16*100</f>
        <v>0.65547679407325532</v>
      </c>
    </row>
    <row r="17" spans="1:9" ht="14.1" customHeight="1" x14ac:dyDescent="0.2">
      <c r="A17" s="284" t="s">
        <v>115</v>
      </c>
      <c r="B17" s="285">
        <f>SUM('- 18 -'!B17,'- 18 -'!E17,'- 19 -'!B17,'- 19 -'!E17,'- 19 -'!H17,'- 20 -'!B17)</f>
        <v>11082411</v>
      </c>
      <c r="C17" s="291">
        <f>B17/'- 3 -'!D17*100</f>
        <v>61.568026479602814</v>
      </c>
      <c r="D17" s="285">
        <f>B17/'- 7 -'!C17</f>
        <v>7752.6484784889817</v>
      </c>
      <c r="E17" s="285">
        <f>SUM('- 21 -'!B17,'- 21 -'!E17,'- 21 -'!H17,'- 22 -'!B17,'- 22 -'!E17,'- 22 -'!H17)</f>
        <v>2155459</v>
      </c>
      <c r="F17" s="291">
        <f>E17/'- 3 -'!D17*100</f>
        <v>11.974592603333173</v>
      </c>
      <c r="G17" s="285">
        <f>E17/'- 7 -'!E17</f>
        <v>1507.8412032179083</v>
      </c>
      <c r="H17" s="285">
        <f>SUM('- 23 -'!D17,'- 23 -'!B17)</f>
        <v>0</v>
      </c>
      <c r="I17" s="291">
        <f>H17/'- 3 -'!D17*100</f>
        <v>0</v>
      </c>
    </row>
    <row r="18" spans="1:9" ht="14.1" customHeight="1" x14ac:dyDescent="0.2">
      <c r="A18" s="19" t="s">
        <v>116</v>
      </c>
      <c r="B18" s="20">
        <f>SUM('- 18 -'!B18,'- 18 -'!E18,'- 19 -'!B18,'- 19 -'!E18,'- 19 -'!H18,'- 20 -'!B18)</f>
        <v>58500184</v>
      </c>
      <c r="C18" s="70">
        <f>B18/'- 3 -'!D18*100</f>
        <v>43.924749137348797</v>
      </c>
      <c r="D18" s="20">
        <f>B18/'- 7 -'!C18</f>
        <v>9821.2346176445899</v>
      </c>
      <c r="E18" s="20">
        <f>SUM('- 21 -'!B18,'- 21 -'!E18,'- 21 -'!H18,'- 22 -'!B18,'- 22 -'!E18,'- 22 -'!H18)</f>
        <v>19758187</v>
      </c>
      <c r="F18" s="70">
        <f>E18/'- 3 -'!D18*100</f>
        <v>14.835396199503</v>
      </c>
      <c r="G18" s="20">
        <f>E18/'- 7 -'!E18</f>
        <v>3317.0799966423233</v>
      </c>
      <c r="H18" s="20">
        <f>SUM('- 23 -'!D18,'- 23 -'!B18)</f>
        <v>2199246</v>
      </c>
      <c r="I18" s="70">
        <f>H18/'- 3 -'!D18*100</f>
        <v>1.6512995726871185</v>
      </c>
    </row>
    <row r="19" spans="1:9" ht="14.1" customHeight="1" x14ac:dyDescent="0.2">
      <c r="A19" s="284" t="s">
        <v>117</v>
      </c>
      <c r="B19" s="285">
        <f>SUM('- 18 -'!B19,'- 18 -'!E19,'- 19 -'!B19,'- 19 -'!E19,'- 19 -'!H19,'- 20 -'!B19)</f>
        <v>28850175</v>
      </c>
      <c r="C19" s="291">
        <f>B19/'- 3 -'!D19*100</f>
        <v>58.014798329015029</v>
      </c>
      <c r="D19" s="285">
        <f>B19/'- 7 -'!C19</f>
        <v>6550.4563721817312</v>
      </c>
      <c r="E19" s="285">
        <f>SUM('- 21 -'!B19,'- 21 -'!E19,'- 21 -'!H19,'- 22 -'!B19,'- 22 -'!E19,'- 22 -'!H19)</f>
        <v>9391120</v>
      </c>
      <c r="F19" s="291">
        <f>E19/'- 3 -'!D19*100</f>
        <v>18.884597160453261</v>
      </c>
      <c r="G19" s="285">
        <f>E19/'- 7 -'!E19</f>
        <v>2132.2616533841924</v>
      </c>
      <c r="H19" s="285">
        <f>SUM('- 23 -'!D19,'- 23 -'!B19)</f>
        <v>0</v>
      </c>
      <c r="I19" s="291">
        <f>H19/'- 3 -'!D19*100</f>
        <v>0</v>
      </c>
    </row>
    <row r="20" spans="1:9" ht="14.1" customHeight="1" x14ac:dyDescent="0.2">
      <c r="A20" s="19" t="s">
        <v>118</v>
      </c>
      <c r="B20" s="20">
        <f>SUM('- 18 -'!B20,'- 18 -'!E20,'- 19 -'!B20,'- 19 -'!E20,'- 19 -'!H20,'- 20 -'!B20)</f>
        <v>56180386</v>
      </c>
      <c r="C20" s="70">
        <f>B20/'- 3 -'!D20*100</f>
        <v>63.46789541837019</v>
      </c>
      <c r="D20" s="20">
        <f>B20/'- 7 -'!C20</f>
        <v>7004.5989651517984</v>
      </c>
      <c r="E20" s="20">
        <f>SUM('- 21 -'!B20,'- 21 -'!E20,'- 21 -'!H20,'- 22 -'!B20,'- 22 -'!E20,'- 22 -'!H20)</f>
        <v>13315189</v>
      </c>
      <c r="F20" s="70">
        <f>E20/'- 3 -'!D20*100</f>
        <v>15.042385485351298</v>
      </c>
      <c r="G20" s="20">
        <f>E20/'- 7 -'!E20</f>
        <v>1660.1445047066891</v>
      </c>
      <c r="H20" s="20">
        <f>SUM('- 23 -'!D20,'- 23 -'!B20)</f>
        <v>0</v>
      </c>
      <c r="I20" s="70">
        <f>H20/'- 3 -'!D20*100</f>
        <v>0</v>
      </c>
    </row>
    <row r="21" spans="1:9" ht="14.1" customHeight="1" x14ac:dyDescent="0.2">
      <c r="A21" s="284" t="s">
        <v>119</v>
      </c>
      <c r="B21" s="285">
        <f>SUM('- 18 -'!B21,'- 18 -'!E21,'- 19 -'!B21,'- 19 -'!E21,'- 19 -'!H21,'- 20 -'!B21)</f>
        <v>22233305</v>
      </c>
      <c r="C21" s="291">
        <f>B21/'- 3 -'!D21*100</f>
        <v>59.116684465508797</v>
      </c>
      <c r="D21" s="285">
        <f>B21/'- 7 -'!C21</f>
        <v>7875.7722281261067</v>
      </c>
      <c r="E21" s="285">
        <f>SUM('- 21 -'!B21,'- 21 -'!E21,'- 21 -'!H21,'- 22 -'!B21,'- 22 -'!E21,'- 22 -'!H21)</f>
        <v>6642166</v>
      </c>
      <c r="F21" s="291">
        <f>E21/'- 3 -'!D21*100</f>
        <v>17.661019429613848</v>
      </c>
      <c r="G21" s="285">
        <f>E21/'- 7 -'!E21</f>
        <v>2352.8749557208644</v>
      </c>
      <c r="H21" s="285">
        <f>SUM('- 23 -'!D21,'- 23 -'!B21)</f>
        <v>0</v>
      </c>
      <c r="I21" s="291">
        <f>H21/'- 3 -'!D21*100</f>
        <v>0</v>
      </c>
    </row>
    <row r="22" spans="1:9" ht="14.1" customHeight="1" x14ac:dyDescent="0.2">
      <c r="A22" s="19" t="s">
        <v>120</v>
      </c>
      <c r="B22" s="20">
        <f>SUM('- 18 -'!B22,'- 18 -'!E22,'- 19 -'!B22,'- 19 -'!E22,'- 19 -'!H22,'- 20 -'!B22)</f>
        <v>11045045</v>
      </c>
      <c r="C22" s="70">
        <f>B22/'- 3 -'!D22*100</f>
        <v>53.504371911854797</v>
      </c>
      <c r="D22" s="20">
        <f>B22/'- 7 -'!C22</f>
        <v>7195.4690553745932</v>
      </c>
      <c r="E22" s="20">
        <f>SUM('- 21 -'!B22,'- 21 -'!E22,'- 21 -'!H22,'- 22 -'!B22,'- 22 -'!E22,'- 22 -'!H22)</f>
        <v>4304989</v>
      </c>
      <c r="F22" s="70">
        <f>E22/'- 3 -'!D22*100</f>
        <v>20.854214041902399</v>
      </c>
      <c r="G22" s="20">
        <f>E22/'- 7 -'!E22</f>
        <v>2804.5530944625407</v>
      </c>
      <c r="H22" s="20">
        <f>SUM('- 23 -'!D22,'- 23 -'!B22)</f>
        <v>680170</v>
      </c>
      <c r="I22" s="70">
        <f>H22/'- 3 -'!D22*100</f>
        <v>3.2948773538981762</v>
      </c>
    </row>
    <row r="23" spans="1:9" ht="14.1" customHeight="1" x14ac:dyDescent="0.2">
      <c r="A23" s="284" t="s">
        <v>121</v>
      </c>
      <c r="B23" s="285">
        <f>SUM('- 18 -'!B23,'- 18 -'!E23,'- 19 -'!B23,'- 19 -'!E23,'- 19 -'!H23,'- 20 -'!B23)</f>
        <v>8328285</v>
      </c>
      <c r="C23" s="291">
        <f>B23/'- 3 -'!D23*100</f>
        <v>53.661429615791391</v>
      </c>
      <c r="D23" s="285">
        <f>B23/'- 7 -'!C23</f>
        <v>8871.2025990626335</v>
      </c>
      <c r="E23" s="285">
        <f>SUM('- 21 -'!B23,'- 21 -'!E23,'- 21 -'!H23,'- 22 -'!B23,'- 22 -'!E23,'- 22 -'!H23)</f>
        <v>2471718</v>
      </c>
      <c r="F23" s="291">
        <f>E23/'- 3 -'!D23*100</f>
        <v>15.925958524124074</v>
      </c>
      <c r="G23" s="285">
        <f>E23/'- 7 -'!E23</f>
        <v>2632.8483170004261</v>
      </c>
      <c r="H23" s="285">
        <f>SUM('- 23 -'!D23,'- 23 -'!B23)</f>
        <v>263142</v>
      </c>
      <c r="I23" s="291">
        <f>H23/'- 3 -'!D23*100</f>
        <v>1.695496241057862</v>
      </c>
    </row>
    <row r="24" spans="1:9" ht="14.1" customHeight="1" x14ac:dyDescent="0.2">
      <c r="A24" s="19" t="s">
        <v>122</v>
      </c>
      <c r="B24" s="20">
        <f>SUM('- 18 -'!B24,'- 18 -'!E24,'- 19 -'!B24,'- 19 -'!E24,'- 19 -'!H24,'- 20 -'!B24)</f>
        <v>34813978</v>
      </c>
      <c r="C24" s="70">
        <f>B24/'- 3 -'!D24*100</f>
        <v>59.569922477946079</v>
      </c>
      <c r="D24" s="20">
        <f>B24/'- 7 -'!C24</f>
        <v>9297.3635999465878</v>
      </c>
      <c r="E24" s="20">
        <f>SUM('- 21 -'!B24,'- 21 -'!E24,'- 21 -'!H24,'- 22 -'!B24,'- 22 -'!E24,'- 22 -'!H24)</f>
        <v>9811532</v>
      </c>
      <c r="F24" s="70">
        <f>E24/'- 3 -'!D24*100</f>
        <v>16.788434824365297</v>
      </c>
      <c r="G24" s="20">
        <f>E24/'- 7 -'!E24</f>
        <v>2620.2515689678194</v>
      </c>
      <c r="H24" s="20">
        <f>SUM('- 23 -'!D24,'- 23 -'!B24)</f>
        <v>334884</v>
      </c>
      <c r="I24" s="70">
        <f>H24/'- 3 -'!D24*100</f>
        <v>0.57301736443633344</v>
      </c>
    </row>
    <row r="25" spans="1:9" ht="14.1" customHeight="1" x14ac:dyDescent="0.2">
      <c r="A25" s="284" t="s">
        <v>123</v>
      </c>
      <c r="B25" s="285">
        <f>SUM('- 18 -'!B25,'- 18 -'!E25,'- 19 -'!B25,'- 19 -'!E25,'- 19 -'!H25,'- 20 -'!B25)</f>
        <v>107655870</v>
      </c>
      <c r="C25" s="291">
        <f>B25/'- 3 -'!D25*100</f>
        <v>55.469020929688007</v>
      </c>
      <c r="D25" s="285">
        <f>B25/'- 7 -'!C25</f>
        <v>7171.7509043307955</v>
      </c>
      <c r="E25" s="285">
        <f>SUM('- 21 -'!B25,'- 21 -'!E25,'- 21 -'!H25,'- 22 -'!B25,'- 22 -'!E25,'- 22 -'!H25)</f>
        <v>39438247</v>
      </c>
      <c r="F25" s="291">
        <f>E25/'- 3 -'!D25*100</f>
        <v>20.320312754643151</v>
      </c>
      <c r="G25" s="285">
        <f>E25/'- 7 -'!E25</f>
        <v>2627.2722851756371</v>
      </c>
      <c r="H25" s="285">
        <f>SUM('- 23 -'!D25,'- 23 -'!B25)</f>
        <v>824928</v>
      </c>
      <c r="I25" s="291">
        <f>H25/'- 3 -'!D25*100</f>
        <v>0.42503904800997538</v>
      </c>
    </row>
    <row r="26" spans="1:9" ht="14.1" customHeight="1" x14ac:dyDescent="0.2">
      <c r="A26" s="19" t="s">
        <v>124</v>
      </c>
      <c r="B26" s="20">
        <f>SUM('- 18 -'!B26,'- 18 -'!E26,'- 19 -'!B26,'- 19 -'!E26,'- 19 -'!H26,'- 20 -'!B26)</f>
        <v>23676091</v>
      </c>
      <c r="C26" s="70">
        <f>B26/'- 3 -'!D26*100</f>
        <v>57.87460038116032</v>
      </c>
      <c r="D26" s="20">
        <f>B26/'- 7 -'!C26</f>
        <v>7730.9684897959187</v>
      </c>
      <c r="E26" s="20">
        <f>SUM('- 21 -'!B26,'- 21 -'!E26,'- 21 -'!H26,'- 22 -'!B26,'- 22 -'!E26,'- 22 -'!H26)</f>
        <v>6054461</v>
      </c>
      <c r="F26" s="70">
        <f>E26/'- 3 -'!D26*100</f>
        <v>14.799719721398279</v>
      </c>
      <c r="G26" s="20">
        <f>E26/'- 7 -'!E26</f>
        <v>1976.9668571428572</v>
      </c>
      <c r="H26" s="20">
        <f>SUM('- 23 -'!D26,'- 23 -'!B26)</f>
        <v>0</v>
      </c>
      <c r="I26" s="70">
        <f>H26/'- 3 -'!D26*100</f>
        <v>0</v>
      </c>
    </row>
    <row r="27" spans="1:9" ht="14.1" customHeight="1" x14ac:dyDescent="0.2">
      <c r="A27" s="284" t="s">
        <v>125</v>
      </c>
      <c r="B27" s="285">
        <f>SUM('- 18 -'!B27,'- 18 -'!E27,'- 19 -'!B27,'- 19 -'!E27,'- 19 -'!H27,'- 20 -'!B27)</f>
        <v>24361144</v>
      </c>
      <c r="C27" s="291">
        <f>B27/'- 3 -'!D27*100</f>
        <v>58.503449259982929</v>
      </c>
      <c r="D27" s="285">
        <f>B27/'- 7 -'!C27</f>
        <v>8059.5052040255941</v>
      </c>
      <c r="E27" s="285">
        <f>SUM('- 21 -'!B27,'- 21 -'!E27,'- 21 -'!H27,'- 22 -'!B27,'- 22 -'!E27,'- 22 -'!H27)</f>
        <v>8358540</v>
      </c>
      <c r="F27" s="291">
        <f>E27/'- 3 -'!D27*100</f>
        <v>20.07308937451943</v>
      </c>
      <c r="G27" s="285">
        <f>E27/'- 7 -'!E27</f>
        <v>2765.2928215545248</v>
      </c>
      <c r="H27" s="285">
        <f>SUM('- 23 -'!D27,'- 23 -'!B27)</f>
        <v>0</v>
      </c>
      <c r="I27" s="291">
        <f>H27/'- 3 -'!D27*100</f>
        <v>0</v>
      </c>
    </row>
    <row r="28" spans="1:9" ht="14.1" customHeight="1" x14ac:dyDescent="0.2">
      <c r="A28" s="19" t="s">
        <v>126</v>
      </c>
      <c r="B28" s="20">
        <f>SUM('- 18 -'!B28,'- 18 -'!E28,'- 19 -'!B28,'- 19 -'!E28,'- 19 -'!H28,'- 20 -'!B28)</f>
        <v>17495669</v>
      </c>
      <c r="C28" s="70">
        <f>B28/'- 3 -'!D28*100</f>
        <v>61.967879374846454</v>
      </c>
      <c r="D28" s="20">
        <f>B28/'- 7 -'!C28</f>
        <v>8800.6383299798799</v>
      </c>
      <c r="E28" s="20">
        <f>SUM('- 21 -'!B28,'- 21 -'!E28,'- 21 -'!H28,'- 22 -'!B28,'- 22 -'!E28,'- 22 -'!H28)</f>
        <v>3561030</v>
      </c>
      <c r="F28" s="70">
        <f>E28/'- 3 -'!D28*100</f>
        <v>12.61280591729356</v>
      </c>
      <c r="G28" s="20">
        <f>E28/'- 7 -'!E28</f>
        <v>1791.2625754527162</v>
      </c>
      <c r="H28" s="20">
        <f>SUM('- 23 -'!D28,'- 23 -'!B28)</f>
        <v>111653</v>
      </c>
      <c r="I28" s="70">
        <f>H28/'- 3 -'!D28*100</f>
        <v>0.39546356505942881</v>
      </c>
    </row>
    <row r="29" spans="1:9" ht="14.1" customHeight="1" x14ac:dyDescent="0.2">
      <c r="A29" s="284" t="s">
        <v>127</v>
      </c>
      <c r="B29" s="285">
        <f>SUM('- 18 -'!B29,'- 18 -'!E29,'- 19 -'!B29,'- 19 -'!E29,'- 19 -'!H29,'- 20 -'!B29)</f>
        <v>99120129</v>
      </c>
      <c r="C29" s="291">
        <f>B29/'- 3 -'!D29*100</f>
        <v>58.581952285700268</v>
      </c>
      <c r="D29" s="285">
        <f>B29/'- 7 -'!C29</f>
        <v>6923.9725472390064</v>
      </c>
      <c r="E29" s="285">
        <f>SUM('- 21 -'!B29,'- 21 -'!E29,'- 21 -'!H29,'- 22 -'!B29,'- 22 -'!E29,'- 22 -'!H29)</f>
        <v>31668916</v>
      </c>
      <c r="F29" s="291">
        <f>E29/'- 3 -'!D29*100</f>
        <v>18.716954313607175</v>
      </c>
      <c r="G29" s="285">
        <f>E29/'- 7 -'!E29</f>
        <v>2212.2116586916281</v>
      </c>
      <c r="H29" s="285">
        <f>SUM('- 23 -'!D29,'- 23 -'!B29)</f>
        <v>0</v>
      </c>
      <c r="I29" s="291">
        <f>H29/'- 3 -'!D29*100</f>
        <v>0</v>
      </c>
    </row>
    <row r="30" spans="1:9" ht="14.1" customHeight="1" x14ac:dyDescent="0.2">
      <c r="A30" s="19" t="s">
        <v>128</v>
      </c>
      <c r="B30" s="20">
        <f>SUM('- 18 -'!B30,'- 18 -'!E30,'- 19 -'!B30,'- 19 -'!E30,'- 19 -'!H30,'- 20 -'!B30)</f>
        <v>9569182</v>
      </c>
      <c r="C30" s="70">
        <f>B30/'- 3 -'!D30*100</f>
        <v>61.509643826789976</v>
      </c>
      <c r="D30" s="20">
        <f>B30/'- 7 -'!C30</f>
        <v>9331.235494880546</v>
      </c>
      <c r="E30" s="20">
        <f>SUM('- 21 -'!B30,'- 21 -'!E30,'- 21 -'!H30,'- 22 -'!B30,'- 22 -'!E30,'- 22 -'!H30)</f>
        <v>1987296</v>
      </c>
      <c r="F30" s="70">
        <f>E30/'- 3 -'!D30*100</f>
        <v>12.774118951693511</v>
      </c>
      <c r="G30" s="20">
        <f>E30/'- 7 -'!E30</f>
        <v>1937.8800585080448</v>
      </c>
      <c r="H30" s="20">
        <f>SUM('- 23 -'!D30,'- 23 -'!B30)</f>
        <v>0</v>
      </c>
      <c r="I30" s="70">
        <f>H30/'- 3 -'!D30*100</f>
        <v>0</v>
      </c>
    </row>
    <row r="31" spans="1:9" ht="14.1" customHeight="1" x14ac:dyDescent="0.2">
      <c r="A31" s="284" t="s">
        <v>129</v>
      </c>
      <c r="B31" s="285">
        <f>SUM('- 18 -'!B31,'- 18 -'!E31,'- 19 -'!B31,'- 19 -'!E31,'- 19 -'!H31,'- 20 -'!B31)</f>
        <v>24897113</v>
      </c>
      <c r="C31" s="291">
        <f>B31/'- 3 -'!D31*100</f>
        <v>62.313552001007544</v>
      </c>
      <c r="D31" s="285">
        <f>B31/'- 7 -'!C31</f>
        <v>7467.640371925615</v>
      </c>
      <c r="E31" s="285">
        <f>SUM('- 21 -'!B31,'- 21 -'!E31,'- 21 -'!H31,'- 22 -'!B31,'- 22 -'!E31,'- 22 -'!H31)</f>
        <v>6998661</v>
      </c>
      <c r="F31" s="291">
        <f>E31/'- 3 -'!D31*100</f>
        <v>17.516546041339147</v>
      </c>
      <c r="G31" s="285">
        <f>E31/'- 7 -'!E31</f>
        <v>2099.1784643071387</v>
      </c>
      <c r="H31" s="285">
        <f>SUM('- 23 -'!D31,'- 23 -'!B31)</f>
        <v>0</v>
      </c>
      <c r="I31" s="291">
        <f>H31/'- 3 -'!D31*100</f>
        <v>0</v>
      </c>
    </row>
    <row r="32" spans="1:9" ht="14.1" customHeight="1" x14ac:dyDescent="0.2">
      <c r="A32" s="19" t="s">
        <v>130</v>
      </c>
      <c r="B32" s="20">
        <f>SUM('- 18 -'!B32,'- 18 -'!E32,'- 19 -'!B32,'- 19 -'!E32,'- 19 -'!H32,'- 20 -'!B32)</f>
        <v>18435896</v>
      </c>
      <c r="C32" s="70">
        <f>B32/'- 3 -'!D32*100</f>
        <v>60.773207949151434</v>
      </c>
      <c r="D32" s="20">
        <f>B32/'- 7 -'!C32</f>
        <v>8100.1300527240774</v>
      </c>
      <c r="E32" s="20">
        <f>SUM('- 21 -'!B32,'- 21 -'!E32,'- 21 -'!H32,'- 22 -'!B32,'- 22 -'!E32,'- 22 -'!H32)</f>
        <v>4208178</v>
      </c>
      <c r="F32" s="70">
        <f>E32/'- 3 -'!D32*100</f>
        <v>13.872093695963796</v>
      </c>
      <c r="G32" s="20">
        <f>E32/'- 7 -'!E32</f>
        <v>1848.9358523725834</v>
      </c>
      <c r="H32" s="20">
        <f>SUM('- 23 -'!D32,'- 23 -'!B32)</f>
        <v>285680</v>
      </c>
      <c r="I32" s="70">
        <f>H32/'- 3 -'!D32*100</f>
        <v>0.94173291316644347</v>
      </c>
    </row>
    <row r="33" spans="1:9" ht="14.1" customHeight="1" x14ac:dyDescent="0.2">
      <c r="A33" s="284" t="s">
        <v>131</v>
      </c>
      <c r="B33" s="285">
        <f>SUM('- 18 -'!B33,'- 18 -'!E33,'- 19 -'!B33,'- 19 -'!E33,'- 19 -'!H33,'- 20 -'!B33)</f>
        <v>16886174</v>
      </c>
      <c r="C33" s="291">
        <f>B33/'- 3 -'!D33*100</f>
        <v>60.156978670213867</v>
      </c>
      <c r="D33" s="285">
        <f>B33/'- 7 -'!C33</f>
        <v>8224.3200857198535</v>
      </c>
      <c r="E33" s="285">
        <f>SUM('- 21 -'!B33,'- 21 -'!E33,'- 21 -'!H33,'- 22 -'!B33,'- 22 -'!E33,'- 22 -'!H33)</f>
        <v>3781642</v>
      </c>
      <c r="F33" s="291">
        <f>E33/'- 3 -'!D33*100</f>
        <v>13.472095995954142</v>
      </c>
      <c r="G33" s="285">
        <f>E33/'- 7 -'!E33</f>
        <v>1841.8283654782779</v>
      </c>
      <c r="H33" s="285">
        <f>SUM('- 23 -'!D33,'- 23 -'!B33)</f>
        <v>0</v>
      </c>
      <c r="I33" s="291">
        <f>H33/'- 3 -'!D33*100</f>
        <v>0</v>
      </c>
    </row>
    <row r="34" spans="1:9" ht="14.1" customHeight="1" x14ac:dyDescent="0.2">
      <c r="A34" s="19" t="s">
        <v>132</v>
      </c>
      <c r="B34" s="20">
        <f>SUM('- 18 -'!B34,'- 18 -'!E34,'- 19 -'!B34,'- 19 -'!E34,'- 19 -'!H34,'- 20 -'!B34)</f>
        <v>17432424</v>
      </c>
      <c r="C34" s="70">
        <f>B34/'- 3 -'!D34*100</f>
        <v>57.264881345794471</v>
      </c>
      <c r="D34" s="20">
        <f>B34/'- 7 -'!C34</f>
        <v>7839.02509218455</v>
      </c>
      <c r="E34" s="20">
        <f>SUM('- 21 -'!B34,'- 21 -'!E34,'- 21 -'!H34,'- 22 -'!B34,'- 22 -'!E34,'- 22 -'!H34)</f>
        <v>5214066</v>
      </c>
      <c r="F34" s="70">
        <f>E34/'- 3 -'!D34*100</f>
        <v>17.128017929069486</v>
      </c>
      <c r="G34" s="20">
        <f>E34/'- 7 -'!E34</f>
        <v>2344.6649878586209</v>
      </c>
      <c r="H34" s="20">
        <f>SUM('- 23 -'!D34,'- 23 -'!B34)</f>
        <v>0</v>
      </c>
      <c r="I34" s="70">
        <f>H34/'- 3 -'!D34*100</f>
        <v>0</v>
      </c>
    </row>
    <row r="35" spans="1:9" ht="14.1" customHeight="1" x14ac:dyDescent="0.2">
      <c r="A35" s="284" t="s">
        <v>133</v>
      </c>
      <c r="B35" s="285">
        <f>SUM('- 18 -'!B35,'- 18 -'!E35,'- 19 -'!B35,'- 19 -'!E35,'- 19 -'!H35,'- 20 -'!B35)</f>
        <v>110590204</v>
      </c>
      <c r="C35" s="291">
        <f>B35/'- 3 -'!D35*100</f>
        <v>57.726982766562138</v>
      </c>
      <c r="D35" s="285">
        <f>B35/'- 7 -'!C35</f>
        <v>6820.4510777390606</v>
      </c>
      <c r="E35" s="285">
        <f>SUM('- 21 -'!B35,'- 21 -'!E35,'- 21 -'!H35,'- 22 -'!B35,'- 22 -'!E35,'- 22 -'!H35)</f>
        <v>35796865</v>
      </c>
      <c r="F35" s="291">
        <f>E35/'- 3 -'!D35*100</f>
        <v>18.685606267187566</v>
      </c>
      <c r="G35" s="285">
        <f>E35/'- 7 -'!E35</f>
        <v>2207.7069906565112</v>
      </c>
      <c r="H35" s="285">
        <f>SUM('- 23 -'!D35,'- 23 -'!B35)</f>
        <v>1527458</v>
      </c>
      <c r="I35" s="291">
        <f>H35/'- 3 -'!D35*100</f>
        <v>0.79731783153820268</v>
      </c>
    </row>
    <row r="36" spans="1:9" ht="14.1" customHeight="1" x14ac:dyDescent="0.2">
      <c r="A36" s="19" t="s">
        <v>134</v>
      </c>
      <c r="B36" s="20">
        <f>SUM('- 18 -'!B36,'- 18 -'!E36,'- 19 -'!B36,'- 19 -'!E36,'- 19 -'!H36,'- 20 -'!B36)</f>
        <v>14446475</v>
      </c>
      <c r="C36" s="70">
        <f>B36/'- 3 -'!D36*100</f>
        <v>61.08968644548326</v>
      </c>
      <c r="D36" s="20">
        <f>B36/'- 7 -'!C36</f>
        <v>8416.2394407224001</v>
      </c>
      <c r="E36" s="20">
        <f>SUM('- 21 -'!B36,'- 21 -'!E36,'- 21 -'!H36,'- 22 -'!B36,'- 22 -'!E36,'- 22 -'!H36)</f>
        <v>2980476</v>
      </c>
      <c r="F36" s="70">
        <f>E36/'- 3 -'!D36*100</f>
        <v>12.603513611333433</v>
      </c>
      <c r="G36" s="20">
        <f>E36/'- 7 -'!E36</f>
        <v>1736.3681910865132</v>
      </c>
      <c r="H36" s="20">
        <f>SUM('- 23 -'!D36,'- 23 -'!B36)</f>
        <v>122783</v>
      </c>
      <c r="I36" s="70">
        <f>H36/'- 3 -'!D36*100</f>
        <v>0.51921143191233654</v>
      </c>
    </row>
    <row r="37" spans="1:9" ht="14.1" customHeight="1" x14ac:dyDescent="0.2">
      <c r="A37" s="284" t="s">
        <v>135</v>
      </c>
      <c r="B37" s="285">
        <f>SUM('- 18 -'!B37,'- 18 -'!E37,'- 19 -'!B37,'- 19 -'!E37,'- 19 -'!H37,'- 20 -'!B37)</f>
        <v>31345437</v>
      </c>
      <c r="C37" s="291">
        <f>B37/'- 3 -'!D37*100</f>
        <v>57.116990273774526</v>
      </c>
      <c r="D37" s="285">
        <f>B37/'- 7 -'!C37</f>
        <v>7328.1519147145473</v>
      </c>
      <c r="E37" s="285">
        <f>SUM('- 21 -'!B37,'- 21 -'!E37,'- 21 -'!H37,'- 22 -'!B37,'- 22 -'!E37,'- 22 -'!H37)</f>
        <v>10365793</v>
      </c>
      <c r="F37" s="291">
        <f>E37/'- 3 -'!D37*100</f>
        <v>18.888328082998495</v>
      </c>
      <c r="G37" s="285">
        <f>E37/'- 7 -'!E37</f>
        <v>2423.3864029550664</v>
      </c>
      <c r="H37" s="285">
        <f>SUM('- 23 -'!D37,'- 23 -'!B37)</f>
        <v>322784</v>
      </c>
      <c r="I37" s="291">
        <f>H37/'- 3 -'!D37*100</f>
        <v>0.58817015658547167</v>
      </c>
    </row>
    <row r="38" spans="1:9" ht="14.1" customHeight="1" x14ac:dyDescent="0.2">
      <c r="A38" s="19" t="s">
        <v>136</v>
      </c>
      <c r="B38" s="20">
        <f>SUM('- 18 -'!B38,'- 18 -'!E38,'- 19 -'!B38,'- 19 -'!E38,'- 19 -'!H38,'- 20 -'!B38)</f>
        <v>86730203</v>
      </c>
      <c r="C38" s="70">
        <f>B38/'- 3 -'!D38*100</f>
        <v>58.806897828878554</v>
      </c>
      <c r="D38" s="20">
        <f>B38/'- 7 -'!C38</f>
        <v>7566.759989530623</v>
      </c>
      <c r="E38" s="20">
        <f>SUM('- 21 -'!B38,'- 21 -'!E38,'- 21 -'!H38,'- 22 -'!B38,'- 22 -'!E38,'- 22 -'!H38)</f>
        <v>26460212</v>
      </c>
      <c r="F38" s="70">
        <f>E38/'- 3 -'!D38*100</f>
        <v>17.941189225793305</v>
      </c>
      <c r="G38" s="20">
        <f>E38/'- 7 -'!E38</f>
        <v>2308.5161402896529</v>
      </c>
      <c r="H38" s="20">
        <f>SUM('- 23 -'!D38,'- 23 -'!B38)</f>
        <v>2160561</v>
      </c>
      <c r="I38" s="70">
        <f>H38/'- 3 -'!D38*100</f>
        <v>1.4649555239719625</v>
      </c>
    </row>
    <row r="39" spans="1:9" ht="14.1" customHeight="1" x14ac:dyDescent="0.2">
      <c r="A39" s="284" t="s">
        <v>137</v>
      </c>
      <c r="B39" s="285">
        <f>SUM('- 18 -'!B39,'- 18 -'!E39,'- 19 -'!B39,'- 19 -'!E39,'- 19 -'!H39,'- 20 -'!B39)</f>
        <v>13242378</v>
      </c>
      <c r="C39" s="291">
        <f>B39/'- 3 -'!D39*100</f>
        <v>60.874079387426207</v>
      </c>
      <c r="D39" s="285">
        <f>B39/'- 7 -'!C39</f>
        <v>8845.943887775551</v>
      </c>
      <c r="E39" s="285">
        <f>SUM('- 21 -'!B39,'- 21 -'!E39,'- 21 -'!H39,'- 22 -'!B39,'- 22 -'!E39,'- 22 -'!H39)</f>
        <v>2920154</v>
      </c>
      <c r="F39" s="291">
        <f>E39/'- 3 -'!D39*100</f>
        <v>13.423698252648444</v>
      </c>
      <c r="G39" s="285">
        <f>E39/'- 7 -'!E39</f>
        <v>1950.6706746826987</v>
      </c>
      <c r="H39" s="285">
        <f>SUM('- 23 -'!D39,'- 23 -'!B39)</f>
        <v>0</v>
      </c>
      <c r="I39" s="291">
        <f>H39/'- 3 -'!D39*100</f>
        <v>0</v>
      </c>
    </row>
    <row r="40" spans="1:9" ht="14.1" customHeight="1" x14ac:dyDescent="0.2">
      <c r="A40" s="19" t="s">
        <v>138</v>
      </c>
      <c r="B40" s="20">
        <f>SUM('- 18 -'!B40,'- 18 -'!E40,'- 19 -'!B40,'- 19 -'!E40,'- 19 -'!H40,'- 20 -'!B40)</f>
        <v>60636882</v>
      </c>
      <c r="C40" s="70">
        <f>B40/'- 3 -'!D40*100</f>
        <v>56.972670456427267</v>
      </c>
      <c r="D40" s="20">
        <f>B40/'- 7 -'!C40</f>
        <v>7430.9266954817786</v>
      </c>
      <c r="E40" s="20">
        <f>SUM('- 21 -'!B40,'- 21 -'!E40,'- 21 -'!H40,'- 22 -'!B40,'- 22 -'!E40,'- 22 -'!H40)</f>
        <v>23375349</v>
      </c>
      <c r="F40" s="70">
        <f>E40/'- 3 -'!D40*100</f>
        <v>21.962805663077738</v>
      </c>
      <c r="G40" s="20">
        <f>E40/'- 7 -'!E40</f>
        <v>2864.6015291535487</v>
      </c>
      <c r="H40" s="20">
        <f>SUM('- 23 -'!D40,'- 23 -'!B40)</f>
        <v>0</v>
      </c>
      <c r="I40" s="70">
        <f>H40/'- 3 -'!D40*100</f>
        <v>0</v>
      </c>
    </row>
    <row r="41" spans="1:9" ht="14.1" customHeight="1" x14ac:dyDescent="0.2">
      <c r="A41" s="284" t="s">
        <v>139</v>
      </c>
      <c r="B41" s="285">
        <f>SUM('- 18 -'!B41,'- 18 -'!E41,'- 19 -'!B41,'- 19 -'!E41,'- 19 -'!H41,'- 20 -'!B41)</f>
        <v>34607492</v>
      </c>
      <c r="C41" s="291">
        <f>B41/'- 3 -'!D41*100</f>
        <v>53.69928289116168</v>
      </c>
      <c r="D41" s="285">
        <f>B41/'- 7 -'!C41</f>
        <v>7693.9733214762118</v>
      </c>
      <c r="E41" s="285">
        <f>SUM('- 21 -'!B41,'- 21 -'!E41,'- 21 -'!H41,'- 22 -'!B41,'- 22 -'!E41,'- 22 -'!H41)</f>
        <v>12866088</v>
      </c>
      <c r="F41" s="291">
        <f>E41/'- 3 -'!D41*100</f>
        <v>19.963876585294901</v>
      </c>
      <c r="G41" s="285">
        <f>E41/'- 7 -'!E41</f>
        <v>2860.401956425078</v>
      </c>
      <c r="H41" s="285">
        <f>SUM('- 23 -'!D41,'- 23 -'!B41)</f>
        <v>967911</v>
      </c>
      <c r="I41" s="291">
        <f>H41/'- 3 -'!D41*100</f>
        <v>1.5018749871405648</v>
      </c>
    </row>
    <row r="42" spans="1:9" ht="14.1" customHeight="1" x14ac:dyDescent="0.2">
      <c r="A42" s="19" t="s">
        <v>140</v>
      </c>
      <c r="B42" s="20">
        <f>SUM('- 18 -'!B42,'- 18 -'!E42,'- 19 -'!B42,'- 19 -'!E42,'- 19 -'!H42,'- 20 -'!B42)</f>
        <v>11633957</v>
      </c>
      <c r="C42" s="70">
        <f>B42/'- 3 -'!D42*100</f>
        <v>56.91962790649432</v>
      </c>
      <c r="D42" s="20">
        <f>B42/'- 7 -'!C42</f>
        <v>8491.319611707173</v>
      </c>
      <c r="E42" s="20">
        <f>SUM('- 21 -'!B42,'- 21 -'!E42,'- 21 -'!H42,'- 22 -'!B42,'- 22 -'!E42,'- 22 -'!H42)</f>
        <v>3361252</v>
      </c>
      <c r="F42" s="70">
        <f>E42/'- 3 -'!D42*100</f>
        <v>16.445067928303313</v>
      </c>
      <c r="G42" s="20">
        <f>E42/'- 7 -'!E42</f>
        <v>2453.2895409094226</v>
      </c>
      <c r="H42" s="20">
        <f>SUM('- 23 -'!D42,'- 23 -'!B42)</f>
        <v>0</v>
      </c>
      <c r="I42" s="70">
        <f>H42/'- 3 -'!D42*100</f>
        <v>0</v>
      </c>
    </row>
    <row r="43" spans="1:9" ht="14.1" customHeight="1" x14ac:dyDescent="0.2">
      <c r="A43" s="284" t="s">
        <v>141</v>
      </c>
      <c r="B43" s="285">
        <f>SUM('- 18 -'!B43,'- 18 -'!E43,'- 19 -'!B43,'- 19 -'!E43,'- 19 -'!H43,'- 20 -'!B43)</f>
        <v>7673433</v>
      </c>
      <c r="C43" s="291">
        <f>B43/'- 3 -'!D43*100</f>
        <v>58.791877846673025</v>
      </c>
      <c r="D43" s="285">
        <f>B43/'- 7 -'!C43</f>
        <v>7654.2972568578552</v>
      </c>
      <c r="E43" s="285">
        <f>SUM('- 21 -'!B43,'- 21 -'!E43,'- 21 -'!H43,'- 22 -'!B43,'- 22 -'!E43,'- 22 -'!H43)</f>
        <v>2017454</v>
      </c>
      <c r="F43" s="291">
        <f>E43/'- 3 -'!D43*100</f>
        <v>15.457215711570282</v>
      </c>
      <c r="G43" s="285">
        <f>E43/'- 7 -'!E43</f>
        <v>2012.4229426433915</v>
      </c>
      <c r="H43" s="285">
        <f>SUM('- 23 -'!D43,'- 23 -'!B43)</f>
        <v>205623</v>
      </c>
      <c r="I43" s="291">
        <f>H43/'- 3 -'!D43*100</f>
        <v>1.5754307489837269</v>
      </c>
    </row>
    <row r="44" spans="1:9" ht="14.1" customHeight="1" x14ac:dyDescent="0.2">
      <c r="A44" s="19" t="s">
        <v>142</v>
      </c>
      <c r="B44" s="20">
        <f>SUM('- 18 -'!B44,'- 18 -'!E44,'- 19 -'!B44,'- 19 -'!E44,'- 19 -'!H44,'- 20 -'!B44)</f>
        <v>6304707</v>
      </c>
      <c r="C44" s="70">
        <f>B44/'- 3 -'!D44*100</f>
        <v>59.281647927749191</v>
      </c>
      <c r="D44" s="20">
        <f>B44/'- 7 -'!C44</f>
        <v>9110.8482658959529</v>
      </c>
      <c r="E44" s="20">
        <f>SUM('- 21 -'!B44,'- 21 -'!E44,'- 21 -'!H44,'- 22 -'!B44,'- 22 -'!E44,'- 22 -'!H44)</f>
        <v>1420406</v>
      </c>
      <c r="F44" s="70">
        <f>E44/'- 3 -'!D44*100</f>
        <v>13.355736976589478</v>
      </c>
      <c r="G44" s="20">
        <f>E44/'- 7 -'!E44</f>
        <v>2052.6098265895953</v>
      </c>
      <c r="H44" s="20">
        <f>SUM('- 23 -'!D44,'- 23 -'!B44)</f>
        <v>0</v>
      </c>
      <c r="I44" s="70">
        <f>H44/'- 3 -'!D44*100</f>
        <v>0</v>
      </c>
    </row>
    <row r="45" spans="1:9" ht="14.1" customHeight="1" x14ac:dyDescent="0.2">
      <c r="A45" s="284" t="s">
        <v>143</v>
      </c>
      <c r="B45" s="285">
        <f>SUM('- 18 -'!B45,'- 18 -'!E45,'- 19 -'!B45,'- 19 -'!E45,'- 19 -'!H45,'- 20 -'!B45)</f>
        <v>13402580</v>
      </c>
      <c r="C45" s="291">
        <f>B45/'- 3 -'!D45*100</f>
        <v>63.350119616506831</v>
      </c>
      <c r="D45" s="285">
        <f>B45/'- 7 -'!C45</f>
        <v>6998.7362924281988</v>
      </c>
      <c r="E45" s="285">
        <f>SUM('- 21 -'!B45,'- 21 -'!E45,'- 21 -'!H45,'- 22 -'!B45,'- 22 -'!E45,'- 22 -'!H45)</f>
        <v>2918420</v>
      </c>
      <c r="F45" s="291">
        <f>E45/'- 3 -'!D45*100</f>
        <v>13.794527329156464</v>
      </c>
      <c r="G45" s="285">
        <f>E45/'- 7 -'!E45</f>
        <v>1523.9791122715405</v>
      </c>
      <c r="H45" s="285">
        <f>SUM('- 23 -'!D45,'- 23 -'!B45)</f>
        <v>399411</v>
      </c>
      <c r="I45" s="291">
        <f>H45/'- 3 -'!D45*100</f>
        <v>1.887900286821538</v>
      </c>
    </row>
    <row r="46" spans="1:9" ht="14.1" customHeight="1" x14ac:dyDescent="0.2">
      <c r="A46" s="19" t="s">
        <v>144</v>
      </c>
      <c r="B46" s="20">
        <f>SUM('- 18 -'!B46,'- 18 -'!E46,'- 19 -'!B46,'- 19 -'!E46,'- 19 -'!H46,'- 20 -'!B46)</f>
        <v>219905112</v>
      </c>
      <c r="C46" s="70">
        <f>B46/'- 3 -'!D46*100</f>
        <v>53.194517785779524</v>
      </c>
      <c r="D46" s="20">
        <f>B46/'- 7 -'!C46</f>
        <v>7444.392190848248</v>
      </c>
      <c r="E46" s="20">
        <f>SUM('- 21 -'!B46,'- 21 -'!E46,'- 21 -'!H46,'- 22 -'!B46,'- 22 -'!E46,'- 22 -'!H46)</f>
        <v>95544053</v>
      </c>
      <c r="F46" s="70">
        <f>E46/'- 3 -'!D46*100</f>
        <v>23.111876665395396</v>
      </c>
      <c r="G46" s="20">
        <f>E46/'- 7 -'!E46</f>
        <v>3234.4286841098588</v>
      </c>
      <c r="H46" s="20">
        <f>SUM('- 23 -'!D46,'- 23 -'!B46)</f>
        <v>856421</v>
      </c>
      <c r="I46" s="70">
        <f>H46/'- 3 -'!D46*100</f>
        <v>0.20716618045975707</v>
      </c>
    </row>
    <row r="47" spans="1:9" ht="5.0999999999999996" customHeight="1" x14ac:dyDescent="0.2">
      <c r="A47" s="21"/>
      <c r="B47" s="22"/>
      <c r="C47" s="71"/>
      <c r="D47" s="22"/>
      <c r="E47" s="22"/>
      <c r="F47" s="71"/>
      <c r="G47" s="22"/>
      <c r="H47" s="22"/>
      <c r="I47" s="71"/>
    </row>
    <row r="48" spans="1:9" ht="14.1" customHeight="1" x14ac:dyDescent="0.2">
      <c r="A48" s="286" t="s">
        <v>145</v>
      </c>
      <c r="B48" s="287">
        <f>SUM(B11:B46)</f>
        <v>1368818256</v>
      </c>
      <c r="C48" s="294">
        <f>B48/'- 3 -'!D48*100</f>
        <v>56.756101644561532</v>
      </c>
      <c r="D48" s="287">
        <f>B48/'- 7 -'!C48</f>
        <v>7595.068487039588</v>
      </c>
      <c r="E48" s="287">
        <f>SUM(E11:E46)</f>
        <v>446049387</v>
      </c>
      <c r="F48" s="294">
        <f>E48/'- 3 -'!D48*100</f>
        <v>18.494803262666572</v>
      </c>
      <c r="G48" s="287">
        <f>E48/'- 7 -'!E48</f>
        <v>2474.9638076620054</v>
      </c>
      <c r="H48" s="287">
        <f>SUM(H11:H46)</f>
        <v>12087763</v>
      </c>
      <c r="I48" s="294">
        <f>H48/'- 3 -'!D48*100</f>
        <v>0.50120189621679767</v>
      </c>
    </row>
    <row r="49" spans="1:9" ht="5.0999999999999996" customHeight="1" x14ac:dyDescent="0.2">
      <c r="A49" s="21" t="s">
        <v>7</v>
      </c>
      <c r="B49" s="22"/>
      <c r="C49" s="71"/>
      <c r="D49" s="22"/>
      <c r="E49" s="22"/>
      <c r="F49" s="71"/>
      <c r="H49" s="22"/>
      <c r="I49" s="71"/>
    </row>
    <row r="50" spans="1:9" ht="14.1" customHeight="1" x14ac:dyDescent="0.2">
      <c r="A50" s="284" t="s">
        <v>146</v>
      </c>
      <c r="B50" s="285">
        <f>SUM('- 18 -'!B50,'- 18 -'!E50,'- 19 -'!B50,'- 19 -'!E50,'- 19 -'!H50,'- 20 -'!B50)</f>
        <v>1838346</v>
      </c>
      <c r="C50" s="291">
        <f>B50/'- 3 -'!D50*100</f>
        <v>57.885784314960311</v>
      </c>
      <c r="D50" s="285">
        <f>B50/'- 7 -'!C50</f>
        <v>9675.5052631578947</v>
      </c>
      <c r="E50" s="285">
        <f>SUM('- 21 -'!B50,'- 21 -'!E50,'- 21 -'!H50,'- 22 -'!B50,'- 22 -'!E50,'- 22 -'!H50)</f>
        <v>371260</v>
      </c>
      <c r="F50" s="291">
        <f>E50/'- 3 -'!D50*100</f>
        <v>11.6902238668739</v>
      </c>
      <c r="G50" s="285">
        <f>E50/'- 7 -'!E50</f>
        <v>1954</v>
      </c>
      <c r="H50" s="285">
        <f>SUM('- 23 -'!D50,'- 23 -'!B50)</f>
        <v>0</v>
      </c>
      <c r="I50" s="291">
        <f>H50/'- 3 -'!D50*100</f>
        <v>0</v>
      </c>
    </row>
    <row r="51" spans="1:9" ht="14.1" customHeight="1" x14ac:dyDescent="0.2">
      <c r="A51" s="19" t="s">
        <v>599</v>
      </c>
      <c r="B51" s="20">
        <f>SUM('- 18 -'!B51,'- 18 -'!E51,'- 19 -'!B51,'- 19 -'!E51,'- 19 -'!H51,'- 20 -'!B51)</f>
        <v>6493399</v>
      </c>
      <c r="C51" s="70">
        <f>B51/'- 3 -'!D51*100</f>
        <v>21.521408077134772</v>
      </c>
      <c r="D51" s="20">
        <f>B51/'- 7 -'!C51</f>
        <v>5262.0737439222039</v>
      </c>
      <c r="E51" s="20">
        <f>SUM('- 21 -'!B51,'- 21 -'!E51,'- 21 -'!H51,'- 22 -'!B51,'- 22 -'!E51,'- 22 -'!H51)</f>
        <v>1193714</v>
      </c>
      <c r="F51" s="70">
        <f>E51/'- 3 -'!D51*100</f>
        <v>3.956388036741445</v>
      </c>
      <c r="G51" s="20">
        <f>E51/'- 7 -'!E51</f>
        <v>967.35332252836304</v>
      </c>
      <c r="H51" s="20">
        <f>SUM('- 23 -'!D51,'- 23 -'!B51)</f>
        <v>2445546</v>
      </c>
      <c r="I51" s="70">
        <f>H51/'- 3 -'!D51*100</f>
        <v>8.1053995661447331</v>
      </c>
    </row>
    <row r="52" spans="1:9" ht="50.1" customHeight="1" x14ac:dyDescent="0.2"/>
  </sheetData>
  <mergeCells count="5">
    <mergeCell ref="D8:D9"/>
    <mergeCell ref="G8:G9"/>
    <mergeCell ref="B7:D7"/>
    <mergeCell ref="E6:G7"/>
    <mergeCell ref="H6:I7"/>
  </mergeCells>
  <phoneticPr fontId="6" type="noConversion"/>
  <pageMargins left="0.5" right="0.5" top="0.6" bottom="0.2" header="0.3" footer="0.5"/>
  <pageSetup scale="89" firstPageNumber="14" orientation="portrait" r:id="rId1"/>
  <headerFooter alignWithMargins="0">
    <oddHeader>&amp;C&amp;"Arial,Regular"&amp;11&amp;A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I52"/>
  <sheetViews>
    <sheetView showGridLines="0" showZeros="0" workbookViewId="0"/>
  </sheetViews>
  <sheetFormatPr defaultColWidth="15.83203125" defaultRowHeight="12" x14ac:dyDescent="0.2"/>
  <cols>
    <col min="1" max="1" width="32.83203125" style="2" customWidth="1"/>
    <col min="2" max="2" width="18.83203125" style="2" customWidth="1"/>
    <col min="3" max="3" width="9.83203125" style="2" customWidth="1"/>
    <col min="4" max="4" width="16.83203125" style="2" customWidth="1"/>
    <col min="5" max="5" width="8.83203125" style="2" customWidth="1"/>
    <col min="6" max="6" width="9.83203125" style="2" customWidth="1"/>
    <col min="7" max="7" width="16.83203125" style="2" customWidth="1"/>
    <col min="8" max="8" width="8.83203125" style="2" customWidth="1"/>
    <col min="9" max="9" width="9.83203125" style="2" customWidth="1"/>
    <col min="10" max="16384" width="15.83203125" style="2"/>
  </cols>
  <sheetData>
    <row r="1" spans="1:9" ht="6.95" customHeight="1" x14ac:dyDescent="0.2">
      <c r="A1" s="7"/>
      <c r="B1" s="8"/>
      <c r="C1" s="8"/>
      <c r="D1" s="8"/>
      <c r="E1" s="8"/>
      <c r="F1" s="8"/>
      <c r="G1" s="8"/>
      <c r="H1" s="8"/>
      <c r="I1" s="8"/>
    </row>
    <row r="2" spans="1:9" ht="15.95" customHeight="1" x14ac:dyDescent="0.2">
      <c r="A2" s="134"/>
      <c r="B2" s="9" t="s">
        <v>261</v>
      </c>
      <c r="C2" s="10"/>
      <c r="D2" s="10"/>
      <c r="E2" s="10"/>
      <c r="F2" s="10"/>
      <c r="G2" s="73"/>
      <c r="H2" s="81"/>
      <c r="I2" s="135" t="s">
        <v>8</v>
      </c>
    </row>
    <row r="3" spans="1:9" ht="15.95" customHeight="1" x14ac:dyDescent="0.2">
      <c r="A3" s="541"/>
      <c r="B3" s="11" t="str">
        <f>OPYEAR</f>
        <v>OPERATING FUND 2019/2020 ACTUAL</v>
      </c>
      <c r="C3" s="12"/>
      <c r="D3" s="12"/>
      <c r="E3" s="12"/>
      <c r="F3" s="12"/>
      <c r="G3" s="75"/>
      <c r="H3" s="66"/>
      <c r="I3" s="66"/>
    </row>
    <row r="4" spans="1:9" ht="15.95" customHeight="1" x14ac:dyDescent="0.2">
      <c r="B4" s="8"/>
      <c r="C4" s="8"/>
      <c r="D4" s="8"/>
      <c r="E4" s="8"/>
      <c r="F4" s="8"/>
      <c r="G4" s="8"/>
      <c r="H4" s="8"/>
      <c r="I4" s="8"/>
    </row>
    <row r="5" spans="1:9" ht="15.95" customHeight="1" x14ac:dyDescent="0.2">
      <c r="B5" s="8"/>
      <c r="C5" s="8"/>
      <c r="D5" s="8"/>
      <c r="E5" s="8"/>
      <c r="F5" s="8"/>
      <c r="G5" s="8"/>
      <c r="H5" s="8"/>
      <c r="I5" s="8"/>
    </row>
    <row r="6" spans="1:9" ht="15.95" customHeight="1" x14ac:dyDescent="0.2">
      <c r="B6" s="649" t="s">
        <v>466</v>
      </c>
      <c r="C6" s="650"/>
      <c r="D6" s="649" t="s">
        <v>467</v>
      </c>
      <c r="E6" s="657"/>
      <c r="F6" s="650"/>
      <c r="G6" s="649" t="s">
        <v>468</v>
      </c>
      <c r="H6" s="657"/>
      <c r="I6" s="650"/>
    </row>
    <row r="7" spans="1:9" ht="15.95" customHeight="1" x14ac:dyDescent="0.2">
      <c r="B7" s="651"/>
      <c r="C7" s="652"/>
      <c r="D7" s="651"/>
      <c r="E7" s="658"/>
      <c r="F7" s="652"/>
      <c r="G7" s="651"/>
      <c r="H7" s="658"/>
      <c r="I7" s="652"/>
    </row>
    <row r="8" spans="1:9" ht="15.95" customHeight="1" x14ac:dyDescent="0.2">
      <c r="A8" s="67"/>
      <c r="B8" s="14" t="s">
        <v>7</v>
      </c>
      <c r="C8" s="138"/>
      <c r="D8" s="137"/>
      <c r="E8" s="139"/>
      <c r="F8" s="623" t="s">
        <v>327</v>
      </c>
      <c r="G8" s="137"/>
      <c r="H8" s="139"/>
      <c r="I8" s="623" t="s">
        <v>327</v>
      </c>
    </row>
    <row r="9" spans="1:9" ht="15.95" customHeight="1" x14ac:dyDescent="0.2">
      <c r="A9" s="35" t="s">
        <v>42</v>
      </c>
      <c r="B9" s="77" t="s">
        <v>43</v>
      </c>
      <c r="C9" s="77" t="s">
        <v>44</v>
      </c>
      <c r="D9" s="77" t="s">
        <v>43</v>
      </c>
      <c r="E9" s="77" t="s">
        <v>44</v>
      </c>
      <c r="F9" s="604"/>
      <c r="G9" s="77" t="s">
        <v>43</v>
      </c>
      <c r="H9" s="77" t="s">
        <v>44</v>
      </c>
      <c r="I9" s="604"/>
    </row>
    <row r="10" spans="1:9" ht="5.0999999999999996" customHeight="1" x14ac:dyDescent="0.2">
      <c r="A10" s="6"/>
    </row>
    <row r="11" spans="1:9" ht="14.1" customHeight="1" x14ac:dyDescent="0.2">
      <c r="A11" s="284" t="s">
        <v>110</v>
      </c>
      <c r="B11" s="285">
        <f>SUM('- 24 -'!H11,'- 24 -'!F11,'- 24 -'!D11,'- 24 -'!B11)</f>
        <v>29585</v>
      </c>
      <c r="C11" s="291">
        <f>B11/'- 3 -'!D11*100</f>
        <v>0.14076218931094231</v>
      </c>
      <c r="D11" s="285">
        <f>SUM('- 25 -'!B11,'- 25 -'!E11,'- 25 -'!H11,'- 26 -'!B11)</f>
        <v>664763</v>
      </c>
      <c r="E11" s="291">
        <f>D11/'- 3 -'!D11*100</f>
        <v>3.1628695370258559</v>
      </c>
      <c r="F11" s="285">
        <f>D11/'- 7 -'!E11</f>
        <v>335.73888888888888</v>
      </c>
      <c r="G11" s="285">
        <f>SUM('- 27 -'!B11,'- 27 -'!E11,'- 27 -'!H11,'- 28 -'!B11,'- 28 -'!E11)</f>
        <v>555651</v>
      </c>
      <c r="H11" s="291">
        <f>G11/'- 3 -'!D11*100</f>
        <v>2.6437265929631368</v>
      </c>
      <c r="I11" s="285">
        <f>G11/'- 7 -'!E11</f>
        <v>280.63181818181818</v>
      </c>
    </row>
    <row r="12" spans="1:9" ht="14.1" customHeight="1" x14ac:dyDescent="0.2">
      <c r="A12" s="19" t="s">
        <v>111</v>
      </c>
      <c r="B12" s="20">
        <f>SUM('- 24 -'!H12,'- 24 -'!F12,'- 24 -'!D12,'- 24 -'!B12)</f>
        <v>59327</v>
      </c>
      <c r="C12" s="70">
        <f>B12/'- 3 -'!D12*100</f>
        <v>0.17684258997444668</v>
      </c>
      <c r="D12" s="20">
        <f>SUM('- 25 -'!B12,'- 25 -'!E12,'- 25 -'!H12,'- 26 -'!B12)</f>
        <v>1069634</v>
      </c>
      <c r="E12" s="70">
        <f>D12/'- 3 -'!D12*100</f>
        <v>3.1883770776329041</v>
      </c>
      <c r="F12" s="20">
        <f>D12/'- 7 -'!E12</f>
        <v>491.70436157693439</v>
      </c>
      <c r="G12" s="20">
        <f>SUM('- 27 -'!B12,'- 27 -'!E12,'- 27 -'!H12,'- 28 -'!B12,'- 28 -'!E12)</f>
        <v>685474</v>
      </c>
      <c r="H12" s="70">
        <f>G12/'- 3 -'!D12*100</f>
        <v>2.0432686217092368</v>
      </c>
      <c r="I12" s="20">
        <f>G12/'- 7 -'!E12</f>
        <v>315.10830391291552</v>
      </c>
    </row>
    <row r="13" spans="1:9" ht="14.1" customHeight="1" x14ac:dyDescent="0.2">
      <c r="A13" s="284" t="s">
        <v>112</v>
      </c>
      <c r="B13" s="285">
        <f>SUM('- 24 -'!H13,'- 24 -'!F13,'- 24 -'!D13,'- 24 -'!B13)</f>
        <v>273724</v>
      </c>
      <c r="C13" s="291">
        <f>B13/'- 3 -'!D13*100</f>
        <v>0.2618272905602636</v>
      </c>
      <c r="D13" s="285">
        <f>SUM('- 25 -'!B13,'- 25 -'!E13,'- 25 -'!H13,'- 26 -'!B13)</f>
        <v>2877771</v>
      </c>
      <c r="E13" s="291">
        <f>D13/'- 3 -'!D13*100</f>
        <v>2.7526960872371449</v>
      </c>
      <c r="F13" s="285">
        <f>D13/'- 7 -'!E13</f>
        <v>332.30612009237876</v>
      </c>
      <c r="G13" s="285">
        <f>SUM('- 27 -'!B13,'- 27 -'!E13,'- 27 -'!H13,'- 28 -'!B13,'- 28 -'!E13)</f>
        <v>2806799</v>
      </c>
      <c r="H13" s="291">
        <f>G13/'- 3 -'!D13*100</f>
        <v>2.6848087026247507</v>
      </c>
      <c r="I13" s="285">
        <f>G13/'- 7 -'!E13</f>
        <v>324.11073903002307</v>
      </c>
    </row>
    <row r="14" spans="1:9" ht="14.1" customHeight="1" x14ac:dyDescent="0.2">
      <c r="A14" s="19" t="s">
        <v>358</v>
      </c>
      <c r="B14" s="20">
        <f>SUM('- 24 -'!H14,'- 24 -'!F14,'- 24 -'!D14,'- 24 -'!B14)</f>
        <v>1087391</v>
      </c>
      <c r="C14" s="70">
        <f>B14/'- 3 -'!D14*100</f>
        <v>1.2138634850632828</v>
      </c>
      <c r="D14" s="20">
        <f>SUM('- 25 -'!B14,'- 25 -'!E14,'- 25 -'!H14,'- 26 -'!B14)</f>
        <v>3371587</v>
      </c>
      <c r="E14" s="70">
        <f>D14/'- 3 -'!D14*100</f>
        <v>3.7637302000973509</v>
      </c>
      <c r="F14" s="20">
        <f>D14/'- 7 -'!E14</f>
        <v>609.1923057464785</v>
      </c>
      <c r="G14" s="20">
        <f>SUM('- 27 -'!B14,'- 27 -'!E14,'- 27 -'!H14,'- 28 -'!B14,'- 28 -'!E14)</f>
        <v>3144401</v>
      </c>
      <c r="H14" s="70">
        <f>G14/'- 3 -'!D14*100</f>
        <v>3.5101206063839698</v>
      </c>
      <c r="I14" s="20">
        <f>G14/'- 7 -'!E14</f>
        <v>568.14339816280369</v>
      </c>
    </row>
    <row r="15" spans="1:9" ht="14.1" customHeight="1" x14ac:dyDescent="0.2">
      <c r="A15" s="284" t="s">
        <v>113</v>
      </c>
      <c r="B15" s="285">
        <f>SUM('- 24 -'!H15,'- 24 -'!F15,'- 24 -'!D15,'- 24 -'!B15)</f>
        <v>46446</v>
      </c>
      <c r="C15" s="291">
        <f>B15/'- 3 -'!D15*100</f>
        <v>0.23547035464433155</v>
      </c>
      <c r="D15" s="285">
        <f>SUM('- 25 -'!B15,'- 25 -'!E15,'- 25 -'!H15,'- 26 -'!B15)</f>
        <v>729594</v>
      </c>
      <c r="E15" s="291">
        <f>D15/'- 3 -'!D15*100</f>
        <v>3.6988709022601833</v>
      </c>
      <c r="F15" s="285">
        <f>D15/'- 7 -'!E15</f>
        <v>501.26691858467882</v>
      </c>
      <c r="G15" s="285">
        <f>SUM('- 27 -'!B15,'- 27 -'!E15,'- 27 -'!H15,'- 28 -'!B15,'- 28 -'!E15)</f>
        <v>493195</v>
      </c>
      <c r="H15" s="291">
        <f>G15/'- 3 -'!D15*100</f>
        <v>2.5003832743144967</v>
      </c>
      <c r="I15" s="285">
        <f>G15/'- 7 -'!E15</f>
        <v>338.84919271727927</v>
      </c>
    </row>
    <row r="16" spans="1:9" ht="14.1" customHeight="1" x14ac:dyDescent="0.2">
      <c r="A16" s="19" t="s">
        <v>114</v>
      </c>
      <c r="B16" s="20">
        <f>SUM('- 24 -'!H16,'- 24 -'!F16,'- 24 -'!D16,'- 24 -'!B16)</f>
        <v>13940</v>
      </c>
      <c r="C16" s="70">
        <f>B16/'- 3 -'!D16*100</f>
        <v>9.6985018249741844E-2</v>
      </c>
      <c r="D16" s="20">
        <f>SUM('- 25 -'!B16,'- 25 -'!E16,'- 25 -'!H16,'- 26 -'!B16)</f>
        <v>657698</v>
      </c>
      <c r="E16" s="70">
        <f>D16/'- 3 -'!D16*100</f>
        <v>4.575814385424585</v>
      </c>
      <c r="F16" s="20">
        <f>D16/'- 7 -'!E16</f>
        <v>722.66564113833647</v>
      </c>
      <c r="G16" s="20">
        <f>SUM('- 27 -'!B16,'- 27 -'!E16,'- 27 -'!H16,'- 28 -'!B16,'- 28 -'!E16)</f>
        <v>243288</v>
      </c>
      <c r="H16" s="70">
        <f>G16/'- 3 -'!D16*100</f>
        <v>1.692632074601377</v>
      </c>
      <c r="I16" s="20">
        <f>G16/'- 7 -'!E16</f>
        <v>267.32007471706407</v>
      </c>
    </row>
    <row r="17" spans="1:9" ht="14.1" customHeight="1" x14ac:dyDescent="0.2">
      <c r="A17" s="284" t="s">
        <v>115</v>
      </c>
      <c r="B17" s="285">
        <f>SUM('- 24 -'!H17,'- 24 -'!F17,'- 24 -'!D17,'- 24 -'!B17)</f>
        <v>298426</v>
      </c>
      <c r="C17" s="291">
        <f>B17/'- 3 -'!D17*100</f>
        <v>1.6578973537619157</v>
      </c>
      <c r="D17" s="285">
        <f>SUM('- 25 -'!B17,'- 25 -'!E17,'- 25 -'!H17,'- 26 -'!B17)</f>
        <v>687213</v>
      </c>
      <c r="E17" s="291">
        <f>D17/'- 3 -'!D17*100</f>
        <v>3.8177927331090031</v>
      </c>
      <c r="F17" s="285">
        <f>D17/'- 7 -'!E17</f>
        <v>480.73662119622247</v>
      </c>
      <c r="G17" s="285">
        <f>SUM('- 27 -'!B17,'- 27 -'!E17,'- 27 -'!H17,'- 28 -'!B17,'- 28 -'!E17)</f>
        <v>269256</v>
      </c>
      <c r="H17" s="291">
        <f>G17/'- 3 -'!D17*100</f>
        <v>1.4958442290032317</v>
      </c>
      <c r="I17" s="285">
        <f>G17/'- 7 -'!E17</f>
        <v>188.35676810073451</v>
      </c>
    </row>
    <row r="18" spans="1:9" ht="14.1" customHeight="1" x14ac:dyDescent="0.2">
      <c r="A18" s="19" t="s">
        <v>116</v>
      </c>
      <c r="B18" s="20">
        <f>SUM('- 24 -'!H18,'- 24 -'!F18,'- 24 -'!D18,'- 24 -'!B18)</f>
        <v>2564216</v>
      </c>
      <c r="C18" s="70">
        <f>B18/'- 3 -'!D18*100</f>
        <v>1.9253365858469091</v>
      </c>
      <c r="D18" s="20">
        <f>SUM('- 25 -'!B18,'- 25 -'!E18,'- 25 -'!H18,'- 26 -'!B18)</f>
        <v>6984785</v>
      </c>
      <c r="E18" s="70">
        <f>D18/'- 3 -'!D18*100</f>
        <v>5.2445122036422456</v>
      </c>
      <c r="F18" s="20">
        <f>D18/'- 7 -'!E18</f>
        <v>1172.6324183664904</v>
      </c>
      <c r="G18" s="20">
        <f>SUM('- 27 -'!B18,'- 27 -'!E18,'- 27 -'!H18,'- 28 -'!B18,'- 28 -'!E18)</f>
        <v>7080438</v>
      </c>
      <c r="H18" s="70">
        <f>G18/'- 3 -'!D18*100</f>
        <v>5.3163330722609636</v>
      </c>
      <c r="I18" s="20">
        <f>G18/'- 7 -'!E18</f>
        <v>1188.6910098212038</v>
      </c>
    </row>
    <row r="19" spans="1:9" ht="14.1" customHeight="1" x14ac:dyDescent="0.2">
      <c r="A19" s="284" t="s">
        <v>117</v>
      </c>
      <c r="B19" s="285">
        <f>SUM('- 24 -'!H19,'- 24 -'!F19,'- 24 -'!D19,'- 24 -'!B19)</f>
        <v>75798</v>
      </c>
      <c r="C19" s="291">
        <f>B19/'- 3 -'!D19*100</f>
        <v>0.15242214938878815</v>
      </c>
      <c r="D19" s="285">
        <f>SUM('- 25 -'!B19,'- 25 -'!E19,'- 25 -'!H19,'- 26 -'!B19)</f>
        <v>1397376</v>
      </c>
      <c r="E19" s="291">
        <f>D19/'- 3 -'!D19*100</f>
        <v>2.8099824985396347</v>
      </c>
      <c r="F19" s="285">
        <f>D19/'- 7 -'!E19</f>
        <v>317.275389959812</v>
      </c>
      <c r="G19" s="285">
        <f>SUM('- 27 -'!B19,'- 27 -'!E19,'- 27 -'!H19,'- 28 -'!B19,'- 28 -'!E19)</f>
        <v>1496390</v>
      </c>
      <c r="H19" s="291">
        <f>G19/'- 3 -'!D19*100</f>
        <v>3.0090896873781459</v>
      </c>
      <c r="I19" s="285">
        <f>G19/'- 7 -'!E19</f>
        <v>339.75660150307652</v>
      </c>
    </row>
    <row r="20" spans="1:9" ht="14.1" customHeight="1" x14ac:dyDescent="0.2">
      <c r="A20" s="19" t="s">
        <v>118</v>
      </c>
      <c r="B20" s="20">
        <f>SUM('- 24 -'!H20,'- 24 -'!F20,'- 24 -'!D20,'- 24 -'!B20)</f>
        <v>132174</v>
      </c>
      <c r="C20" s="70">
        <f>B20/'- 3 -'!D20*100</f>
        <v>0.14931911662243941</v>
      </c>
      <c r="D20" s="20">
        <f>SUM('- 25 -'!B20,'- 25 -'!E20,'- 25 -'!H20,'- 26 -'!B20)</f>
        <v>2253907</v>
      </c>
      <c r="E20" s="70">
        <f>D20/'- 3 -'!D20*100</f>
        <v>2.5462753808550285</v>
      </c>
      <c r="F20" s="20">
        <f>D20/'- 7 -'!E20</f>
        <v>281.01826569415874</v>
      </c>
      <c r="G20" s="20">
        <f>SUM('- 27 -'!B20,'- 27 -'!E20,'- 27 -'!H20,'- 28 -'!B20,'- 28 -'!E20)</f>
        <v>2494960</v>
      </c>
      <c r="H20" s="70">
        <f>G20/'- 3 -'!D20*100</f>
        <v>2.818596873880804</v>
      </c>
      <c r="I20" s="20">
        <f>G20/'- 7 -'!E20</f>
        <v>311.07287575587554</v>
      </c>
    </row>
    <row r="21" spans="1:9" ht="14.1" customHeight="1" x14ac:dyDescent="0.2">
      <c r="A21" s="284" t="s">
        <v>119</v>
      </c>
      <c r="B21" s="285">
        <f>SUM('- 24 -'!H21,'- 24 -'!F21,'- 24 -'!D21,'- 24 -'!B21)</f>
        <v>214864</v>
      </c>
      <c r="C21" s="291">
        <f>B21/'- 3 -'!D21*100</f>
        <v>0.5713072029100974</v>
      </c>
      <c r="D21" s="285">
        <f>SUM('- 25 -'!B21,'- 25 -'!E21,'- 25 -'!H21,'- 26 -'!B21)</f>
        <v>1251079</v>
      </c>
      <c r="E21" s="291">
        <f>D21/'- 3 -'!D21*100</f>
        <v>3.3265248906729918</v>
      </c>
      <c r="F21" s="285">
        <f>D21/'- 7 -'!E21</f>
        <v>443.17357421183141</v>
      </c>
      <c r="G21" s="285">
        <f>SUM('- 27 -'!B21,'- 27 -'!E21,'- 27 -'!H21,'- 28 -'!B21,'- 28 -'!E21)</f>
        <v>962621</v>
      </c>
      <c r="H21" s="291">
        <f>G21/'- 3 -'!D21*100</f>
        <v>2.5595367812780219</v>
      </c>
      <c r="I21" s="285">
        <f>G21/'- 7 -'!E21</f>
        <v>340.99220687212187</v>
      </c>
    </row>
    <row r="22" spans="1:9" ht="14.1" customHeight="1" x14ac:dyDescent="0.2">
      <c r="A22" s="19" t="s">
        <v>120</v>
      </c>
      <c r="B22" s="20">
        <f>SUM('- 24 -'!H22,'- 24 -'!F22,'- 24 -'!D22,'- 24 -'!B22)</f>
        <v>49354</v>
      </c>
      <c r="C22" s="70">
        <f>B22/'- 3 -'!D22*100</f>
        <v>0.23908049006026522</v>
      </c>
      <c r="D22" s="20">
        <f>SUM('- 25 -'!B22,'- 25 -'!E22,'- 25 -'!H22,'- 26 -'!B22)</f>
        <v>715929</v>
      </c>
      <c r="E22" s="70">
        <f>D22/'- 3 -'!D22*100</f>
        <v>3.4681009881338007</v>
      </c>
      <c r="F22" s="20">
        <f>D22/'- 7 -'!E22</f>
        <v>466.40325732899021</v>
      </c>
      <c r="G22" s="20">
        <f>SUM('- 27 -'!B22,'- 27 -'!E22,'- 27 -'!H22,'- 28 -'!B22,'- 28 -'!E22)</f>
        <v>374915</v>
      </c>
      <c r="H22" s="70">
        <f>G22/'- 3 -'!D22*100</f>
        <v>1.8161620523350555</v>
      </c>
      <c r="I22" s="20">
        <f>G22/'- 7 -'!E22</f>
        <v>244.2442996742671</v>
      </c>
    </row>
    <row r="23" spans="1:9" ht="14.1" customHeight="1" x14ac:dyDescent="0.2">
      <c r="A23" s="284" t="s">
        <v>121</v>
      </c>
      <c r="B23" s="285">
        <f>SUM('- 24 -'!H23,'- 24 -'!F23,'- 24 -'!D23,'- 24 -'!B23)</f>
        <v>276483</v>
      </c>
      <c r="C23" s="291">
        <f>B23/'- 3 -'!D23*100</f>
        <v>1.7814559713629936</v>
      </c>
      <c r="D23" s="285">
        <f>SUM('- 25 -'!B23,'- 25 -'!E23,'- 25 -'!H23,'- 26 -'!B23)</f>
        <v>581382</v>
      </c>
      <c r="E23" s="291">
        <f>D23/'- 3 -'!D23*100</f>
        <v>3.7460040419952039</v>
      </c>
      <c r="F23" s="285">
        <f>D23/'- 7 -'!E23</f>
        <v>619.28206220707284</v>
      </c>
      <c r="G23" s="285">
        <f>SUM('- 27 -'!B23,'- 27 -'!E23,'- 27 -'!H23,'- 28 -'!B23,'- 28 -'!E23)</f>
        <v>395995</v>
      </c>
      <c r="H23" s="291">
        <f>G23/'- 3 -'!D23*100</f>
        <v>2.5515046399955463</v>
      </c>
      <c r="I23" s="285">
        <f>G23/'- 7 -'!E23</f>
        <v>421.80975713677037</v>
      </c>
    </row>
    <row r="24" spans="1:9" ht="14.1" customHeight="1" x14ac:dyDescent="0.2">
      <c r="A24" s="19" t="s">
        <v>122</v>
      </c>
      <c r="B24" s="20">
        <f>SUM('- 24 -'!H24,'- 24 -'!F24,'- 24 -'!D24,'- 24 -'!B24)</f>
        <v>407368</v>
      </c>
      <c r="C24" s="70">
        <f>B24/'- 3 -'!D24*100</f>
        <v>0.69704416369757971</v>
      </c>
      <c r="D24" s="20">
        <f>SUM('- 25 -'!B24,'- 25 -'!E24,'- 25 -'!H24,'- 26 -'!B24)</f>
        <v>1890468</v>
      </c>
      <c r="E24" s="70">
        <f>D24/'- 3 -'!D24*100</f>
        <v>3.2347648466669843</v>
      </c>
      <c r="F24" s="20">
        <f>D24/'- 7 -'!E24</f>
        <v>504.86526906128989</v>
      </c>
      <c r="G24" s="20">
        <f>SUM('- 27 -'!B24,'- 27 -'!E24,'- 27 -'!H24,'- 28 -'!B24,'- 28 -'!E24)</f>
        <v>1466450</v>
      </c>
      <c r="H24" s="70">
        <f>G24/'- 3 -'!D24*100</f>
        <v>2.5092309996227384</v>
      </c>
      <c r="I24" s="20">
        <f>G24/'- 7 -'!E24</f>
        <v>391.62772065696356</v>
      </c>
    </row>
    <row r="25" spans="1:9" ht="14.1" customHeight="1" x14ac:dyDescent="0.2">
      <c r="A25" s="284" t="s">
        <v>123</v>
      </c>
      <c r="B25" s="285">
        <f>SUM('- 24 -'!H25,'- 24 -'!F25,'- 24 -'!D25,'- 24 -'!B25)</f>
        <v>2404388</v>
      </c>
      <c r="C25" s="291">
        <f>B25/'- 3 -'!D25*100</f>
        <v>1.2388460405836736</v>
      </c>
      <c r="D25" s="285">
        <f>SUM('- 25 -'!B25,'- 25 -'!E25,'- 25 -'!H25,'- 26 -'!B25)</f>
        <v>7507143</v>
      </c>
      <c r="E25" s="291">
        <f>D25/'- 3 -'!D25*100</f>
        <v>3.8680089825957547</v>
      </c>
      <c r="F25" s="285">
        <f>D25/'- 7 -'!E25</f>
        <v>500.10612147011216</v>
      </c>
      <c r="G25" s="285">
        <f>SUM('- 27 -'!B25,'- 27 -'!E25,'- 27 -'!H25,'- 28 -'!B25,'- 28 -'!E25)</f>
        <v>8252402</v>
      </c>
      <c r="H25" s="291">
        <f>G25/'- 3 -'!D25*100</f>
        <v>4.2519990712833318</v>
      </c>
      <c r="I25" s="285">
        <f>G25/'- 7 -'!E25</f>
        <v>549.75331587958249</v>
      </c>
    </row>
    <row r="26" spans="1:9" ht="14.1" customHeight="1" x14ac:dyDescent="0.2">
      <c r="A26" s="19" t="s">
        <v>124</v>
      </c>
      <c r="B26" s="20">
        <f>SUM('- 24 -'!H26,'- 24 -'!F26,'- 24 -'!D26,'- 24 -'!B26)</f>
        <v>88924</v>
      </c>
      <c r="C26" s="70">
        <f>B26/'- 3 -'!D26*100</f>
        <v>0.21736869334951872</v>
      </c>
      <c r="D26" s="20">
        <f>SUM('- 25 -'!B26,'- 25 -'!E26,'- 25 -'!H26,'- 26 -'!B26)</f>
        <v>1286054</v>
      </c>
      <c r="E26" s="70">
        <f>D26/'- 3 -'!D26*100</f>
        <v>3.1436718721258825</v>
      </c>
      <c r="F26" s="20">
        <f>D26/'- 7 -'!E26</f>
        <v>419.93599999999998</v>
      </c>
      <c r="G26" s="20">
        <f>SUM('- 27 -'!B26,'- 27 -'!E26,'- 27 -'!H26,'- 28 -'!B26,'- 28 -'!E26)</f>
        <v>1372204</v>
      </c>
      <c r="H26" s="70">
        <f>G26/'- 3 -'!D26*100</f>
        <v>3.354259710415445</v>
      </c>
      <c r="I26" s="20">
        <f>G26/'- 7 -'!E26</f>
        <v>448.06661224489795</v>
      </c>
    </row>
    <row r="27" spans="1:9" ht="14.1" customHeight="1" x14ac:dyDescent="0.2">
      <c r="A27" s="284" t="s">
        <v>125</v>
      </c>
      <c r="B27" s="285">
        <f>SUM('- 24 -'!H27,'- 24 -'!F27,'- 24 -'!D27,'- 24 -'!B27)</f>
        <v>2000</v>
      </c>
      <c r="C27" s="291">
        <f>B27/'- 3 -'!D27*100</f>
        <v>4.803013295269133E-3</v>
      </c>
      <c r="D27" s="285">
        <f>SUM('- 25 -'!B27,'- 25 -'!E27,'- 25 -'!H27,'- 26 -'!B27)</f>
        <v>1672085</v>
      </c>
      <c r="E27" s="291">
        <f>D27/'- 3 -'!D27*100</f>
        <v>4.015523242910044</v>
      </c>
      <c r="F27" s="285">
        <f>D27/'- 7 -'!E27</f>
        <v>553.18328889124155</v>
      </c>
      <c r="G27" s="285">
        <f>SUM('- 27 -'!B27,'- 27 -'!E27,'- 27 -'!H27,'- 28 -'!B27,'- 28 -'!E27)</f>
        <v>1460789</v>
      </c>
      <c r="H27" s="291">
        <f>G27/'- 3 -'!D27*100</f>
        <v>3.5080944942914507</v>
      </c>
      <c r="I27" s="285">
        <f>G27/'- 7 -'!E27</f>
        <v>483.27929704300186</v>
      </c>
    </row>
    <row r="28" spans="1:9" ht="14.1" customHeight="1" x14ac:dyDescent="0.2">
      <c r="A28" s="19" t="s">
        <v>126</v>
      </c>
      <c r="B28" s="20">
        <f>SUM('- 24 -'!H28,'- 24 -'!F28,'- 24 -'!D28,'- 24 -'!B28)</f>
        <v>100448</v>
      </c>
      <c r="C28" s="70">
        <f>B28/'- 3 -'!D28*100</f>
        <v>0.35577659519304905</v>
      </c>
      <c r="D28" s="20">
        <f>SUM('- 25 -'!B28,'- 25 -'!E28,'- 25 -'!H28,'- 26 -'!B28)</f>
        <v>1021965</v>
      </c>
      <c r="E28" s="70">
        <f>D28/'- 3 -'!D28*100</f>
        <v>3.6196960427929312</v>
      </c>
      <c r="F28" s="20">
        <f>D28/'- 7 -'!E28</f>
        <v>514.06690140845069</v>
      </c>
      <c r="G28" s="20">
        <f>SUM('- 27 -'!B28,'- 27 -'!E28,'- 27 -'!H28,'- 28 -'!B28,'- 28 -'!E28)</f>
        <v>641681</v>
      </c>
      <c r="H28" s="70">
        <f>G28/'- 3 -'!D28*100</f>
        <v>2.2727688095339968</v>
      </c>
      <c r="I28" s="20">
        <f>G28/'- 7 -'!E28</f>
        <v>322.77716297786719</v>
      </c>
    </row>
    <row r="29" spans="1:9" ht="14.1" customHeight="1" x14ac:dyDescent="0.2">
      <c r="A29" s="284" t="s">
        <v>127</v>
      </c>
      <c r="B29" s="285">
        <f>SUM('- 24 -'!H29,'- 24 -'!F29,'- 24 -'!D29,'- 24 -'!B29)</f>
        <v>845852</v>
      </c>
      <c r="C29" s="291">
        <f>B29/'- 3 -'!D29*100</f>
        <v>0.49991522412934042</v>
      </c>
      <c r="D29" s="285">
        <f>SUM('- 25 -'!B29,'- 25 -'!E29,'- 25 -'!H29,'- 26 -'!B29)</f>
        <v>5785248</v>
      </c>
      <c r="E29" s="291">
        <f>D29/'- 3 -'!D29*100</f>
        <v>3.4191957346720452</v>
      </c>
      <c r="F29" s="285">
        <f>D29/'- 7 -'!E29</f>
        <v>404.12475987565927</v>
      </c>
      <c r="G29" s="285">
        <f>SUM('- 27 -'!B29,'- 27 -'!E29,'- 27 -'!H29,'- 28 -'!B29,'- 28 -'!E29)</f>
        <v>6423931</v>
      </c>
      <c r="H29" s="291">
        <f>G29/'- 3 -'!D29*100</f>
        <v>3.796669991507283</v>
      </c>
      <c r="I29" s="285">
        <f>G29/'- 7 -'!E29</f>
        <v>448.73954804233176</v>
      </c>
    </row>
    <row r="30" spans="1:9" ht="14.1" customHeight="1" x14ac:dyDescent="0.2">
      <c r="A30" s="19" t="s">
        <v>128</v>
      </c>
      <c r="B30" s="20">
        <f>SUM('- 24 -'!H30,'- 24 -'!F30,'- 24 -'!D30,'- 24 -'!B30)</f>
        <v>14825</v>
      </c>
      <c r="C30" s="70">
        <f>B30/'- 3 -'!D30*100</f>
        <v>9.5293460792381365E-2</v>
      </c>
      <c r="D30" s="20">
        <f>SUM('- 25 -'!B30,'- 25 -'!E30,'- 25 -'!H30,'- 26 -'!B30)</f>
        <v>562411</v>
      </c>
      <c r="E30" s="70">
        <f>D30/'- 3 -'!D30*100</f>
        <v>3.6151157219361885</v>
      </c>
      <c r="F30" s="20">
        <f>D30/'- 7 -'!E30</f>
        <v>548.42613359336906</v>
      </c>
      <c r="G30" s="20">
        <f>SUM('- 27 -'!B30,'- 27 -'!E30,'- 27 -'!H30,'- 28 -'!B30,'- 28 -'!E30)</f>
        <v>530185</v>
      </c>
      <c r="H30" s="70">
        <f>G30/'- 3 -'!D30*100</f>
        <v>3.4079705571810259</v>
      </c>
      <c r="I30" s="20">
        <f>G30/'- 7 -'!E30</f>
        <v>517.00146270112145</v>
      </c>
    </row>
    <row r="31" spans="1:9" ht="14.1" customHeight="1" x14ac:dyDescent="0.2">
      <c r="A31" s="284" t="s">
        <v>129</v>
      </c>
      <c r="B31" s="285">
        <f>SUM('- 24 -'!H31,'- 24 -'!F31,'- 24 -'!D31,'- 24 -'!B31)</f>
        <v>59004</v>
      </c>
      <c r="C31" s="291">
        <f>B31/'- 3 -'!D31*100</f>
        <v>0.14767771758385997</v>
      </c>
      <c r="D31" s="285">
        <f>SUM('- 25 -'!B31,'- 25 -'!E31,'- 25 -'!H31,'- 26 -'!B31)</f>
        <v>994698</v>
      </c>
      <c r="E31" s="291">
        <f>D31/'- 3 -'!D31*100</f>
        <v>2.489572407383065</v>
      </c>
      <c r="F31" s="285">
        <f>D31/'- 7 -'!E31</f>
        <v>298.34973005398922</v>
      </c>
      <c r="G31" s="285">
        <f>SUM('- 27 -'!B31,'- 27 -'!E31,'- 27 -'!H31,'- 28 -'!B31,'- 28 -'!E31)</f>
        <v>1434973</v>
      </c>
      <c r="H31" s="291">
        <f>G31/'- 3 -'!D31*100</f>
        <v>3.5915113794736686</v>
      </c>
      <c r="I31" s="285">
        <f>G31/'- 7 -'!E31</f>
        <v>430.40581883623275</v>
      </c>
    </row>
    <row r="32" spans="1:9" ht="14.1" customHeight="1" x14ac:dyDescent="0.2">
      <c r="A32" s="19" t="s">
        <v>130</v>
      </c>
      <c r="B32" s="20">
        <f>SUM('- 24 -'!H32,'- 24 -'!F32,'- 24 -'!D32,'- 24 -'!B32)</f>
        <v>32651</v>
      </c>
      <c r="C32" s="70">
        <f>B32/'- 3 -'!D32*100</f>
        <v>0.10763274064616894</v>
      </c>
      <c r="D32" s="20">
        <f>SUM('- 25 -'!B32,'- 25 -'!E32,'- 25 -'!H32,'- 26 -'!B32)</f>
        <v>1095971</v>
      </c>
      <c r="E32" s="70">
        <f>D32/'- 3 -'!D32*100</f>
        <v>3.6128254080647584</v>
      </c>
      <c r="F32" s="20">
        <f>D32/'- 7 -'!E32</f>
        <v>481.53383128295258</v>
      </c>
      <c r="G32" s="20">
        <f>SUM('- 27 -'!B32,'- 27 -'!E32,'- 27 -'!H32,'- 28 -'!B32,'- 28 -'!E32)</f>
        <v>812897</v>
      </c>
      <c r="H32" s="70">
        <f>G32/'- 3 -'!D32*100</f>
        <v>2.6796830716685185</v>
      </c>
      <c r="I32" s="20">
        <f>G32/'- 7 -'!E32</f>
        <v>357.16036906854129</v>
      </c>
    </row>
    <row r="33" spans="1:9" ht="14.1" customHeight="1" x14ac:dyDescent="0.2">
      <c r="A33" s="284" t="s">
        <v>131</v>
      </c>
      <c r="B33" s="285">
        <f>SUM('- 24 -'!H33,'- 24 -'!F33,'- 24 -'!D33,'- 24 -'!B33)</f>
        <v>28082</v>
      </c>
      <c r="C33" s="291">
        <f>B33/'- 3 -'!D33*100</f>
        <v>0.10004209805115985</v>
      </c>
      <c r="D33" s="285">
        <f>SUM('- 25 -'!B33,'- 25 -'!E33,'- 25 -'!H33,'- 26 -'!B33)</f>
        <v>871648</v>
      </c>
      <c r="E33" s="291">
        <f>D33/'- 3 -'!D33*100</f>
        <v>3.1052451635245841</v>
      </c>
      <c r="F33" s="285">
        <f>D33/'- 7 -'!E33</f>
        <v>424.53146308201838</v>
      </c>
      <c r="G33" s="285">
        <f>SUM('- 27 -'!B33,'- 27 -'!E33,'- 27 -'!H33,'- 28 -'!B33,'- 28 -'!E33)</f>
        <v>643417</v>
      </c>
      <c r="H33" s="291">
        <f>G33/'- 3 -'!D33*100</f>
        <v>2.2921724450460474</v>
      </c>
      <c r="I33" s="285">
        <f>G33/'- 7 -'!E33</f>
        <v>313.37278394700957</v>
      </c>
    </row>
    <row r="34" spans="1:9" ht="14.1" customHeight="1" x14ac:dyDescent="0.2">
      <c r="A34" s="19" t="s">
        <v>132</v>
      </c>
      <c r="B34" s="20">
        <f>SUM('- 24 -'!H34,'- 24 -'!F34,'- 24 -'!D34,'- 24 -'!B34)</f>
        <v>45485</v>
      </c>
      <c r="C34" s="70">
        <f>B34/'- 3 -'!D34*100</f>
        <v>0.14941657729375224</v>
      </c>
      <c r="D34" s="20">
        <f>SUM('- 25 -'!B34,'- 25 -'!E34,'- 25 -'!H34,'- 26 -'!B34)</f>
        <v>1044229</v>
      </c>
      <c r="E34" s="70">
        <f>D34/'- 3 -'!D34*100</f>
        <v>3.4302544375261643</v>
      </c>
      <c r="F34" s="20">
        <f>D34/'- 7 -'!E34</f>
        <v>469.56965554456343</v>
      </c>
      <c r="G34" s="20">
        <f>SUM('- 27 -'!B34,'- 27 -'!E34,'- 27 -'!H34,'- 28 -'!B34,'- 28 -'!E34)</f>
        <v>752865</v>
      </c>
      <c r="H34" s="70">
        <f>G34/'- 3 -'!D34*100</f>
        <v>2.4731342522647197</v>
      </c>
      <c r="I34" s="20">
        <f>G34/'- 7 -'!E34</f>
        <v>338.54888029499062</v>
      </c>
    </row>
    <row r="35" spans="1:9" ht="14.1" customHeight="1" x14ac:dyDescent="0.2">
      <c r="A35" s="284" t="s">
        <v>133</v>
      </c>
      <c r="B35" s="285">
        <f>SUM('- 24 -'!H35,'- 24 -'!F35,'- 24 -'!D35,'- 24 -'!B35)</f>
        <v>1223701</v>
      </c>
      <c r="C35" s="291">
        <f>B35/'- 3 -'!D35*100</f>
        <v>0.63875970911876478</v>
      </c>
      <c r="D35" s="285">
        <f>SUM('- 25 -'!B35,'- 25 -'!E35,'- 25 -'!H35,'- 26 -'!B35)</f>
        <v>5591485</v>
      </c>
      <c r="E35" s="291">
        <f>D35/'- 3 -'!D35*100</f>
        <v>2.9186993654021172</v>
      </c>
      <c r="F35" s="285">
        <f>D35/'- 7 -'!E35</f>
        <v>344.8447377347436</v>
      </c>
      <c r="G35" s="285">
        <f>SUM('- 27 -'!B35,'- 27 -'!E35,'- 27 -'!H35,'- 28 -'!B35,'- 28 -'!E35)</f>
        <v>7764028</v>
      </c>
      <c r="H35" s="291">
        <f>G35/'- 3 -'!D35*100</f>
        <v>4.0527451288100158</v>
      </c>
      <c r="I35" s="285">
        <f>G35/'- 7 -'!E35</f>
        <v>478.83240309599432</v>
      </c>
    </row>
    <row r="36" spans="1:9" ht="14.1" customHeight="1" x14ac:dyDescent="0.2">
      <c r="A36" s="19" t="s">
        <v>134</v>
      </c>
      <c r="B36" s="20">
        <f>SUM('- 24 -'!H36,'- 24 -'!F36,'- 24 -'!D36,'- 24 -'!B36)</f>
        <v>20147</v>
      </c>
      <c r="C36" s="70">
        <f>B36/'- 3 -'!D36*100</f>
        <v>8.5195448219524239E-2</v>
      </c>
      <c r="D36" s="20">
        <f>SUM('- 25 -'!B36,'- 25 -'!E36,'- 25 -'!H36,'- 26 -'!B36)</f>
        <v>813409</v>
      </c>
      <c r="E36" s="70">
        <f>D36/'- 3 -'!D36*100</f>
        <v>3.4396557472971159</v>
      </c>
      <c r="F36" s="20">
        <f>D36/'- 7 -'!E36</f>
        <v>473.87649286338478</v>
      </c>
      <c r="G36" s="20">
        <f>SUM('- 27 -'!B36,'- 27 -'!E36,'- 27 -'!H36,'- 28 -'!B36,'- 28 -'!E36)</f>
        <v>473989</v>
      </c>
      <c r="H36" s="70">
        <f>G36/'- 3 -'!D36*100</f>
        <v>2.0043532687806658</v>
      </c>
      <c r="I36" s="20">
        <f>G36/'- 7 -'!E36</f>
        <v>276.13690649577632</v>
      </c>
    </row>
    <row r="37" spans="1:9" ht="14.1" customHeight="1" x14ac:dyDescent="0.2">
      <c r="A37" s="284" t="s">
        <v>135</v>
      </c>
      <c r="B37" s="285">
        <f>SUM('- 24 -'!H37,'- 24 -'!F37,'- 24 -'!D37,'- 24 -'!B37)</f>
        <v>496060</v>
      </c>
      <c r="C37" s="291">
        <f>B37/'- 3 -'!D37*100</f>
        <v>0.903910007546189</v>
      </c>
      <c r="D37" s="285">
        <f>SUM('- 25 -'!B37,'- 25 -'!E37,'- 25 -'!H37,'- 26 -'!B37)</f>
        <v>1472385</v>
      </c>
      <c r="E37" s="291">
        <f>D37/'- 3 -'!D37*100</f>
        <v>2.6829487087467152</v>
      </c>
      <c r="F37" s="285">
        <f>D37/'- 7 -'!E37</f>
        <v>344.22429513255719</v>
      </c>
      <c r="G37" s="285">
        <f>SUM('- 27 -'!B37,'- 27 -'!E37,'- 27 -'!H37,'- 28 -'!B37,'- 28 -'!E37)</f>
        <v>1913488</v>
      </c>
      <c r="H37" s="291">
        <f>G37/'- 3 -'!D37*100</f>
        <v>3.486717236865585</v>
      </c>
      <c r="I37" s="285">
        <f>G37/'- 7 -'!E37</f>
        <v>447.34838920839769</v>
      </c>
    </row>
    <row r="38" spans="1:9" ht="14.1" customHeight="1" x14ac:dyDescent="0.2">
      <c r="A38" s="19" t="s">
        <v>136</v>
      </c>
      <c r="B38" s="20">
        <f>SUM('- 24 -'!H38,'- 24 -'!F38,'- 24 -'!D38,'- 24 -'!B38)</f>
        <v>2046423</v>
      </c>
      <c r="C38" s="70">
        <f>B38/'- 3 -'!D38*100</f>
        <v>1.3875649325491275</v>
      </c>
      <c r="D38" s="20">
        <f>SUM('- 25 -'!B38,'- 25 -'!E38,'- 25 -'!H38,'- 26 -'!B38)</f>
        <v>3985096</v>
      </c>
      <c r="E38" s="70">
        <f>D38/'- 3 -'!D38*100</f>
        <v>2.7020706190468919</v>
      </c>
      <c r="F38" s="20">
        <f>D38/'- 7 -'!E38</f>
        <v>347.67893910312335</v>
      </c>
      <c r="G38" s="20">
        <f>SUM('- 27 -'!B38,'- 27 -'!E38,'- 27 -'!H38,'- 28 -'!B38,'- 28 -'!E38)</f>
        <v>5611170</v>
      </c>
      <c r="H38" s="70">
        <f>G38/'- 3 -'!D38*100</f>
        <v>3.8046204145338902</v>
      </c>
      <c r="I38" s="20">
        <f>G38/'- 7 -'!E38</f>
        <v>489.54545454545456</v>
      </c>
    </row>
    <row r="39" spans="1:9" ht="14.1" customHeight="1" x14ac:dyDescent="0.2">
      <c r="A39" s="284" t="s">
        <v>137</v>
      </c>
      <c r="B39" s="285">
        <f>SUM('- 24 -'!H39,'- 24 -'!F39,'- 24 -'!D39,'- 24 -'!B39)</f>
        <v>171586</v>
      </c>
      <c r="C39" s="291">
        <f>B39/'- 3 -'!D39*100</f>
        <v>0.78876617068104471</v>
      </c>
      <c r="D39" s="285">
        <f>SUM('- 25 -'!B39,'- 25 -'!E39,'- 25 -'!H39,'- 26 -'!B39)</f>
        <v>796562</v>
      </c>
      <c r="E39" s="291">
        <f>D39/'- 3 -'!D39*100</f>
        <v>3.661727404625287</v>
      </c>
      <c r="F39" s="285">
        <f>D39/'- 7 -'!E39</f>
        <v>532.10554442217767</v>
      </c>
      <c r="G39" s="285">
        <f>SUM('- 27 -'!B39,'- 27 -'!E39,'- 27 -'!H39,'- 28 -'!B39,'- 28 -'!E39)</f>
        <v>425173</v>
      </c>
      <c r="H39" s="291">
        <f>G39/'- 3 -'!D39*100</f>
        <v>1.9544839269344343</v>
      </c>
      <c r="I39" s="285">
        <f>G39/'- 7 -'!E39</f>
        <v>284.01670006680024</v>
      </c>
    </row>
    <row r="40" spans="1:9" ht="14.1" customHeight="1" x14ac:dyDescent="0.2">
      <c r="A40" s="19" t="s">
        <v>138</v>
      </c>
      <c r="B40" s="20">
        <f>SUM('- 24 -'!H40,'- 24 -'!F40,'- 24 -'!D40,'- 24 -'!B40)</f>
        <v>910766</v>
      </c>
      <c r="C40" s="70">
        <f>B40/'- 3 -'!D40*100</f>
        <v>0.8557295406600629</v>
      </c>
      <c r="D40" s="20">
        <f>SUM('- 25 -'!B40,'- 25 -'!E40,'- 25 -'!H40,'- 26 -'!B40)</f>
        <v>3173711</v>
      </c>
      <c r="E40" s="70">
        <f>D40/'- 3 -'!D40*100</f>
        <v>2.9819275820768332</v>
      </c>
      <c r="F40" s="20">
        <f>D40/'- 7 -'!E40</f>
        <v>388.93183514357105</v>
      </c>
      <c r="G40" s="20">
        <f>SUM('- 27 -'!B40,'- 27 -'!E40,'- 27 -'!H40,'- 28 -'!B40,'- 28 -'!E40)</f>
        <v>3701720</v>
      </c>
      <c r="H40" s="70">
        <f>G40/'- 3 -'!D40*100</f>
        <v>3.4780296533381438</v>
      </c>
      <c r="I40" s="20">
        <f>G40/'- 7 -'!E40</f>
        <v>453.63826535801775</v>
      </c>
    </row>
    <row r="41" spans="1:9" ht="14.1" customHeight="1" x14ac:dyDescent="0.2">
      <c r="A41" s="284" t="s">
        <v>139</v>
      </c>
      <c r="B41" s="285">
        <f>SUM('- 24 -'!H41,'- 24 -'!F41,'- 24 -'!D41,'- 24 -'!B41)</f>
        <v>235295</v>
      </c>
      <c r="C41" s="291">
        <f>B41/'- 3 -'!D41*100</f>
        <v>0.36509934807977096</v>
      </c>
      <c r="D41" s="285">
        <f>SUM('- 25 -'!B41,'- 25 -'!E41,'- 25 -'!H41,'- 26 -'!B41)</f>
        <v>2023471</v>
      </c>
      <c r="E41" s="291">
        <f>D41/'- 3 -'!D41*100</f>
        <v>3.1397519835029311</v>
      </c>
      <c r="F41" s="285">
        <f>D41/'- 7 -'!E41</f>
        <v>449.86016007114273</v>
      </c>
      <c r="G41" s="285">
        <f>SUM('- 27 -'!B41,'- 27 -'!E41,'- 27 -'!H41,'- 28 -'!B41,'- 28 -'!E41)</f>
        <v>1594946</v>
      </c>
      <c r="H41" s="291">
        <f>G41/'- 3 -'!D41*100</f>
        <v>2.474824134904857</v>
      </c>
      <c r="I41" s="285">
        <f>G41/'- 7 -'!E41</f>
        <v>354.59004001778567</v>
      </c>
    </row>
    <row r="42" spans="1:9" ht="14.1" customHeight="1" x14ac:dyDescent="0.2">
      <c r="A42" s="19" t="s">
        <v>140</v>
      </c>
      <c r="B42" s="20">
        <f>SUM('- 24 -'!H42,'- 24 -'!F42,'- 24 -'!D42,'- 24 -'!B42)</f>
        <v>30841</v>
      </c>
      <c r="C42" s="70">
        <f>B42/'- 3 -'!D42*100</f>
        <v>0.15089090016958043</v>
      </c>
      <c r="D42" s="20">
        <f>SUM('- 25 -'!B42,'- 25 -'!E42,'- 25 -'!H42,'- 26 -'!B42)</f>
        <v>699978</v>
      </c>
      <c r="E42" s="70">
        <f>D42/'- 3 -'!D42*100</f>
        <v>3.4246720443209546</v>
      </c>
      <c r="F42" s="20">
        <f>D42/'- 7 -'!E42</f>
        <v>510.89555506897301</v>
      </c>
      <c r="G42" s="20">
        <f>SUM('- 27 -'!B42,'- 27 -'!E42,'- 27 -'!H42,'- 28 -'!B42,'- 28 -'!E42)</f>
        <v>384109</v>
      </c>
      <c r="H42" s="70">
        <f>G42/'- 3 -'!D42*100</f>
        <v>1.8792695688608463</v>
      </c>
      <c r="I42" s="20">
        <f>G42/'- 7 -'!E42</f>
        <v>280.35106926501714</v>
      </c>
    </row>
    <row r="43" spans="1:9" ht="14.1" customHeight="1" x14ac:dyDescent="0.2">
      <c r="A43" s="284" t="s">
        <v>141</v>
      </c>
      <c r="B43" s="285">
        <f>SUM('- 24 -'!H43,'- 24 -'!F43,'- 24 -'!D43,'- 24 -'!B43)</f>
        <v>7318</v>
      </c>
      <c r="C43" s="291">
        <f>B43/'- 3 -'!D43*100</f>
        <v>5.6068641256391147E-2</v>
      </c>
      <c r="D43" s="285">
        <f>SUM('- 25 -'!B43,'- 25 -'!E43,'- 25 -'!H43,'- 26 -'!B43)</f>
        <v>466559</v>
      </c>
      <c r="E43" s="291">
        <f>D43/'- 3 -'!D43*100</f>
        <v>3.5746555337442731</v>
      </c>
      <c r="F43" s="285">
        <f>D43/'- 7 -'!E43</f>
        <v>465.39551122194513</v>
      </c>
      <c r="G43" s="285">
        <f>SUM('- 27 -'!B43,'- 27 -'!E43,'- 27 -'!H43,'- 28 -'!B43,'- 28 -'!E43)</f>
        <v>410401</v>
      </c>
      <c r="H43" s="291">
        <f>G43/'- 3 -'!D43*100</f>
        <v>3.1443873244416753</v>
      </c>
      <c r="I43" s="285">
        <f>G43/'- 7 -'!E43</f>
        <v>409.37755610972567</v>
      </c>
    </row>
    <row r="44" spans="1:9" ht="14.1" customHeight="1" x14ac:dyDescent="0.2">
      <c r="A44" s="19" t="s">
        <v>142</v>
      </c>
      <c r="B44" s="20">
        <f>SUM('- 24 -'!H44,'- 24 -'!F44,'- 24 -'!D44,'- 24 -'!B44)</f>
        <v>13598</v>
      </c>
      <c r="C44" s="70">
        <f>B44/'- 3 -'!D44*100</f>
        <v>0.1278587329310519</v>
      </c>
      <c r="D44" s="20">
        <f>SUM('- 25 -'!B44,'- 25 -'!E44,'- 25 -'!H44,'- 26 -'!B44)</f>
        <v>392715</v>
      </c>
      <c r="E44" s="70">
        <f>D44/'- 3 -'!D44*100</f>
        <v>3.6926049641872369</v>
      </c>
      <c r="F44" s="20">
        <f>D44/'- 7 -'!E44</f>
        <v>567.50722543352606</v>
      </c>
      <c r="G44" s="20">
        <f>SUM('- 27 -'!B44,'- 27 -'!E44,'- 27 -'!H44,'- 28 -'!B44,'- 28 -'!E44)</f>
        <v>198609</v>
      </c>
      <c r="H44" s="70">
        <f>G44/'- 3 -'!D44*100</f>
        <v>1.8674727966394535</v>
      </c>
      <c r="I44" s="20">
        <f>G44/'- 7 -'!E44</f>
        <v>287.007225433526</v>
      </c>
    </row>
    <row r="45" spans="1:9" ht="14.1" customHeight="1" x14ac:dyDescent="0.2">
      <c r="A45" s="284" t="s">
        <v>143</v>
      </c>
      <c r="B45" s="285">
        <f>SUM('- 24 -'!H45,'- 24 -'!F45,'- 24 -'!D45,'- 24 -'!B45)</f>
        <v>48673</v>
      </c>
      <c r="C45" s="291">
        <f>B45/'- 3 -'!D45*100</f>
        <v>0.23006319470536543</v>
      </c>
      <c r="D45" s="285">
        <f>SUM('- 25 -'!B45,'- 25 -'!E45,'- 25 -'!H45,'- 26 -'!B45)</f>
        <v>745806</v>
      </c>
      <c r="E45" s="291">
        <f>D45/'- 3 -'!D45*100</f>
        <v>3.5252092739389349</v>
      </c>
      <c r="F45" s="285">
        <f>D45/'- 7 -'!E45</f>
        <v>389.45483028720628</v>
      </c>
      <c r="G45" s="285">
        <f>SUM('- 27 -'!B45,'- 27 -'!E45,'- 27 -'!H45,'- 28 -'!B45,'- 28 -'!E45)</f>
        <v>415688</v>
      </c>
      <c r="H45" s="291">
        <f>G45/'- 3 -'!D45*100</f>
        <v>1.9648369584920582</v>
      </c>
      <c r="I45" s="285">
        <f>G45/'- 7 -'!E45</f>
        <v>217.06945169712793</v>
      </c>
    </row>
    <row r="46" spans="1:9" ht="14.1" customHeight="1" x14ac:dyDescent="0.2">
      <c r="A46" s="19" t="s">
        <v>144</v>
      </c>
      <c r="B46" s="20">
        <f>SUM('- 24 -'!H46,'- 24 -'!F46,'- 24 -'!D46,'- 24 -'!B46)</f>
        <v>9377219</v>
      </c>
      <c r="C46" s="70">
        <f>B46/'- 3 -'!D46*100</f>
        <v>2.2683267266504004</v>
      </c>
      <c r="D46" s="20">
        <f>SUM('- 25 -'!B46,'- 25 -'!E46,'- 25 -'!H46,'- 26 -'!B46)</f>
        <v>12069744</v>
      </c>
      <c r="E46" s="70">
        <f>D46/'- 3 -'!D46*100</f>
        <v>2.9196420494208688</v>
      </c>
      <c r="F46" s="20">
        <f>D46/'- 7 -'!E46</f>
        <v>408.59399384557054</v>
      </c>
      <c r="G46" s="20">
        <f>SUM('- 27 -'!B46,'- 27 -'!E46,'- 27 -'!H46,'- 28 -'!B46,'- 28 -'!E46)</f>
        <v>9858544</v>
      </c>
      <c r="H46" s="70">
        <f>G46/'- 3 -'!D46*100</f>
        <v>2.3847580867055513</v>
      </c>
      <c r="I46" s="20">
        <f>G46/'- 7 -'!E46</f>
        <v>333.7387989722306</v>
      </c>
    </row>
    <row r="47" spans="1:9" ht="5.0999999999999996" customHeight="1" x14ac:dyDescent="0.2">
      <c r="A47"/>
      <c r="B47"/>
      <c r="C47"/>
      <c r="D47"/>
      <c r="E47"/>
      <c r="F47"/>
      <c r="G47"/>
      <c r="H47"/>
      <c r="I47"/>
    </row>
    <row r="48" spans="1:9" ht="14.1" customHeight="1" x14ac:dyDescent="0.2">
      <c r="A48" s="286" t="s">
        <v>145</v>
      </c>
      <c r="B48" s="287">
        <f>SUM(B11:B46)</f>
        <v>23732382</v>
      </c>
      <c r="C48" s="294">
        <f>B48/'- 3 -'!D48*100</f>
        <v>0.98402945690955379</v>
      </c>
      <c r="D48" s="287">
        <f>SUM(D11:D46)</f>
        <v>79205559</v>
      </c>
      <c r="E48" s="294">
        <f>D48/'- 3 -'!D48*100</f>
        <v>3.284145822656471</v>
      </c>
      <c r="F48" s="287">
        <f>D48/'- 7 -'!E48</f>
        <v>439.4824824423257</v>
      </c>
      <c r="G48" s="287">
        <f>SUM(G11:G46)</f>
        <v>77547042</v>
      </c>
      <c r="H48" s="294">
        <f>G48/'- 3 -'!D48*100</f>
        <v>3.2153777747300021</v>
      </c>
      <c r="I48" s="287">
        <f>G48/'- 7 -'!E48</f>
        <v>430.27998229542567</v>
      </c>
    </row>
    <row r="49" spans="1:9" ht="5.0999999999999996" customHeight="1" x14ac:dyDescent="0.2">
      <c r="A49"/>
      <c r="B49"/>
      <c r="C49"/>
      <c r="D49"/>
      <c r="E49"/>
      <c r="F49"/>
      <c r="G49"/>
      <c r="H49"/>
      <c r="I49"/>
    </row>
    <row r="50" spans="1:9" ht="14.1" customHeight="1" x14ac:dyDescent="0.2">
      <c r="A50" s="19" t="s">
        <v>146</v>
      </c>
      <c r="B50" s="20">
        <f>SUM('- 24 -'!H50,'- 24 -'!F50,'- 24 -'!D50,'- 24 -'!B50)</f>
        <v>89322</v>
      </c>
      <c r="C50" s="70">
        <f>B50/'- 3 -'!D50*100</f>
        <v>2.8125684863354801</v>
      </c>
      <c r="D50" s="20">
        <f>SUM('- 25 -'!B50,'- 25 -'!E50,'- 25 -'!H50,'- 26 -'!B50)</f>
        <v>198722</v>
      </c>
      <c r="E50" s="70">
        <f>D50/'- 3 -'!D50*100</f>
        <v>6.2573524410734116</v>
      </c>
      <c r="F50" s="20">
        <f>D50/'- 7 -'!E50</f>
        <v>1045.9052631578948</v>
      </c>
      <c r="G50" s="20">
        <f>SUM('- 27 -'!B50,'- 27 -'!E50,'- 27 -'!H50,'- 28 -'!B50,'- 28 -'!E50)</f>
        <v>125914</v>
      </c>
      <c r="H50" s="70">
        <f>G50/'- 3 -'!D50*100</f>
        <v>3.9647762968635458</v>
      </c>
      <c r="I50" s="20">
        <f>G50/'- 7 -'!E50</f>
        <v>662.70526315789471</v>
      </c>
    </row>
    <row r="51" spans="1:9" ht="14.1" customHeight="1" x14ac:dyDescent="0.2">
      <c r="A51" s="284" t="s">
        <v>599</v>
      </c>
      <c r="B51" s="285">
        <f>SUM('- 24 -'!H51,'- 24 -'!F51,'- 24 -'!D51,'- 24 -'!B51)</f>
        <v>8728381</v>
      </c>
      <c r="C51" s="291">
        <f>B51/'- 3 -'!D51*100</f>
        <v>28.928924489887297</v>
      </c>
      <c r="D51" s="285">
        <f>SUM('- 25 -'!B51,'- 25 -'!E51,'- 25 -'!H51,'- 26 -'!B51)</f>
        <v>6059771</v>
      </c>
      <c r="E51" s="291">
        <f>D51/'- 3 -'!D51*100</f>
        <v>20.08421237397965</v>
      </c>
      <c r="F51" s="285">
        <f>D51/'- 7 -'!E51</f>
        <v>4910.6734197730957</v>
      </c>
      <c r="G51" s="285">
        <f>SUM('- 27 -'!B51,'- 27 -'!E51,'- 27 -'!H51,'- 28 -'!B51,'- 28 -'!E51)</f>
        <v>570136</v>
      </c>
      <c r="H51" s="291">
        <f>G51/'- 3 -'!D51*100</f>
        <v>1.889631226336979</v>
      </c>
      <c r="I51" s="285">
        <f>G51/'- 7 -'!E51</f>
        <v>462.02269043760128</v>
      </c>
    </row>
    <row r="52" spans="1:9" ht="50.1" customHeight="1" x14ac:dyDescent="0.2"/>
  </sheetData>
  <mergeCells count="5">
    <mergeCell ref="F8:F9"/>
    <mergeCell ref="I8:I9"/>
    <mergeCell ref="B6:C7"/>
    <mergeCell ref="D6:F7"/>
    <mergeCell ref="G6:I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52"/>
  <sheetViews>
    <sheetView showGridLines="0" showZeros="0" workbookViewId="0"/>
  </sheetViews>
  <sheetFormatPr defaultColWidth="15.83203125" defaultRowHeight="12" x14ac:dyDescent="0.2"/>
  <cols>
    <col min="1" max="1" width="32.83203125" style="2" customWidth="1"/>
    <col min="2" max="2" width="15.83203125" style="2"/>
    <col min="3" max="3" width="7.83203125" style="2" customWidth="1"/>
    <col min="4" max="4" width="9.83203125" style="2" customWidth="1"/>
    <col min="5" max="5" width="15.83203125" style="2"/>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x14ac:dyDescent="0.2">
      <c r="A1" s="7"/>
      <c r="B1" s="8"/>
      <c r="C1" s="8"/>
      <c r="D1" s="8"/>
      <c r="E1" s="8"/>
      <c r="F1" s="8"/>
      <c r="G1" s="8"/>
      <c r="H1" s="8"/>
      <c r="I1" s="8"/>
      <c r="J1" s="8"/>
    </row>
    <row r="2" spans="1:10" ht="15.95" customHeight="1" x14ac:dyDescent="0.2">
      <c r="A2" s="134"/>
      <c r="B2" s="9" t="s">
        <v>261</v>
      </c>
      <c r="C2" s="10"/>
      <c r="D2" s="10"/>
      <c r="E2" s="10"/>
      <c r="F2" s="10"/>
      <c r="G2" s="10"/>
      <c r="H2" s="73"/>
      <c r="I2" s="73"/>
      <c r="J2" s="135" t="s">
        <v>9</v>
      </c>
    </row>
    <row r="3" spans="1:10" ht="15.95" customHeight="1" x14ac:dyDescent="0.2">
      <c r="A3" s="541"/>
      <c r="B3" s="11" t="str">
        <f>OPYEAR</f>
        <v>OPERATING FUND 2019/2020 ACTUAL</v>
      </c>
      <c r="C3" s="12"/>
      <c r="D3" s="12"/>
      <c r="E3" s="12"/>
      <c r="F3" s="12"/>
      <c r="G3" s="12"/>
      <c r="H3" s="75"/>
      <c r="I3" s="75"/>
      <c r="J3" s="66"/>
    </row>
    <row r="4" spans="1:10" ht="15.95" customHeight="1" x14ac:dyDescent="0.2">
      <c r="B4" s="8"/>
      <c r="C4" s="8"/>
      <c r="D4" s="8"/>
      <c r="E4" s="8"/>
      <c r="F4" s="8"/>
      <c r="G4" s="8"/>
      <c r="H4" s="8"/>
      <c r="I4" s="8"/>
      <c r="J4" s="8"/>
    </row>
    <row r="5" spans="1:10" ht="15.95" customHeight="1" x14ac:dyDescent="0.2">
      <c r="B5" s="8"/>
      <c r="C5" s="8"/>
      <c r="D5" s="8"/>
      <c r="E5" s="8"/>
      <c r="F5" s="8"/>
      <c r="G5" s="8"/>
      <c r="H5" s="8"/>
      <c r="I5" s="8"/>
      <c r="J5" s="8"/>
    </row>
    <row r="6" spans="1:10" ht="15.95" customHeight="1" x14ac:dyDescent="0.2">
      <c r="B6" s="649" t="s">
        <v>469</v>
      </c>
      <c r="C6" s="657"/>
      <c r="D6" s="650"/>
      <c r="E6" s="649" t="s">
        <v>470</v>
      </c>
      <c r="F6" s="657"/>
      <c r="G6" s="650"/>
      <c r="H6" s="309" t="s">
        <v>7</v>
      </c>
      <c r="I6" s="312"/>
      <c r="J6" s="310"/>
    </row>
    <row r="7" spans="1:10" ht="15.95" customHeight="1" x14ac:dyDescent="0.2">
      <c r="B7" s="651"/>
      <c r="C7" s="658"/>
      <c r="D7" s="652"/>
      <c r="E7" s="651"/>
      <c r="F7" s="658"/>
      <c r="G7" s="652"/>
      <c r="H7" s="654" t="s">
        <v>30</v>
      </c>
      <c r="I7" s="656"/>
      <c r="J7" s="655"/>
    </row>
    <row r="8" spans="1:10" ht="15.95" customHeight="1" x14ac:dyDescent="0.2">
      <c r="A8" s="67"/>
      <c r="B8" s="137"/>
      <c r="C8" s="138"/>
      <c r="D8" s="623" t="s">
        <v>327</v>
      </c>
      <c r="E8" s="137"/>
      <c r="F8" s="139"/>
      <c r="G8" s="623" t="s">
        <v>327</v>
      </c>
      <c r="H8" s="137"/>
      <c r="I8" s="139"/>
      <c r="J8" s="623" t="s">
        <v>327</v>
      </c>
    </row>
    <row r="9" spans="1:10" ht="15.95" customHeight="1" x14ac:dyDescent="0.2">
      <c r="A9" s="35" t="s">
        <v>42</v>
      </c>
      <c r="B9" s="77" t="s">
        <v>43</v>
      </c>
      <c r="C9" s="77" t="s">
        <v>44</v>
      </c>
      <c r="D9" s="604"/>
      <c r="E9" s="77" t="s">
        <v>43</v>
      </c>
      <c r="F9" s="77" t="s">
        <v>44</v>
      </c>
      <c r="G9" s="604"/>
      <c r="H9" s="77" t="s">
        <v>43</v>
      </c>
      <c r="I9" s="77" t="s">
        <v>44</v>
      </c>
      <c r="J9" s="604"/>
    </row>
    <row r="10" spans="1:10" ht="5.0999999999999996" customHeight="1" x14ac:dyDescent="0.2">
      <c r="A10" s="6"/>
    </row>
    <row r="11" spans="1:10" ht="14.1" customHeight="1" x14ac:dyDescent="0.2">
      <c r="A11" s="284" t="s">
        <v>110</v>
      </c>
      <c r="B11" s="285">
        <f>SUM('- 30 -'!D11,'- 30 -'!B11,'- 29 -'!F11,'- 29 -'!D11,'- 29 -'!B11)</f>
        <v>1096962</v>
      </c>
      <c r="C11" s="291">
        <f>B11/'- 3 -'!D11*100</f>
        <v>5.2192250367047457</v>
      </c>
      <c r="D11" s="285">
        <f>B11/'- 7 -'!E11</f>
        <v>554.0212121212121</v>
      </c>
      <c r="E11" s="285">
        <f>SUM('- 32 -'!D11,'- 32 -'!B11,'- 31 -'!F11,'- 31 -'!D11,'- 31 -'!B11)</f>
        <v>2042938</v>
      </c>
      <c r="F11" s="291">
        <f>E11/'- 3 -'!D11*100</f>
        <v>9.7200752241513566</v>
      </c>
      <c r="G11" s="285">
        <f>E11/'- 7 -'!E11</f>
        <v>1031.7868686868687</v>
      </c>
      <c r="H11" s="285">
        <f>SUM('- 33 -'!B11,'- 33 -'!D11,'- 33 -'!F11)</f>
        <v>370483</v>
      </c>
      <c r="I11" s="291">
        <f>H11/'- 3 -'!D11*100</f>
        <v>1.7627175319413841</v>
      </c>
      <c r="J11" s="285">
        <f>H11/'- 7 -'!E11</f>
        <v>187.11262626262626</v>
      </c>
    </row>
    <row r="12" spans="1:10" ht="14.1" customHeight="1" x14ac:dyDescent="0.2">
      <c r="A12" s="19" t="s">
        <v>111</v>
      </c>
      <c r="B12" s="20">
        <f>SUM('- 30 -'!D12,'- 30 -'!B12,'- 29 -'!F12,'- 29 -'!D12,'- 29 -'!B12)</f>
        <v>2283248</v>
      </c>
      <c r="C12" s="70">
        <f>B12/'- 3 -'!D12*100</f>
        <v>6.8059313613359098</v>
      </c>
      <c r="D12" s="20">
        <f>B12/'- 7 -'!E12</f>
        <v>1049.5954692556634</v>
      </c>
      <c r="E12" s="20">
        <f>SUM('- 32 -'!D12,'- 32 -'!B12,'- 31 -'!F12,'- 31 -'!D12,'- 31 -'!B12)</f>
        <v>3524494</v>
      </c>
      <c r="F12" s="70">
        <f>E12/'- 3 -'!D12*100</f>
        <v>10.505851421939379</v>
      </c>
      <c r="G12" s="20">
        <f>E12/'- 7 -'!E12</f>
        <v>1620.1888423065607</v>
      </c>
      <c r="H12" s="20">
        <f>SUM('- 33 -'!B12,'- 33 -'!D12,'- 33 -'!F12)</f>
        <v>570000</v>
      </c>
      <c r="I12" s="70">
        <f>H12/'- 3 -'!D12*100</f>
        <v>1.6990624215860335</v>
      </c>
      <c r="J12" s="20">
        <f>H12/'- 7 -'!E12</f>
        <v>262.02559576345982</v>
      </c>
    </row>
    <row r="13" spans="1:10" ht="14.1" customHeight="1" x14ac:dyDescent="0.2">
      <c r="A13" s="284" t="s">
        <v>112</v>
      </c>
      <c r="B13" s="285">
        <f>SUM('- 30 -'!D13,'- 30 -'!B13,'- 29 -'!F13,'- 29 -'!D13,'- 29 -'!B13)</f>
        <v>1975332</v>
      </c>
      <c r="C13" s="291">
        <f>B13/'- 3 -'!D13*100</f>
        <v>1.8894792766326174</v>
      </c>
      <c r="D13" s="285">
        <f>B13/'- 7 -'!E13</f>
        <v>228.09838337182447</v>
      </c>
      <c r="E13" s="285">
        <f>SUM('- 32 -'!D13,'- 32 -'!B13,'- 31 -'!F13,'- 31 -'!D13,'- 31 -'!B13)</f>
        <v>8768023</v>
      </c>
      <c r="F13" s="291">
        <f>E13/'- 3 -'!D13*100</f>
        <v>8.3869434381350327</v>
      </c>
      <c r="G13" s="285">
        <f>E13/'- 7 -'!E13</f>
        <v>1012.4737875288683</v>
      </c>
      <c r="H13" s="285">
        <f>SUM('- 33 -'!B13,'- 33 -'!D13,'- 33 -'!F13)</f>
        <v>1915478</v>
      </c>
      <c r="I13" s="291">
        <f>H13/'- 3 -'!D13*100</f>
        <v>1.8322266767539293</v>
      </c>
      <c r="J13" s="285">
        <f>H13/'- 7 -'!E13</f>
        <v>221.18683602771364</v>
      </c>
    </row>
    <row r="14" spans="1:10" ht="14.1" customHeight="1" x14ac:dyDescent="0.2">
      <c r="A14" s="19" t="s">
        <v>358</v>
      </c>
      <c r="B14" s="20">
        <f>SUM('- 30 -'!D14,'- 30 -'!B14,'- 29 -'!F14,'- 29 -'!D14,'- 29 -'!B14)</f>
        <v>7058696</v>
      </c>
      <c r="C14" s="70">
        <f>B14/'- 3 -'!D14*100</f>
        <v>7.8796801946698611</v>
      </c>
      <c r="D14" s="20">
        <f>B14/'- 7 -'!E14</f>
        <v>1275.3944334829398</v>
      </c>
      <c r="E14" s="20">
        <f>SUM('- 32 -'!D14,'- 32 -'!B14,'- 31 -'!F14,'- 31 -'!D14,'- 31 -'!B14)</f>
        <v>10131641</v>
      </c>
      <c r="F14" s="70">
        <f>E14/'- 3 -'!D14*100</f>
        <v>11.310033882632876</v>
      </c>
      <c r="G14" s="20">
        <f>E14/'- 7 -'!E14</f>
        <v>1830.6268655637707</v>
      </c>
      <c r="H14" s="20">
        <f>SUM('- 33 -'!B14,'- 33 -'!D14,'- 33 -'!F14)</f>
        <v>1432759</v>
      </c>
      <c r="I14" s="70">
        <f>H14/'- 3 -'!D14*100</f>
        <v>1.5994006139427162</v>
      </c>
      <c r="J14" s="20">
        <f>H14/'- 7 -'!E14</f>
        <v>258.87683123378361</v>
      </c>
    </row>
    <row r="15" spans="1:10" ht="14.1" customHeight="1" x14ac:dyDescent="0.2">
      <c r="A15" s="284" t="s">
        <v>113</v>
      </c>
      <c r="B15" s="285">
        <f>SUM('- 30 -'!D15,'- 30 -'!B15,'- 29 -'!F15,'- 29 -'!D15,'- 29 -'!B15)</f>
        <v>1635973</v>
      </c>
      <c r="C15" s="291">
        <f>B15/'- 3 -'!D15*100</f>
        <v>8.2940003982808221</v>
      </c>
      <c r="D15" s="285">
        <f>B15/'- 7 -'!E15</f>
        <v>1123.993816557884</v>
      </c>
      <c r="E15" s="285">
        <f>SUM('- 32 -'!D15,'- 32 -'!B15,'- 31 -'!F15,'- 31 -'!D15,'- 31 -'!B15)</f>
        <v>2515861</v>
      </c>
      <c r="F15" s="291">
        <f>E15/'- 3 -'!D15*100</f>
        <v>12.754826721479626</v>
      </c>
      <c r="G15" s="285">
        <f>E15/'- 7 -'!E15</f>
        <v>1728.5200961868773</v>
      </c>
      <c r="H15" s="285">
        <f>SUM('- 33 -'!B15,'- 33 -'!D15,'- 33 -'!F15)</f>
        <v>342910</v>
      </c>
      <c r="I15" s="291">
        <f>H15/'- 3 -'!D15*100</f>
        <v>1.738473481270459</v>
      </c>
      <c r="J15" s="285">
        <f>H15/'- 7 -'!E15</f>
        <v>235.59601511508072</v>
      </c>
    </row>
    <row r="16" spans="1:10" ht="14.1" customHeight="1" x14ac:dyDescent="0.2">
      <c r="A16" s="19" t="s">
        <v>114</v>
      </c>
      <c r="B16" s="20">
        <f>SUM('- 30 -'!D16,'- 30 -'!B16,'- 29 -'!F16,'- 29 -'!D16,'- 29 -'!B16)</f>
        <v>346071</v>
      </c>
      <c r="C16" s="70">
        <f>B16/'- 3 -'!D16*100</f>
        <v>2.4077261298928558</v>
      </c>
      <c r="D16" s="20">
        <f>B16/'- 7 -'!E16</f>
        <v>380.25601582243706</v>
      </c>
      <c r="E16" s="20">
        <f>SUM('- 32 -'!D16,'- 32 -'!B16,'- 31 -'!F16,'- 31 -'!D16,'- 31 -'!B16)</f>
        <v>2236812</v>
      </c>
      <c r="F16" s="70">
        <f>E16/'- 3 -'!D16*100</f>
        <v>15.562213245426223</v>
      </c>
      <c r="G16" s="20">
        <f>E16/'- 7 -'!E16</f>
        <v>2457.7650807603559</v>
      </c>
      <c r="H16" s="20">
        <f>SUM('- 33 -'!B16,'- 33 -'!D16,'- 33 -'!F16)</f>
        <v>268022</v>
      </c>
      <c r="I16" s="70">
        <f>H16/'- 3 -'!D16*100</f>
        <v>1.8647143874700365</v>
      </c>
      <c r="J16" s="20">
        <f>H16/'- 7 -'!E16</f>
        <v>294.49730798813317</v>
      </c>
    </row>
    <row r="17" spans="1:10" ht="14.1" customHeight="1" x14ac:dyDescent="0.2">
      <c r="A17" s="284" t="s">
        <v>115</v>
      </c>
      <c r="B17" s="285">
        <f>SUM('- 30 -'!D17,'- 30 -'!B17,'- 29 -'!F17,'- 29 -'!D17,'- 29 -'!B17)</f>
        <v>1344145</v>
      </c>
      <c r="C17" s="291">
        <f>B17/'- 3 -'!D17*100</f>
        <v>7.4673602118190452</v>
      </c>
      <c r="D17" s="285">
        <f>B17/'- 7 -'!E17</f>
        <v>940.29031129765656</v>
      </c>
      <c r="E17" s="285">
        <f>SUM('- 32 -'!D17,'- 32 -'!B17,'- 31 -'!F17,'- 31 -'!D17,'- 31 -'!B17)</f>
        <v>1799300</v>
      </c>
      <c r="F17" s="291">
        <f>E17/'- 3 -'!D17*100</f>
        <v>9.995961171693537</v>
      </c>
      <c r="G17" s="285">
        <f>E17/'- 7 -'!E17</f>
        <v>1258.6918502973067</v>
      </c>
      <c r="H17" s="285">
        <f>SUM('- 33 -'!B17,'- 33 -'!D17,'- 33 -'!F17)</f>
        <v>364060</v>
      </c>
      <c r="I17" s="291">
        <f>H17/'- 3 -'!D17*100</f>
        <v>2.0225252176772903</v>
      </c>
      <c r="J17" s="285">
        <f>H17/'- 7 -'!E17</f>
        <v>254.67646030080448</v>
      </c>
    </row>
    <row r="18" spans="1:10" ht="14.1" customHeight="1" x14ac:dyDescent="0.2">
      <c r="A18" s="19" t="s">
        <v>116</v>
      </c>
      <c r="B18" s="20">
        <f>SUM('- 30 -'!D18,'- 30 -'!B18,'- 29 -'!F18,'- 29 -'!D18,'- 29 -'!B18)</f>
        <v>10684202</v>
      </c>
      <c r="C18" s="70">
        <f>B18/'- 3 -'!D18*100</f>
        <v>8.0222122477898576</v>
      </c>
      <c r="D18" s="20">
        <f>B18/'- 7 -'!E18</f>
        <v>1793.7046923528917</v>
      </c>
      <c r="E18" s="20">
        <f>SUM('- 32 -'!D18,'- 32 -'!B18,'- 31 -'!F18,'- 31 -'!D18,'- 31 -'!B18)</f>
        <v>24159280</v>
      </c>
      <c r="F18" s="70">
        <f>E18/'- 3 -'!D18*100</f>
        <v>18.139948300657789</v>
      </c>
      <c r="G18" s="20">
        <f>E18/'- 7 -'!E18</f>
        <v>4055.952320993872</v>
      </c>
      <c r="H18" s="20">
        <f>SUM('- 33 -'!B18,'- 33 -'!D18,'- 33 -'!F18)</f>
        <v>1252201</v>
      </c>
      <c r="I18" s="70">
        <f>H18/'- 3 -'!D18*100</f>
        <v>0.94021268026331861</v>
      </c>
      <c r="J18" s="20">
        <f>H18/'- 7 -'!E18</f>
        <v>210.22429278938975</v>
      </c>
    </row>
    <row r="19" spans="1:10" ht="14.1" customHeight="1" x14ac:dyDescent="0.2">
      <c r="A19" s="284" t="s">
        <v>117</v>
      </c>
      <c r="B19" s="285">
        <f>SUM('- 30 -'!D19,'- 30 -'!B19,'- 29 -'!F19,'- 29 -'!D19,'- 29 -'!B19)</f>
        <v>2855865</v>
      </c>
      <c r="C19" s="291">
        <f>B19/'- 3 -'!D19*100</f>
        <v>5.7428570894246747</v>
      </c>
      <c r="D19" s="285">
        <f>B19/'- 7 -'!E19</f>
        <v>648.4265377017914</v>
      </c>
      <c r="E19" s="285">
        <f>SUM('- 32 -'!D19,'- 32 -'!B19,'- 31 -'!F19,'- 31 -'!D19,'- 31 -'!B19)</f>
        <v>4818198</v>
      </c>
      <c r="F19" s="291">
        <f>E19/'- 3 -'!D19*100</f>
        <v>9.6889112554521262</v>
      </c>
      <c r="G19" s="285">
        <f>E19/'- 7 -'!E19</f>
        <v>1093.9758872011444</v>
      </c>
      <c r="H19" s="285">
        <f>SUM('- 33 -'!B19,'- 33 -'!D19,'- 33 -'!F19)</f>
        <v>844071</v>
      </c>
      <c r="I19" s="291">
        <f>H19/'- 3 -'!D19*100</f>
        <v>1.6973418303483443</v>
      </c>
      <c r="J19" s="285">
        <f>H19/'- 7 -'!E19</f>
        <v>191.64702676929363</v>
      </c>
    </row>
    <row r="20" spans="1:10" ht="14.1" customHeight="1" x14ac:dyDescent="0.2">
      <c r="A20" s="19" t="s">
        <v>118</v>
      </c>
      <c r="B20" s="20">
        <f>SUM('- 30 -'!D20,'- 30 -'!B20,'- 29 -'!F20,'- 29 -'!D20,'- 29 -'!B20)</f>
        <v>3348368</v>
      </c>
      <c r="C20" s="70">
        <f>B20/'- 3 -'!D20*100</f>
        <v>3.7827057657848306</v>
      </c>
      <c r="D20" s="20">
        <f>B20/'- 7 -'!E20</f>
        <v>417.47621719344181</v>
      </c>
      <c r="E20" s="20">
        <f>SUM('- 32 -'!D20,'- 32 -'!B20,'- 31 -'!F20,'- 31 -'!D20,'- 31 -'!B20)</f>
        <v>9154084</v>
      </c>
      <c r="F20" s="70">
        <f>E20/'- 3 -'!D20*100</f>
        <v>10.34151751757234</v>
      </c>
      <c r="G20" s="20">
        <f>E20/'- 7 -'!E20</f>
        <v>1141.3358269434573</v>
      </c>
      <c r="H20" s="20">
        <f>SUM('- 33 -'!B20,'- 33 -'!D20,'- 33 -'!F20)</f>
        <v>1638734</v>
      </c>
      <c r="I20" s="70">
        <f>H20/'- 3 -'!D20*100</f>
        <v>1.8513044415630655</v>
      </c>
      <c r="J20" s="20">
        <f>H20/'- 7 -'!E20</f>
        <v>204.31818465182968</v>
      </c>
    </row>
    <row r="21" spans="1:10" ht="14.1" customHeight="1" x14ac:dyDescent="0.2">
      <c r="A21" s="284" t="s">
        <v>119</v>
      </c>
      <c r="B21" s="285">
        <f>SUM('- 30 -'!D21,'- 30 -'!B21,'- 29 -'!F21,'- 29 -'!D21,'- 29 -'!B21)</f>
        <v>1850003</v>
      </c>
      <c r="C21" s="291">
        <f>B21/'- 3 -'!D21*100</f>
        <v>4.9190187248924389</v>
      </c>
      <c r="D21" s="285">
        <f>B21/'- 7 -'!E21</f>
        <v>655.33227063407719</v>
      </c>
      <c r="E21" s="285">
        <f>SUM('- 32 -'!D21,'- 32 -'!B21,'- 31 -'!F21,'- 31 -'!D21,'- 31 -'!B21)</f>
        <v>3776634</v>
      </c>
      <c r="F21" s="291">
        <f>E21/'- 3 -'!D21*100</f>
        <v>10.041785533896663</v>
      </c>
      <c r="G21" s="285">
        <f>E21/'- 7 -'!E21</f>
        <v>1337.8087141339001</v>
      </c>
      <c r="H21" s="285">
        <f>SUM('- 33 -'!B21,'- 33 -'!D21,'- 33 -'!F21)</f>
        <v>678516</v>
      </c>
      <c r="I21" s="291">
        <f>H21/'- 3 -'!D21*100</f>
        <v>1.8041229712271374</v>
      </c>
      <c r="J21" s="285">
        <f>H21/'- 7 -'!E21</f>
        <v>240.3528161530287</v>
      </c>
    </row>
    <row r="22" spans="1:10" ht="14.1" customHeight="1" x14ac:dyDescent="0.2">
      <c r="A22" s="19" t="s">
        <v>120</v>
      </c>
      <c r="B22" s="20">
        <f>SUM('- 30 -'!D22,'- 30 -'!B22,'- 29 -'!F22,'- 29 -'!D22,'- 29 -'!B22)</f>
        <v>503055</v>
      </c>
      <c r="C22" s="70">
        <f>B22/'- 3 -'!D22*100</f>
        <v>2.4368974333846638</v>
      </c>
      <c r="D22" s="20">
        <f>B22/'- 7 -'!E22</f>
        <v>327.7231270358306</v>
      </c>
      <c r="E22" s="20">
        <f>SUM('- 32 -'!D22,'- 32 -'!B22,'- 31 -'!F22,'- 31 -'!D22,'- 31 -'!B22)</f>
        <v>2612768</v>
      </c>
      <c r="F22" s="70">
        <f>E22/'- 3 -'!D22*100</f>
        <v>12.65676244790248</v>
      </c>
      <c r="G22" s="20">
        <f>E22/'- 7 -'!E22</f>
        <v>1702.128990228013</v>
      </c>
      <c r="H22" s="20">
        <f>SUM('- 33 -'!B22,'- 33 -'!D22,'- 33 -'!F22)</f>
        <v>357032</v>
      </c>
      <c r="I22" s="70">
        <f>H22/'- 3 -'!D22*100</f>
        <v>1.7295332805283588</v>
      </c>
      <c r="J22" s="20">
        <f>H22/'- 7 -'!E22</f>
        <v>232.59413680781759</v>
      </c>
    </row>
    <row r="23" spans="1:10" ht="14.1" customHeight="1" x14ac:dyDescent="0.2">
      <c r="A23" s="284" t="s">
        <v>121</v>
      </c>
      <c r="B23" s="285">
        <f>SUM('- 30 -'!D23,'- 30 -'!B23,'- 29 -'!F23,'- 29 -'!D23,'- 29 -'!B23)</f>
        <v>1374114</v>
      </c>
      <c r="C23" s="291">
        <f>B23/'- 3 -'!D23*100</f>
        <v>8.8537942319545451</v>
      </c>
      <c r="D23" s="285">
        <f>B23/'- 7 -'!E23</f>
        <v>1463.6919471665958</v>
      </c>
      <c r="E23" s="285">
        <f>SUM('- 32 -'!D23,'- 32 -'!B23,'- 31 -'!F23,'- 31 -'!D23,'- 31 -'!B23)</f>
        <v>1586308</v>
      </c>
      <c r="F23" s="291">
        <f>E23/'- 3 -'!D23*100</f>
        <v>10.221018503925695</v>
      </c>
      <c r="G23" s="285">
        <f>E23/'- 7 -'!E23</f>
        <v>1689.7187899446103</v>
      </c>
      <c r="H23" s="285">
        <f>SUM('- 33 -'!B23,'- 33 -'!D23,'- 33 -'!F23)</f>
        <v>242631</v>
      </c>
      <c r="I23" s="291">
        <f>H23/'- 3 -'!D23*100</f>
        <v>1.5633382297926979</v>
      </c>
      <c r="J23" s="285">
        <f>H23/'- 7 -'!E23</f>
        <v>258.44801874733702</v>
      </c>
    </row>
    <row r="24" spans="1:10" ht="14.1" customHeight="1" x14ac:dyDescent="0.2">
      <c r="A24" s="19" t="s">
        <v>122</v>
      </c>
      <c r="B24" s="20">
        <f>SUM('- 30 -'!D24,'- 30 -'!B24,'- 29 -'!F24,'- 29 -'!D24,'- 29 -'!B24)</f>
        <v>2310117</v>
      </c>
      <c r="C24" s="70">
        <f>B24/'- 3 -'!D24*100</f>
        <v>3.9528229323573814</v>
      </c>
      <c r="D24" s="20">
        <f>B24/'- 7 -'!E24</f>
        <v>616.93603952463616</v>
      </c>
      <c r="E24" s="20">
        <f>SUM('- 32 -'!D24,'- 32 -'!B24,'- 31 -'!F24,'- 31 -'!D24,'- 31 -'!B24)</f>
        <v>6356413</v>
      </c>
      <c r="F24" s="70">
        <f>E24/'- 3 -'!D24*100</f>
        <v>10.8764080234614</v>
      </c>
      <c r="G24" s="20">
        <f>E24/'- 7 -'!E24</f>
        <v>1697.5331820002671</v>
      </c>
      <c r="H24" s="20">
        <f>SUM('- 33 -'!B24,'- 33 -'!D24,'- 33 -'!F24)</f>
        <v>1050998</v>
      </c>
      <c r="I24" s="70">
        <f>H24/'- 3 -'!D24*100</f>
        <v>1.798354367446213</v>
      </c>
      <c r="J24" s="20">
        <f>H24/'- 7 -'!E24</f>
        <v>280.67779409801039</v>
      </c>
    </row>
    <row r="25" spans="1:10" ht="14.1" customHeight="1" x14ac:dyDescent="0.2">
      <c r="A25" s="284" t="s">
        <v>123</v>
      </c>
      <c r="B25" s="285">
        <f>SUM('- 30 -'!D25,'- 30 -'!B25,'- 29 -'!F25,'- 29 -'!D25,'- 29 -'!B25)</f>
        <v>3845767</v>
      </c>
      <c r="C25" s="291">
        <f>B25/'- 3 -'!D25*100</f>
        <v>1.9815076522413821</v>
      </c>
      <c r="D25" s="285">
        <f>B25/'- 7 -'!E25</f>
        <v>256.19488245365096</v>
      </c>
      <c r="E25" s="285">
        <f>SUM('- 32 -'!D25,'- 32 -'!B25,'- 31 -'!F25,'- 31 -'!D25,'- 31 -'!B25)</f>
        <v>20615275</v>
      </c>
      <c r="F25" s="291">
        <f>E25/'- 3 -'!D25*100</f>
        <v>10.621892893032902</v>
      </c>
      <c r="G25" s="285">
        <f>E25/'- 7 -'!E25</f>
        <v>1373.3353984717976</v>
      </c>
      <c r="H25" s="285">
        <f>SUM('- 33 -'!B25,'- 33 -'!D25,'- 33 -'!F25)</f>
        <v>3538854</v>
      </c>
      <c r="I25" s="291">
        <f>H25/'- 3 -'!D25*100</f>
        <v>1.8233726279218228</v>
      </c>
      <c r="J25" s="285">
        <f>H25/'- 7 -'!E25</f>
        <v>235.74914563223217</v>
      </c>
    </row>
    <row r="26" spans="1:10" ht="14.1" customHeight="1" x14ac:dyDescent="0.2">
      <c r="A26" s="19" t="s">
        <v>124</v>
      </c>
      <c r="B26" s="20">
        <f>SUM('- 30 -'!D26,'- 30 -'!B26,'- 29 -'!F26,'- 29 -'!D26,'- 29 -'!B26)</f>
        <v>2626545</v>
      </c>
      <c r="C26" s="70">
        <f>B26/'- 3 -'!D26*100</f>
        <v>6.4204113026147231</v>
      </c>
      <c r="D26" s="20">
        <f>B26/'- 7 -'!E26</f>
        <v>857.64734693877551</v>
      </c>
      <c r="E26" s="20">
        <f>SUM('- 32 -'!D26,'- 32 -'!B26,'- 31 -'!F26,'- 31 -'!D26,'- 31 -'!B26)</f>
        <v>4964420</v>
      </c>
      <c r="F26" s="70">
        <f>E26/'- 3 -'!D26*100</f>
        <v>12.135188347782575</v>
      </c>
      <c r="G26" s="20">
        <f>E26/'- 7 -'!E26</f>
        <v>1621.0351020408164</v>
      </c>
      <c r="H26" s="20">
        <f>SUM('- 33 -'!B26,'- 33 -'!D26,'- 33 -'!F26)</f>
        <v>840596</v>
      </c>
      <c r="I26" s="70">
        <f>H26/'- 3 -'!D26*100</f>
        <v>2.0547799711532551</v>
      </c>
      <c r="J26" s="20">
        <f>H26/'- 7 -'!E26</f>
        <v>274.48032653061222</v>
      </c>
    </row>
    <row r="27" spans="1:10" ht="14.1" customHeight="1" x14ac:dyDescent="0.2">
      <c r="A27" s="284" t="s">
        <v>125</v>
      </c>
      <c r="B27" s="285">
        <f>SUM('- 30 -'!D27,'- 30 -'!B27,'- 29 -'!F27,'- 29 -'!D27,'- 29 -'!B27)</f>
        <v>220386</v>
      </c>
      <c r="C27" s="291">
        <f>B27/'- 3 -'!D27*100</f>
        <v>0.52925844404559153</v>
      </c>
      <c r="D27" s="285">
        <f>B27/'- 7 -'!E27</f>
        <v>72.911276822401462</v>
      </c>
      <c r="E27" s="285">
        <f>SUM('- 32 -'!D27,'- 32 -'!B27,'- 31 -'!F27,'- 31 -'!D27,'- 31 -'!B27)</f>
        <v>4884880</v>
      </c>
      <c r="F27" s="291">
        <f>E27/'- 3 -'!D27*100</f>
        <v>11.73107179289714</v>
      </c>
      <c r="G27" s="285">
        <f>E27/'- 7 -'!E27</f>
        <v>1616.0864933535363</v>
      </c>
      <c r="H27" s="285">
        <f>SUM('- 33 -'!B27,'- 33 -'!D27,'- 33 -'!F27)</f>
        <v>680702</v>
      </c>
      <c r="I27" s="291">
        <f>H27/'- 3 -'!D27*100</f>
        <v>1.6347103780581445</v>
      </c>
      <c r="J27" s="285">
        <f>H27/'- 7 -'!E27</f>
        <v>225.19965857886763</v>
      </c>
    </row>
    <row r="28" spans="1:10" ht="14.1" customHeight="1" x14ac:dyDescent="0.2">
      <c r="A28" s="19" t="s">
        <v>126</v>
      </c>
      <c r="B28" s="20">
        <f>SUM('- 30 -'!D28,'- 30 -'!B28,'- 29 -'!F28,'- 29 -'!D28,'- 29 -'!B28)</f>
        <v>1604229</v>
      </c>
      <c r="C28" s="70">
        <f>B28/'- 3 -'!D28*100</f>
        <v>5.6820158841385577</v>
      </c>
      <c r="D28" s="20">
        <f>B28/'- 7 -'!E28</f>
        <v>806.95623742454734</v>
      </c>
      <c r="E28" s="20">
        <f>SUM('- 32 -'!D28,'- 32 -'!B28,'- 31 -'!F28,'- 31 -'!D28,'- 31 -'!B28)</f>
        <v>3209441</v>
      </c>
      <c r="F28" s="70">
        <f>E28/'- 3 -'!D28*100</f>
        <v>11.367513454254684</v>
      </c>
      <c r="G28" s="20">
        <f>E28/'- 7 -'!E28</f>
        <v>1614.4069416498994</v>
      </c>
      <c r="H28" s="20">
        <f>SUM('- 33 -'!B28,'- 33 -'!D28,'- 33 -'!F28)</f>
        <v>487332</v>
      </c>
      <c r="I28" s="70">
        <f>H28/'- 3 -'!D28*100</f>
        <v>1.7260803568873346</v>
      </c>
      <c r="J28" s="20">
        <f>H28/'- 7 -'!E28</f>
        <v>245.13682092555331</v>
      </c>
    </row>
    <row r="29" spans="1:10" ht="14.1" customHeight="1" x14ac:dyDescent="0.2">
      <c r="A29" s="284" t="s">
        <v>127</v>
      </c>
      <c r="B29" s="285">
        <f>SUM('- 30 -'!D29,'- 30 -'!B29,'- 29 -'!F29,'- 29 -'!D29,'- 29 -'!B29)</f>
        <v>2963469</v>
      </c>
      <c r="C29" s="291">
        <f>B29/'- 3 -'!D29*100</f>
        <v>1.7514686603984531</v>
      </c>
      <c r="D29" s="285">
        <f>B29/'- 7 -'!E29</f>
        <v>207.01121162376444</v>
      </c>
      <c r="E29" s="285">
        <f>SUM('- 32 -'!D29,'- 32 -'!B29,'- 31 -'!F29,'- 31 -'!D29,'- 31 -'!B29)</f>
        <v>19341676</v>
      </c>
      <c r="F29" s="291">
        <f>E29/'- 3 -'!D29*100</f>
        <v>11.431312206600074</v>
      </c>
      <c r="G29" s="285">
        <f>E29/'- 7 -'!E29</f>
        <v>1351.1002759246969</v>
      </c>
      <c r="H29" s="285">
        <f>SUM('- 33 -'!B29,'- 33 -'!D29,'- 33 -'!F29)</f>
        <v>3049867</v>
      </c>
      <c r="I29" s="291">
        <f>H29/'- 3 -'!D29*100</f>
        <v>1.8025315833853668</v>
      </c>
      <c r="J29" s="285">
        <f>H29/'- 7 -'!E29</f>
        <v>213.0464880723691</v>
      </c>
    </row>
    <row r="30" spans="1:10" ht="14.1" customHeight="1" x14ac:dyDescent="0.2">
      <c r="A30" s="19" t="s">
        <v>128</v>
      </c>
      <c r="B30" s="20">
        <f>SUM('- 30 -'!D30,'- 30 -'!B30,'- 29 -'!F30,'- 29 -'!D30,'- 29 -'!B30)</f>
        <v>1019705</v>
      </c>
      <c r="C30" s="70">
        <f>B30/'- 3 -'!D30*100</f>
        <v>6.5545509907113138</v>
      </c>
      <c r="D30" s="20">
        <f>B30/'- 7 -'!E30</f>
        <v>994.34909800097512</v>
      </c>
      <c r="E30" s="20">
        <f>SUM('- 32 -'!D30,'- 32 -'!B30,'- 31 -'!F30,'- 31 -'!D30,'- 31 -'!B30)</f>
        <v>1602474</v>
      </c>
      <c r="F30" s="70">
        <f>E30/'- 3 -'!D30*100</f>
        <v>10.300525685653323</v>
      </c>
      <c r="G30" s="20">
        <f>E30/'- 7 -'!E30</f>
        <v>1562.6270112140419</v>
      </c>
      <c r="H30" s="20">
        <f>SUM('- 33 -'!B30,'- 33 -'!D30,'- 33 -'!F30)</f>
        <v>271128</v>
      </c>
      <c r="I30" s="70">
        <f>H30/'- 3 -'!D30*100</f>
        <v>1.7427808052422782</v>
      </c>
      <c r="J30" s="20">
        <f>H30/'- 7 -'!E30</f>
        <v>264.38615309605069</v>
      </c>
    </row>
    <row r="31" spans="1:10" ht="14.1" customHeight="1" x14ac:dyDescent="0.2">
      <c r="A31" s="284" t="s">
        <v>129</v>
      </c>
      <c r="B31" s="285">
        <f>SUM('- 30 -'!D31,'- 30 -'!B31,'- 29 -'!F31,'- 29 -'!D31,'- 29 -'!B31)</f>
        <v>982818</v>
      </c>
      <c r="C31" s="291">
        <f>B31/'- 3 -'!D31*100</f>
        <v>2.4598386387420192</v>
      </c>
      <c r="D31" s="285">
        <f>B31/'- 7 -'!E31</f>
        <v>294.78644271145771</v>
      </c>
      <c r="E31" s="285">
        <f>SUM('- 32 -'!D31,'- 32 -'!B31,'- 31 -'!F31,'- 31 -'!D31,'- 31 -'!B31)</f>
        <v>3918335</v>
      </c>
      <c r="F31" s="291">
        <f>E31/'- 3 -'!D31*100</f>
        <v>9.8069752818275724</v>
      </c>
      <c r="G31" s="285">
        <f>E31/'- 7 -'!E31</f>
        <v>1175.2654469106178</v>
      </c>
      <c r="H31" s="285">
        <f>SUM('- 33 -'!B31,'- 33 -'!D31,'- 33 -'!F31)</f>
        <v>668970</v>
      </c>
      <c r="I31" s="291">
        <f>H31/'- 3 -'!D31*100</f>
        <v>1.6743265326431229</v>
      </c>
      <c r="J31" s="285">
        <f>H31/'- 7 -'!E31</f>
        <v>200.65086982603481</v>
      </c>
    </row>
    <row r="32" spans="1:10" ht="14.1" customHeight="1" x14ac:dyDescent="0.2">
      <c r="A32" s="19" t="s">
        <v>130</v>
      </c>
      <c r="B32" s="20">
        <f>SUM('- 30 -'!D32,'- 30 -'!B32,'- 29 -'!F32,'- 29 -'!D32,'- 29 -'!B32)</f>
        <v>1924268</v>
      </c>
      <c r="C32" s="70">
        <f>B32/'- 3 -'!D32*100</f>
        <v>6.3432739756124539</v>
      </c>
      <c r="D32" s="20">
        <f>B32/'- 7 -'!E32</f>
        <v>845.46045694200347</v>
      </c>
      <c r="E32" s="20">
        <f>SUM('- 32 -'!D32,'- 32 -'!B32,'- 31 -'!F32,'- 31 -'!D32,'- 31 -'!B32)</f>
        <v>2965429</v>
      </c>
      <c r="F32" s="70">
        <f>E32/'- 3 -'!D32*100</f>
        <v>9.7754203687981427</v>
      </c>
      <c r="G32" s="20">
        <f>E32/'- 7 -'!E32</f>
        <v>1302.9125659050967</v>
      </c>
      <c r="H32" s="20">
        <f>SUM('- 33 -'!B32,'- 33 -'!D32,'- 33 -'!F32)</f>
        <v>574595</v>
      </c>
      <c r="I32" s="70">
        <f>H32/'- 3 -'!D32*100</f>
        <v>1.8941298769282855</v>
      </c>
      <c r="J32" s="20">
        <f>H32/'- 7 -'!E32</f>
        <v>252.45826010544815</v>
      </c>
    </row>
    <row r="33" spans="1:10" ht="14.1" customHeight="1" x14ac:dyDescent="0.2">
      <c r="A33" s="284" t="s">
        <v>131</v>
      </c>
      <c r="B33" s="285">
        <f>SUM('- 30 -'!D33,'- 30 -'!B33,'- 29 -'!F33,'- 29 -'!D33,'- 29 -'!B33)</f>
        <v>2033272</v>
      </c>
      <c r="C33" s="291">
        <f>B33/'- 3 -'!D33*100</f>
        <v>7.2435295487742275</v>
      </c>
      <c r="D33" s="285">
        <f>B33/'- 7 -'!E33</f>
        <v>990.29417494642519</v>
      </c>
      <c r="E33" s="285">
        <f>SUM('- 32 -'!D33,'- 32 -'!B33,'- 31 -'!F33,'- 31 -'!D33,'- 31 -'!B33)</f>
        <v>3344932</v>
      </c>
      <c r="F33" s="291">
        <f>E33/'- 3 -'!D33*100</f>
        <v>11.916317040042097</v>
      </c>
      <c r="G33" s="285">
        <f>E33/'- 7 -'!E33</f>
        <v>1629.1311124098968</v>
      </c>
      <c r="H33" s="285">
        <f>SUM('- 33 -'!B33,'- 33 -'!D33,'- 33 -'!F33)</f>
        <v>481016</v>
      </c>
      <c r="I33" s="291">
        <f>H33/'- 3 -'!D33*100</f>
        <v>1.7136190383938716</v>
      </c>
      <c r="J33" s="285">
        <f>H33/'- 7 -'!E33</f>
        <v>234.27625170465618</v>
      </c>
    </row>
    <row r="34" spans="1:10" ht="14.1" customHeight="1" x14ac:dyDescent="0.2">
      <c r="A34" s="19" t="s">
        <v>132</v>
      </c>
      <c r="B34" s="20">
        <f>SUM('- 30 -'!D34,'- 30 -'!B34,'- 29 -'!F34,'- 29 -'!D34,'- 29 -'!B34)</f>
        <v>2331735</v>
      </c>
      <c r="C34" s="70">
        <f>B34/'- 3 -'!D34*100</f>
        <v>7.659665007278166</v>
      </c>
      <c r="D34" s="20">
        <f>B34/'- 7 -'!E34</f>
        <v>1048.5362892346436</v>
      </c>
      <c r="E34" s="20">
        <f>SUM('- 32 -'!D34,'- 32 -'!B34,'- 31 -'!F34,'- 31 -'!D34,'- 31 -'!B34)</f>
        <v>3017659</v>
      </c>
      <c r="F34" s="70">
        <f>E34/'- 3 -'!D34*100</f>
        <v>9.912900499498452</v>
      </c>
      <c r="G34" s="20">
        <f>E34/'- 7 -'!E34</f>
        <v>1356.9830920046768</v>
      </c>
      <c r="H34" s="20">
        <f>SUM('- 33 -'!B34,'- 33 -'!D34,'- 33 -'!F34)</f>
        <v>603273</v>
      </c>
      <c r="I34" s="70">
        <f>H34/'- 3 -'!D34*100</f>
        <v>1.9817299512747892</v>
      </c>
      <c r="J34" s="20">
        <f>H34/'- 7 -'!E34</f>
        <v>271.28024102886951</v>
      </c>
    </row>
    <row r="35" spans="1:10" ht="14.1" customHeight="1" x14ac:dyDescent="0.2">
      <c r="A35" s="284" t="s">
        <v>133</v>
      </c>
      <c r="B35" s="285">
        <f>SUM('- 30 -'!D35,'- 30 -'!B35,'- 29 -'!F35,'- 29 -'!D35,'- 29 -'!B35)</f>
        <v>3936822</v>
      </c>
      <c r="C35" s="291">
        <f>B35/'- 3 -'!D35*100</f>
        <v>2.054981793405704</v>
      </c>
      <c r="D35" s="285">
        <f>B35/'- 7 -'!E35</f>
        <v>242.79638595084646</v>
      </c>
      <c r="E35" s="285">
        <f>SUM('- 32 -'!D35,'- 32 -'!B35,'- 31 -'!F35,'- 31 -'!D35,'- 31 -'!B35)</f>
        <v>21871579</v>
      </c>
      <c r="F35" s="291">
        <f>E35/'- 3 -'!D35*100</f>
        <v>11.416745953470727</v>
      </c>
      <c r="G35" s="285">
        <f>E35/'- 7 -'!E35</f>
        <v>1348.8901292053408</v>
      </c>
      <c r="H35" s="285">
        <f>SUM('- 33 -'!B35,'- 33 -'!D35,'- 33 -'!F35)</f>
        <v>3272402</v>
      </c>
      <c r="I35" s="291">
        <f>H35/'- 3 -'!D35*100</f>
        <v>1.708161184504764</v>
      </c>
      <c r="J35" s="285">
        <f>H35/'- 7 -'!E35</f>
        <v>201.81948256190447</v>
      </c>
    </row>
    <row r="36" spans="1:10" ht="14.1" customHeight="1" x14ac:dyDescent="0.2">
      <c r="A36" s="19" t="s">
        <v>134</v>
      </c>
      <c r="B36" s="20">
        <f>SUM('- 30 -'!D36,'- 30 -'!B36,'- 29 -'!F36,'- 29 -'!D36,'- 29 -'!B36)</f>
        <v>1411219</v>
      </c>
      <c r="C36" s="70">
        <f>B36/'- 3 -'!D36*100</f>
        <v>5.9676098297964346</v>
      </c>
      <c r="D36" s="20">
        <f>B36/'- 7 -'!E36</f>
        <v>822.14914069327119</v>
      </c>
      <c r="E36" s="20">
        <f>SUM('- 32 -'!D36,'- 32 -'!B36,'- 31 -'!F36,'- 31 -'!D36,'- 31 -'!B36)</f>
        <v>2959328</v>
      </c>
      <c r="F36" s="70">
        <f>E36/'- 3 -'!D36*100</f>
        <v>12.514085242894138</v>
      </c>
      <c r="G36" s="20">
        <f>E36/'- 7 -'!E36</f>
        <v>1724.0477716283135</v>
      </c>
      <c r="H36" s="20">
        <f>SUM('- 33 -'!B36,'- 33 -'!D36,'- 33 -'!F36)</f>
        <v>420151</v>
      </c>
      <c r="I36" s="70">
        <f>H36/'- 3 -'!D36*100</f>
        <v>1.7766889742830856</v>
      </c>
      <c r="J36" s="20">
        <f>H36/'- 7 -'!E36</f>
        <v>244.77191960384502</v>
      </c>
    </row>
    <row r="37" spans="1:10" ht="14.1" customHeight="1" x14ac:dyDescent="0.2">
      <c r="A37" s="284" t="s">
        <v>135</v>
      </c>
      <c r="B37" s="285">
        <f>SUM('- 30 -'!D37,'- 30 -'!B37,'- 29 -'!F37,'- 29 -'!D37,'- 29 -'!B37)</f>
        <v>2927870</v>
      </c>
      <c r="C37" s="291">
        <f>B37/'- 3 -'!D37*100</f>
        <v>5.335102596045358</v>
      </c>
      <c r="D37" s="285">
        <f>B37/'- 7 -'!E37</f>
        <v>684.49759199513733</v>
      </c>
      <c r="E37" s="285">
        <f>SUM('- 32 -'!D37,'- 32 -'!B37,'- 31 -'!F37,'- 31 -'!D37,'- 31 -'!B37)</f>
        <v>5069061</v>
      </c>
      <c r="F37" s="291">
        <f>E37/'- 3 -'!D37*100</f>
        <v>9.2367354085435078</v>
      </c>
      <c r="G37" s="285">
        <f>E37/'- 7 -'!E37</f>
        <v>1185.0799551129192</v>
      </c>
      <c r="H37" s="285">
        <f>SUM('- 33 -'!B37,'- 33 -'!D37,'- 33 -'!F37)</f>
        <v>966479</v>
      </c>
      <c r="I37" s="291">
        <f>H37/'- 3 -'!D37*100</f>
        <v>1.7610975288941524</v>
      </c>
      <c r="J37" s="285">
        <f>H37/'- 7 -'!E37</f>
        <v>225.95010987983358</v>
      </c>
    </row>
    <row r="38" spans="1:10" ht="14.1" customHeight="1" x14ac:dyDescent="0.2">
      <c r="A38" s="19" t="s">
        <v>136</v>
      </c>
      <c r="B38" s="20">
        <f>SUM('- 30 -'!D38,'- 30 -'!B38,'- 29 -'!F38,'- 29 -'!D38,'- 29 -'!B38)</f>
        <v>3784263</v>
      </c>
      <c r="C38" s="70">
        <f>B38/'- 3 -'!D38*100</f>
        <v>2.5658969989797606</v>
      </c>
      <c r="D38" s="20">
        <f>B38/'- 7 -'!E38</f>
        <v>330.15730239050777</v>
      </c>
      <c r="E38" s="20">
        <f>SUM('- 32 -'!D38,'- 32 -'!B38,'- 31 -'!F38,'- 31 -'!D38,'- 31 -'!B38)</f>
        <v>14184210</v>
      </c>
      <c r="F38" s="70">
        <f>E38/'- 3 -'!D38*100</f>
        <v>9.6175191502014297</v>
      </c>
      <c r="G38" s="20">
        <f>E38/'- 7 -'!E38</f>
        <v>1237.498691327866</v>
      </c>
      <c r="H38" s="20">
        <f>SUM('- 33 -'!B38,'- 33 -'!D38,'- 33 -'!F38)</f>
        <v>2520906</v>
      </c>
      <c r="I38" s="70">
        <f>H38/'- 3 -'!D38*100</f>
        <v>1.7092853060450799</v>
      </c>
      <c r="J38" s="20">
        <f>H38/'- 7 -'!E38</f>
        <v>219.93596231024253</v>
      </c>
    </row>
    <row r="39" spans="1:10" ht="14.1" customHeight="1" x14ac:dyDescent="0.2">
      <c r="A39" s="284" t="s">
        <v>137</v>
      </c>
      <c r="B39" s="285">
        <f>SUM('- 30 -'!D39,'- 30 -'!B39,'- 29 -'!F39,'- 29 -'!D39,'- 29 -'!B39)</f>
        <v>1631367</v>
      </c>
      <c r="C39" s="291">
        <f>B39/'- 3 -'!D39*100</f>
        <v>7.4992546103145017</v>
      </c>
      <c r="D39" s="285">
        <f>B39/'- 7 -'!E39</f>
        <v>1089.7575150300602</v>
      </c>
      <c r="E39" s="285">
        <f>SUM('- 32 -'!D39,'- 32 -'!B39,'- 31 -'!F39,'- 31 -'!D39,'- 31 -'!B39)</f>
        <v>2199556</v>
      </c>
      <c r="F39" s="291">
        <f>E39/'- 3 -'!D39*100</f>
        <v>10.111170860784192</v>
      </c>
      <c r="G39" s="285">
        <f>E39/'- 7 -'!E39</f>
        <v>1469.309285237141</v>
      </c>
      <c r="H39" s="285">
        <f>SUM('- 33 -'!B39,'- 33 -'!D39,'- 33 -'!F39)</f>
        <v>366946</v>
      </c>
      <c r="I39" s="291">
        <f>H39/'- 3 -'!D39*100</f>
        <v>1.6868193865858909</v>
      </c>
      <c r="J39" s="285">
        <f>H39/'- 7 -'!E39</f>
        <v>245.12090848363394</v>
      </c>
    </row>
    <row r="40" spans="1:10" ht="14.1" customHeight="1" x14ac:dyDescent="0.2">
      <c r="A40" s="19" t="s">
        <v>138</v>
      </c>
      <c r="B40" s="20">
        <f>SUM('- 30 -'!D40,'- 30 -'!B40,'- 29 -'!F40,'- 29 -'!D40,'- 29 -'!B40)</f>
        <v>1947188</v>
      </c>
      <c r="C40" s="70">
        <f>B40/'- 3 -'!D40*100</f>
        <v>1.829521845148794</v>
      </c>
      <c r="D40" s="20">
        <f>B40/'- 7 -'!E40</f>
        <v>238.62393337312056</v>
      </c>
      <c r="E40" s="20">
        <f>SUM('- 32 -'!D40,'- 32 -'!B40,'- 31 -'!F40,'- 31 -'!D40,'- 31 -'!B40)</f>
        <v>10733472</v>
      </c>
      <c r="F40" s="70">
        <f>E40/'- 3 -'!D40*100</f>
        <v>10.084861604679629</v>
      </c>
      <c r="G40" s="20">
        <f>E40/'- 7 -'!E40</f>
        <v>1315.3651868182503</v>
      </c>
      <c r="H40" s="20">
        <f>SUM('- 33 -'!B40,'- 33 -'!D40,'- 33 -'!F40)</f>
        <v>1952437</v>
      </c>
      <c r="I40" s="70">
        <f>H40/'- 3 -'!D40*100</f>
        <v>1.8344536545915322</v>
      </c>
      <c r="J40" s="20">
        <f>H40/'- 7 -'!E40</f>
        <v>239.26718765892937</v>
      </c>
    </row>
    <row r="41" spans="1:10" ht="14.1" customHeight="1" x14ac:dyDescent="0.2">
      <c r="A41" s="284" t="s">
        <v>139</v>
      </c>
      <c r="B41" s="285">
        <f>SUM('- 30 -'!D41,'- 30 -'!B41,'- 29 -'!F41,'- 29 -'!D41,'- 29 -'!B41)</f>
        <v>4543270</v>
      </c>
      <c r="C41" s="291">
        <f>B41/'- 3 -'!D41*100</f>
        <v>7.049639453241169</v>
      </c>
      <c r="D41" s="285">
        <f>B41/'- 7 -'!E41</f>
        <v>1010.0644730991552</v>
      </c>
      <c r="E41" s="285">
        <f>SUM('- 32 -'!D41,'- 32 -'!B41,'- 31 -'!F41,'- 31 -'!D41,'- 31 -'!B41)</f>
        <v>6266147</v>
      </c>
      <c r="F41" s="291">
        <f>E41/'- 3 -'!D41*100</f>
        <v>9.7229698237192128</v>
      </c>
      <c r="G41" s="285">
        <f>E41/'- 7 -'!E41</f>
        <v>1393.0962650066697</v>
      </c>
      <c r="H41" s="285">
        <f>SUM('- 33 -'!B41,'- 33 -'!D41,'- 33 -'!F41)</f>
        <v>1342222</v>
      </c>
      <c r="I41" s="291">
        <f>H41/'- 3 -'!D41*100</f>
        <v>2.0826807929549132</v>
      </c>
      <c r="J41" s="285">
        <f>H41/'- 7 -'!E41</f>
        <v>298.40417963539352</v>
      </c>
    </row>
    <row r="42" spans="1:10" ht="14.1" customHeight="1" x14ac:dyDescent="0.2">
      <c r="A42" s="19" t="s">
        <v>140</v>
      </c>
      <c r="B42" s="20">
        <f>SUM('- 30 -'!D42,'- 30 -'!B42,'- 29 -'!F42,'- 29 -'!D42,'- 29 -'!B42)</f>
        <v>1439338</v>
      </c>
      <c r="C42" s="70">
        <f>B42/'- 3 -'!D42*100</f>
        <v>7.0420221934529863</v>
      </c>
      <c r="D42" s="20">
        <f>B42/'- 7 -'!E42</f>
        <v>1050.5349974454418</v>
      </c>
      <c r="E42" s="20">
        <f>SUM('- 32 -'!D42,'- 32 -'!B42,'- 31 -'!F42,'- 31 -'!D42,'- 31 -'!B42)</f>
        <v>2561371</v>
      </c>
      <c r="F42" s="70">
        <f>E42/'- 3 -'!D42*100</f>
        <v>12.531616220558941</v>
      </c>
      <c r="G42" s="20">
        <f>E42/'- 7 -'!E42</f>
        <v>1869.4774104079993</v>
      </c>
      <c r="H42" s="20">
        <f>SUM('- 33 -'!B42,'- 33 -'!D42,'- 33 -'!F42)</f>
        <v>328425</v>
      </c>
      <c r="I42" s="70">
        <f>H42/'- 3 -'!D42*100</f>
        <v>1.6068332378390597</v>
      </c>
      <c r="J42" s="20">
        <f>H42/'- 7 -'!E42</f>
        <v>239.70878038099406</v>
      </c>
    </row>
    <row r="43" spans="1:10" ht="14.1" customHeight="1" x14ac:dyDescent="0.2">
      <c r="A43" s="284" t="s">
        <v>141</v>
      </c>
      <c r="B43" s="285">
        <f>SUM('- 30 -'!D43,'- 30 -'!B43,'- 29 -'!F43,'- 29 -'!D43,'- 29 -'!B43)</f>
        <v>938074</v>
      </c>
      <c r="C43" s="291">
        <f>B43/'- 3 -'!D43*100</f>
        <v>7.1872826698480274</v>
      </c>
      <c r="D43" s="285">
        <f>B43/'- 7 -'!E43</f>
        <v>935.73466334164584</v>
      </c>
      <c r="E43" s="285">
        <f>SUM('- 32 -'!D43,'- 32 -'!B43,'- 31 -'!F43,'- 31 -'!D43,'- 31 -'!B43)</f>
        <v>1063751</v>
      </c>
      <c r="F43" s="291">
        <f>E43/'- 3 -'!D43*100</f>
        <v>8.1501876475987061</v>
      </c>
      <c r="G43" s="285">
        <f>E43/'- 7 -'!E43</f>
        <v>1061.0982543640898</v>
      </c>
      <c r="H43" s="285">
        <f>SUM('- 33 -'!B43,'- 33 -'!D43,'- 33 -'!F43)</f>
        <v>269246</v>
      </c>
      <c r="I43" s="291">
        <f>H43/'- 3 -'!D43*100</f>
        <v>2.0628938758838875</v>
      </c>
      <c r="J43" s="285">
        <f>H43/'- 7 -'!E43</f>
        <v>268.57456359102247</v>
      </c>
    </row>
    <row r="44" spans="1:10" ht="14.1" customHeight="1" x14ac:dyDescent="0.2">
      <c r="A44" s="19" t="s">
        <v>142</v>
      </c>
      <c r="B44" s="20">
        <f>SUM('- 30 -'!D44,'- 30 -'!B44,'- 29 -'!F44,'- 29 -'!D44,'- 29 -'!B44)</f>
        <v>880096</v>
      </c>
      <c r="C44" s="70">
        <f>B44/'- 3 -'!D44*100</f>
        <v>8.2753316235981078</v>
      </c>
      <c r="D44" s="20">
        <f>B44/'- 7 -'!E44</f>
        <v>1271.8150289017342</v>
      </c>
      <c r="E44" s="20">
        <f>SUM('- 32 -'!D44,'- 32 -'!B44,'- 31 -'!F44,'- 31 -'!D44,'- 31 -'!B44)</f>
        <v>1256162</v>
      </c>
      <c r="F44" s="70">
        <f>E44/'- 3 -'!D44*100</f>
        <v>11.811390033544347</v>
      </c>
      <c r="G44" s="20">
        <f>E44/'- 7 -'!E44</f>
        <v>1815.2630057803469</v>
      </c>
      <c r="H44" s="20">
        <f>SUM('- 33 -'!B44,'- 33 -'!D44,'- 33 -'!F44)</f>
        <v>168882</v>
      </c>
      <c r="I44" s="70">
        <f>H44/'- 3 -'!D44*100</f>
        <v>1.5879569447611348</v>
      </c>
      <c r="J44" s="20">
        <f>H44/'- 7 -'!E44</f>
        <v>244.04913294797689</v>
      </c>
    </row>
    <row r="45" spans="1:10" ht="14.1" customHeight="1" x14ac:dyDescent="0.2">
      <c r="A45" s="284" t="s">
        <v>143</v>
      </c>
      <c r="B45" s="285">
        <f>SUM('- 30 -'!D45,'- 30 -'!B45,'- 29 -'!F45,'- 29 -'!D45,'- 29 -'!B45)</f>
        <v>674132</v>
      </c>
      <c r="C45" s="291">
        <f>B45/'- 3 -'!D45*100</f>
        <v>3.1864270041525575</v>
      </c>
      <c r="D45" s="285">
        <f>B45/'- 7 -'!E45</f>
        <v>352.0271540469974</v>
      </c>
      <c r="E45" s="285">
        <f>SUM('- 32 -'!D45,'- 32 -'!B45,'- 31 -'!F45,'- 31 -'!D45,'- 31 -'!B45)</f>
        <v>2162110</v>
      </c>
      <c r="F45" s="291">
        <f>E45/'- 3 -'!D45*100</f>
        <v>10.219668684987933</v>
      </c>
      <c r="G45" s="285">
        <f>E45/'- 7 -'!E45</f>
        <v>1129.0391644908616</v>
      </c>
      <c r="H45" s="285">
        <f>SUM('- 33 -'!B45,'- 33 -'!D45,'- 33 -'!F45)</f>
        <v>389541</v>
      </c>
      <c r="I45" s="291">
        <f>H45/'- 3 -'!D45*100</f>
        <v>1.8412476512383202</v>
      </c>
      <c r="J45" s="285">
        <f>H45/'- 7 -'!E45</f>
        <v>203.41566579634465</v>
      </c>
    </row>
    <row r="46" spans="1:10" ht="14.1" customHeight="1" x14ac:dyDescent="0.2">
      <c r="A46" s="19" t="s">
        <v>144</v>
      </c>
      <c r="B46" s="20">
        <f>SUM('- 30 -'!D46,'- 30 -'!B46,'- 29 -'!F46,'- 29 -'!D46,'- 29 -'!B46)</f>
        <v>6693371</v>
      </c>
      <c r="C46" s="70">
        <f>B46/'- 3 -'!D46*100</f>
        <v>1.6191103493143029</v>
      </c>
      <c r="D46" s="20">
        <f>B46/'- 7 -'!E46</f>
        <v>226.58899718006614</v>
      </c>
      <c r="E46" s="20">
        <f>SUM('- 32 -'!D46,'- 32 -'!B46,'- 31 -'!F46,'- 31 -'!D46,'- 31 -'!B46)</f>
        <v>51809722</v>
      </c>
      <c r="F46" s="70">
        <f>E46/'- 3 -'!D46*100</f>
        <v>12.532647164679339</v>
      </c>
      <c r="G46" s="20">
        <f>E46/'- 7 -'!E46</f>
        <v>1753.9014275703544</v>
      </c>
      <c r="H46" s="20">
        <f>SUM('- 33 -'!B46,'- 33 -'!D46,'- 33 -'!F46)</f>
        <v>7283888</v>
      </c>
      <c r="I46" s="70">
        <f>H46/'- 3 -'!D46*100</f>
        <v>1.7619549915948569</v>
      </c>
      <c r="J46" s="20">
        <f>H46/'- 7 -'!E46</f>
        <v>246.57961996905857</v>
      </c>
    </row>
    <row r="47" spans="1:10" ht="5.0999999999999996" customHeight="1" x14ac:dyDescent="0.2">
      <c r="A47" s="21"/>
      <c r="B47" s="22"/>
      <c r="C47"/>
      <c r="D47"/>
      <c r="E47"/>
      <c r="F47"/>
      <c r="G47"/>
      <c r="H47"/>
      <c r="I47"/>
      <c r="J47"/>
    </row>
    <row r="48" spans="1:10" ht="14.1" customHeight="1" x14ac:dyDescent="0.2">
      <c r="A48" s="286" t="s">
        <v>145</v>
      </c>
      <c r="B48" s="287">
        <f>SUM(B11:B46)</f>
        <v>89025355</v>
      </c>
      <c r="C48" s="294">
        <f>B48/'- 3 -'!D48*100</f>
        <v>3.6913096937269185</v>
      </c>
      <c r="D48" s="287">
        <f>B48/'- 7 -'!E48</f>
        <v>493.96891467818961</v>
      </c>
      <c r="E48" s="287">
        <f>SUM(E11:E46)</f>
        <v>273483744</v>
      </c>
      <c r="F48" s="294">
        <f>E48/'- 3 -'!D48*100</f>
        <v>11.339614375072484</v>
      </c>
      <c r="G48" s="287">
        <f>E48/'- 7 -'!E48</f>
        <v>1517.4605954203478</v>
      </c>
      <c r="H48" s="287">
        <f>SUM(H11:H46)</f>
        <v>41805753</v>
      </c>
      <c r="I48" s="294">
        <f>H48/'- 3 -'!D48*100</f>
        <v>1.73341607345967</v>
      </c>
      <c r="J48" s="287">
        <f>H48/'- 7 -'!E48</f>
        <v>231.96473001106784</v>
      </c>
    </row>
    <row r="49" spans="1:10" ht="5.0999999999999996" customHeight="1" x14ac:dyDescent="0.2">
      <c r="A49" s="21" t="s">
        <v>7</v>
      </c>
      <c r="B49" s="22"/>
      <c r="C49"/>
      <c r="D49"/>
      <c r="E49"/>
      <c r="F49"/>
      <c r="G49"/>
      <c r="H49"/>
      <c r="I49"/>
      <c r="J49"/>
    </row>
    <row r="50" spans="1:10" ht="14.1" customHeight="1" x14ac:dyDescent="0.2">
      <c r="A50" s="284" t="s">
        <v>146</v>
      </c>
      <c r="B50" s="285">
        <f>SUM('- 30 -'!D50,'- 30 -'!B50,'- 29 -'!F50,'- 29 -'!D50,'- 29 -'!B50)</f>
        <v>65600</v>
      </c>
      <c r="C50" s="291">
        <f>B50/'- 3 -'!D50*100</f>
        <v>2.0656108540293268</v>
      </c>
      <c r="D50" s="285">
        <f>B50/'- 7 -'!E50</f>
        <v>345.26315789473682</v>
      </c>
      <c r="E50" s="285">
        <f>SUM('- 32 -'!D50,'- 32 -'!B50,'- 31 -'!F50,'- 31 -'!D50,'- 31 -'!B50)</f>
        <v>442614</v>
      </c>
      <c r="F50" s="291">
        <f>E50/'- 3 -'!D50*100</f>
        <v>13.937016502215494</v>
      </c>
      <c r="G50" s="285">
        <f>E50/'- 7 -'!E50</f>
        <v>2329.5473684210529</v>
      </c>
      <c r="H50" s="285">
        <f>SUM('- 33 -'!B50,'- 33 -'!D50,'- 33 -'!F50)</f>
        <v>44038</v>
      </c>
      <c r="I50" s="291">
        <f>H50/'- 3 -'!D50*100</f>
        <v>1.3866672376485287</v>
      </c>
      <c r="J50" s="285">
        <f>H50/'- 7 -'!E50</f>
        <v>231.77894736842106</v>
      </c>
    </row>
    <row r="51" spans="1:10" ht="14.1" customHeight="1" x14ac:dyDescent="0.2">
      <c r="A51" s="19" t="s">
        <v>599</v>
      </c>
      <c r="B51" s="20">
        <f>SUM('- 30 -'!D51,'- 30 -'!B51,'- 29 -'!F51,'- 29 -'!D51,'- 29 -'!B51)</f>
        <v>0</v>
      </c>
      <c r="C51" s="70">
        <f>B51/'- 3 -'!D51*100</f>
        <v>0</v>
      </c>
      <c r="D51" s="20">
        <f>B51/'- 7 -'!E51</f>
        <v>0</v>
      </c>
      <c r="E51" s="20">
        <f>SUM('- 32 -'!D51,'- 32 -'!B51,'- 31 -'!F51,'- 31 -'!D51,'- 31 -'!B51)</f>
        <v>4043707</v>
      </c>
      <c r="F51" s="70">
        <f>E51/'- 3 -'!D51*100</f>
        <v>13.402267208801804</v>
      </c>
      <c r="G51" s="20">
        <f>E51/'- 7 -'!E51</f>
        <v>3276.9100486223665</v>
      </c>
      <c r="H51" s="20">
        <f>SUM('- 33 -'!B51,'- 33 -'!D51,'- 33 -'!F51)</f>
        <v>637159</v>
      </c>
      <c r="I51" s="70">
        <f>H51/'- 3 -'!D51*100</f>
        <v>2.1117690209733171</v>
      </c>
      <c r="J51" s="20">
        <f>H51/'- 7 -'!E51</f>
        <v>516.33630470016203</v>
      </c>
    </row>
    <row r="52" spans="1:10" ht="50.1" customHeight="1" x14ac:dyDescent="0.2"/>
  </sheetData>
  <mergeCells count="6">
    <mergeCell ref="D8:D9"/>
    <mergeCell ref="G8:G9"/>
    <mergeCell ref="J8:J9"/>
    <mergeCell ref="B6:D7"/>
    <mergeCell ref="E6:G7"/>
    <mergeCell ref="H7:J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G52"/>
  <sheetViews>
    <sheetView showGridLines="0" showZeros="0" workbookViewId="0"/>
  </sheetViews>
  <sheetFormatPr defaultColWidth="15.83203125" defaultRowHeight="12" x14ac:dyDescent="0.2"/>
  <cols>
    <col min="1" max="1" width="33.83203125" style="2" customWidth="1"/>
    <col min="2" max="2" width="21.83203125" style="2" customWidth="1"/>
    <col min="3" max="3" width="12.83203125" style="2" customWidth="1"/>
    <col min="4" max="4" width="15.33203125" style="2" customWidth="1"/>
    <col min="5" max="5" width="20.83203125" style="2" customWidth="1"/>
    <col min="6" max="6" width="12.83203125" style="2" customWidth="1"/>
    <col min="7" max="7" width="15.33203125" style="2" customWidth="1"/>
    <col min="8" max="16384" width="15.83203125" style="2"/>
  </cols>
  <sheetData>
    <row r="1" spans="1:7" ht="6.95" customHeight="1" x14ac:dyDescent="0.2">
      <c r="A1" s="7"/>
      <c r="B1" s="89"/>
      <c r="C1" s="89"/>
      <c r="D1" s="89"/>
      <c r="E1" s="89"/>
      <c r="F1" s="89"/>
      <c r="G1" s="89"/>
    </row>
    <row r="2" spans="1:7" ht="15.95" customHeight="1" x14ac:dyDescent="0.2">
      <c r="A2" s="134"/>
      <c r="B2" s="90" t="s">
        <v>263</v>
      </c>
      <c r="C2" s="201"/>
      <c r="D2" s="91"/>
      <c r="E2" s="91"/>
      <c r="F2" s="91"/>
      <c r="G2" s="395" t="s">
        <v>396</v>
      </c>
    </row>
    <row r="3" spans="1:7" ht="15.95" customHeight="1" x14ac:dyDescent="0.2">
      <c r="A3" s="541"/>
      <c r="B3" s="202" t="str">
        <f>OPYEAR</f>
        <v>OPERATING FUND 2019/2020 ACTUAL</v>
      </c>
      <c r="C3" s="94"/>
      <c r="D3" s="203"/>
      <c r="E3" s="94"/>
      <c r="F3" s="94"/>
      <c r="G3" s="96"/>
    </row>
    <row r="4" spans="1:7" ht="15.95" customHeight="1" x14ac:dyDescent="0.2">
      <c r="B4" s="89"/>
      <c r="C4" s="89"/>
      <c r="D4" s="89"/>
      <c r="E4" s="89"/>
      <c r="F4" s="89"/>
      <c r="G4" s="89"/>
    </row>
    <row r="5" spans="1:7" ht="15.95" customHeight="1" x14ac:dyDescent="0.2">
      <c r="B5" s="188" t="s">
        <v>13</v>
      </c>
      <c r="C5" s="175"/>
      <c r="D5" s="176"/>
      <c r="E5" s="176"/>
      <c r="F5" s="176"/>
      <c r="G5" s="177"/>
    </row>
    <row r="6" spans="1:7" ht="15.95" customHeight="1" x14ac:dyDescent="0.2">
      <c r="B6" s="309"/>
      <c r="C6" s="312"/>
      <c r="D6" s="310"/>
      <c r="E6" s="649" t="s">
        <v>473</v>
      </c>
      <c r="F6" s="657"/>
      <c r="G6" s="650"/>
    </row>
    <row r="7" spans="1:7" ht="15.95" customHeight="1" x14ac:dyDescent="0.2">
      <c r="B7" s="654" t="s">
        <v>19</v>
      </c>
      <c r="C7" s="656"/>
      <c r="D7" s="655"/>
      <c r="E7" s="651"/>
      <c r="F7" s="658"/>
      <c r="G7" s="652"/>
    </row>
    <row r="8" spans="1:7" ht="15.95" customHeight="1" x14ac:dyDescent="0.2">
      <c r="A8" s="67"/>
      <c r="B8" s="137"/>
      <c r="C8" s="138"/>
      <c r="D8" s="602" t="s">
        <v>471</v>
      </c>
      <c r="E8" s="137"/>
      <c r="F8" s="139"/>
      <c r="G8" s="602" t="s">
        <v>472</v>
      </c>
    </row>
    <row r="9" spans="1:7" ht="15.95" customHeight="1" x14ac:dyDescent="0.2">
      <c r="A9" s="35" t="s">
        <v>42</v>
      </c>
      <c r="B9" s="77" t="s">
        <v>43</v>
      </c>
      <c r="C9" s="77" t="s">
        <v>44</v>
      </c>
      <c r="D9" s="604"/>
      <c r="E9" s="77" t="s">
        <v>43</v>
      </c>
      <c r="F9" s="77" t="s">
        <v>44</v>
      </c>
      <c r="G9" s="604"/>
    </row>
    <row r="10" spans="1:7" ht="5.0999999999999996" customHeight="1" x14ac:dyDescent="0.2">
      <c r="A10" s="6"/>
    </row>
    <row r="11" spans="1:7" ht="14.1" customHeight="1" x14ac:dyDescent="0.2">
      <c r="A11" s="284" t="s">
        <v>110</v>
      </c>
      <c r="B11" s="285">
        <v>1500940</v>
      </c>
      <c r="C11" s="291">
        <f>B11/'- 3 -'!D11*100</f>
        <v>7.1413081096625239</v>
      </c>
      <c r="D11" s="285">
        <f>B11/'- 7 -'!C11</f>
        <v>758.05050505050508</v>
      </c>
      <c r="E11" s="285">
        <v>0</v>
      </c>
      <c r="F11" s="291">
        <f>E11/'- 3 -'!D11*100</f>
        <v>0</v>
      </c>
      <c r="G11" s="285" t="str">
        <f>IF('- 7 -'!B11=0,"",E11/'- 7 -'!B11)</f>
        <v/>
      </c>
    </row>
    <row r="12" spans="1:7" ht="14.1" customHeight="1" x14ac:dyDescent="0.2">
      <c r="A12" s="19" t="s">
        <v>111</v>
      </c>
      <c r="B12" s="20">
        <v>2689721</v>
      </c>
      <c r="C12" s="70">
        <f>B12/'- 3 -'!D12*100</f>
        <v>8.0175506590365053</v>
      </c>
      <c r="D12" s="20">
        <f>B12/'- 7 -'!C12</f>
        <v>1236.4486797587524</v>
      </c>
      <c r="E12" s="20">
        <v>1082128</v>
      </c>
      <c r="F12" s="70">
        <f>E12/'- 3 -'!D12*100</f>
        <v>3.225619333589564</v>
      </c>
      <c r="G12" s="20">
        <f>IF('- 7 -'!B12=0,"",E12/'- 7 -'!B12)</f>
        <v>6472.0574162679432</v>
      </c>
    </row>
    <row r="13" spans="1:7" ht="14.1" customHeight="1" x14ac:dyDescent="0.2">
      <c r="A13" s="284" t="s">
        <v>112</v>
      </c>
      <c r="B13" s="285">
        <v>7686737</v>
      </c>
      <c r="C13" s="291">
        <f>B13/'- 3 -'!D13*100</f>
        <v>7.3526527522589493</v>
      </c>
      <c r="D13" s="285">
        <f>B13/'- 7 -'!C13</f>
        <v>887.61397228637418</v>
      </c>
      <c r="E13" s="285">
        <v>3535599</v>
      </c>
      <c r="F13" s="291">
        <f>E13/'- 3 -'!D13*100</f>
        <v>3.3819332856365438</v>
      </c>
      <c r="G13" s="285">
        <f>IF('- 7 -'!B13=0,"",E13/'- 7 -'!B13)</f>
        <v>9042.4526854219948</v>
      </c>
    </row>
    <row r="14" spans="1:7" ht="14.1" customHeight="1" x14ac:dyDescent="0.2">
      <c r="A14" s="19" t="s">
        <v>358</v>
      </c>
      <c r="B14" s="20">
        <v>6948111</v>
      </c>
      <c r="C14" s="70">
        <f>B14/'- 3 -'!D14*100</f>
        <v>7.756233252865373</v>
      </c>
      <c r="D14" s="20">
        <f>B14/'- 7 -'!C14</f>
        <v>1255.4134775915527</v>
      </c>
      <c r="E14" s="20">
        <v>132907</v>
      </c>
      <c r="F14" s="70">
        <f>E14/'- 3 -'!D14*100</f>
        <v>0.14836517334547161</v>
      </c>
      <c r="G14" s="20">
        <f>IF('- 7 -'!B14=0,"",E14/'- 7 -'!B14)</f>
        <v>6705.7013118062559</v>
      </c>
    </row>
    <row r="15" spans="1:7" ht="14.1" customHeight="1" x14ac:dyDescent="0.2">
      <c r="A15" s="284" t="s">
        <v>113</v>
      </c>
      <c r="B15" s="285">
        <v>1652062</v>
      </c>
      <c r="C15" s="291">
        <f>B15/'- 3 -'!D15*100</f>
        <v>8.3755678644969151</v>
      </c>
      <c r="D15" s="285">
        <f>B15/'- 7 -'!C15</f>
        <v>1135.0477499141189</v>
      </c>
      <c r="E15" s="285">
        <v>171186</v>
      </c>
      <c r="F15" s="291">
        <f>E15/'- 3 -'!D15*100</f>
        <v>0.86787297356380622</v>
      </c>
      <c r="G15" s="285">
        <f>IF('- 7 -'!B15=0,"",E15/'- 7 -'!B15)</f>
        <v>8559.2999999999993</v>
      </c>
    </row>
    <row r="16" spans="1:7" ht="14.1" customHeight="1" x14ac:dyDescent="0.2">
      <c r="A16" s="19" t="s">
        <v>114</v>
      </c>
      <c r="B16" s="20">
        <v>1263232</v>
      </c>
      <c r="C16" s="70">
        <f>B16/'- 3 -'!D16*100</f>
        <v>8.788707214753078</v>
      </c>
      <c r="D16" s="20">
        <f>B16/'- 7 -'!C16</f>
        <v>1388.0145039006702</v>
      </c>
      <c r="E16" s="20">
        <v>0</v>
      </c>
      <c r="F16" s="70">
        <f>E16/'- 3 -'!D16*100</f>
        <v>0</v>
      </c>
      <c r="G16" s="20" t="str">
        <f>IF('- 7 -'!B16=0,"",E16/'- 7 -'!B16)</f>
        <v/>
      </c>
    </row>
    <row r="17" spans="1:7" ht="14.1" customHeight="1" x14ac:dyDescent="0.2">
      <c r="A17" s="284" t="s">
        <v>115</v>
      </c>
      <c r="B17" s="285">
        <v>1485401</v>
      </c>
      <c r="C17" s="291">
        <f>B17/'- 3 -'!D17*100</f>
        <v>8.2521039962178335</v>
      </c>
      <c r="D17" s="285">
        <f>B17/'- 7 -'!C17</f>
        <v>1039.1052815669814</v>
      </c>
      <c r="E17" s="285">
        <v>156178</v>
      </c>
      <c r="F17" s="291">
        <f>E17/'- 3 -'!D17*100</f>
        <v>0.86764254091744175</v>
      </c>
      <c r="G17" s="285">
        <f>IF('- 7 -'!B17=0,"",E17/'- 7 -'!B17)</f>
        <v>7437.0476190476193</v>
      </c>
    </row>
    <row r="18" spans="1:7" ht="14.1" customHeight="1" x14ac:dyDescent="0.2">
      <c r="A18" s="19" t="s">
        <v>116</v>
      </c>
      <c r="B18" s="20">
        <v>7735172</v>
      </c>
      <c r="C18" s="70">
        <f>B18/'- 3 -'!D18*100</f>
        <v>5.8079388200598574</v>
      </c>
      <c r="D18" s="20">
        <f>B18/'- 7 -'!C18</f>
        <v>1298.6102577016704</v>
      </c>
      <c r="E18" s="20">
        <v>532332</v>
      </c>
      <c r="F18" s="70">
        <f>E18/'- 3 -'!D18*100</f>
        <v>0.39970044466498023</v>
      </c>
      <c r="G18" s="20">
        <f>IF('- 7 -'!B18=0,"",E18/'- 7 -'!B18)</f>
        <v>13308.3</v>
      </c>
    </row>
    <row r="19" spans="1:7" ht="14.1" customHeight="1" x14ac:dyDescent="0.2">
      <c r="A19" s="284" t="s">
        <v>117</v>
      </c>
      <c r="B19" s="285">
        <v>3113083</v>
      </c>
      <c r="C19" s="291">
        <f>B19/'- 3 -'!D19*100</f>
        <v>6.2600965999854461</v>
      </c>
      <c r="D19" s="285">
        <f>B19/'- 7 -'!C19</f>
        <v>706.82809981154776</v>
      </c>
      <c r="E19" s="285">
        <v>1163477</v>
      </c>
      <c r="F19" s="291">
        <f>E19/'- 3 -'!D19*100</f>
        <v>2.3396351500622585</v>
      </c>
      <c r="G19" s="285">
        <f>IF('- 7 -'!B19=0,"",E19/'- 7 -'!B19)</f>
        <v>10444.138240574506</v>
      </c>
    </row>
    <row r="20" spans="1:7" ht="14.1" customHeight="1" x14ac:dyDescent="0.2">
      <c r="A20" s="19" t="s">
        <v>118</v>
      </c>
      <c r="B20" s="20">
        <v>6757145</v>
      </c>
      <c r="C20" s="70">
        <f>B20/'- 3 -'!D20*100</f>
        <v>7.633656560970639</v>
      </c>
      <c r="D20" s="20">
        <f>B20/'- 7 -'!C20</f>
        <v>842.48425908609192</v>
      </c>
      <c r="E20" s="20">
        <v>3022844</v>
      </c>
      <c r="F20" s="70">
        <f>E20/'- 3 -'!D20*100</f>
        <v>3.4149560107694494</v>
      </c>
      <c r="G20" s="20">
        <f>IF('- 7 -'!B20=0,"",E20/'- 7 -'!B20)</f>
        <v>6614.5382932166303</v>
      </c>
    </row>
    <row r="21" spans="1:7" ht="14.1" customHeight="1" x14ac:dyDescent="0.2">
      <c r="A21" s="284" t="s">
        <v>119</v>
      </c>
      <c r="B21" s="285">
        <v>3277395</v>
      </c>
      <c r="C21" s="291">
        <f>B21/'- 3 -'!D21*100</f>
        <v>8.7143466112589305</v>
      </c>
      <c r="D21" s="285">
        <f>B21/'- 7 -'!C21</f>
        <v>1160.96174282678</v>
      </c>
      <c r="E21" s="285">
        <v>0</v>
      </c>
      <c r="F21" s="291">
        <f>E21/'- 3 -'!D21*100</f>
        <v>0</v>
      </c>
      <c r="G21" s="285" t="str">
        <f>IF('- 7 -'!B21=0,"",E21/'- 7 -'!B21)</f>
        <v/>
      </c>
    </row>
    <row r="22" spans="1:7" ht="14.1" customHeight="1" x14ac:dyDescent="0.2">
      <c r="A22" s="19" t="s">
        <v>120</v>
      </c>
      <c r="B22" s="20">
        <v>1585435</v>
      </c>
      <c r="C22" s="70">
        <f>B22/'- 3 -'!D22*100</f>
        <v>7.6801591919337149</v>
      </c>
      <c r="D22" s="20">
        <f>B22/'- 7 -'!C22</f>
        <v>1032.8566775244299</v>
      </c>
      <c r="E22" s="20">
        <v>0</v>
      </c>
      <c r="F22" s="70">
        <f>E22/'- 3 -'!D22*100</f>
        <v>0</v>
      </c>
      <c r="G22" s="20" t="str">
        <f>IF('- 7 -'!B22=0,"",E22/'- 7 -'!B22)</f>
        <v/>
      </c>
    </row>
    <row r="23" spans="1:7" ht="14.1" customHeight="1" x14ac:dyDescent="0.2">
      <c r="A23" s="284" t="s">
        <v>121</v>
      </c>
      <c r="B23" s="285">
        <v>1026156</v>
      </c>
      <c r="C23" s="291">
        <f>B23/'- 3 -'!D23*100</f>
        <v>6.611805187841437</v>
      </c>
      <c r="D23" s="285">
        <f>B23/'- 7 -'!C23</f>
        <v>1093.0507030251385</v>
      </c>
      <c r="E23" s="285">
        <v>135930</v>
      </c>
      <c r="F23" s="291">
        <f>E23/'- 3 -'!D23*100</f>
        <v>0.87583435577367041</v>
      </c>
      <c r="G23" s="285">
        <f>IF('- 7 -'!B23=0,"",E23/'- 7 -'!B23)</f>
        <v>10456.153846153846</v>
      </c>
    </row>
    <row r="24" spans="1:7" ht="14.1" customHeight="1" x14ac:dyDescent="0.2">
      <c r="A24" s="19" t="s">
        <v>122</v>
      </c>
      <c r="B24" s="20">
        <v>5054212</v>
      </c>
      <c r="C24" s="70">
        <f>B24/'- 3 -'!D24*100</f>
        <v>8.6482221890042208</v>
      </c>
      <c r="D24" s="20">
        <f>B24/'- 7 -'!C24</f>
        <v>1349.7695286420083</v>
      </c>
      <c r="E24" s="20">
        <v>1850423</v>
      </c>
      <c r="F24" s="70">
        <f>E24/'- 3 -'!D24*100</f>
        <v>3.1662441638070895</v>
      </c>
      <c r="G24" s="20">
        <f>IF('- 7 -'!B24=0,"",E24/'- 7 -'!B24)</f>
        <v>9070.7009803921574</v>
      </c>
    </row>
    <row r="25" spans="1:7" ht="14.1" customHeight="1" x14ac:dyDescent="0.2">
      <c r="A25" s="284" t="s">
        <v>123</v>
      </c>
      <c r="B25" s="285">
        <v>15250222</v>
      </c>
      <c r="C25" s="291">
        <f>B25/'- 3 -'!D25*100</f>
        <v>7.8575825294095765</v>
      </c>
      <c r="D25" s="285">
        <f>B25/'- 7 -'!C25</f>
        <v>1015.9296787044254</v>
      </c>
      <c r="E25" s="285">
        <v>1604080</v>
      </c>
      <c r="F25" s="291">
        <f>E25/'- 3 -'!D25*100</f>
        <v>0.82649229524496848</v>
      </c>
      <c r="G25" s="285">
        <f>IF('- 7 -'!B25=0,"",E25/'- 7 -'!B25)</f>
        <v>14880.148423005567</v>
      </c>
    </row>
    <row r="26" spans="1:7" ht="14.1" customHeight="1" x14ac:dyDescent="0.2">
      <c r="A26" s="19" t="s">
        <v>124</v>
      </c>
      <c r="B26" s="20">
        <v>3645153</v>
      </c>
      <c r="C26" s="70">
        <f>B26/'- 3 -'!D26*100</f>
        <v>8.910329547355925</v>
      </c>
      <c r="D26" s="20">
        <f>B26/'- 7 -'!C26</f>
        <v>1190.2540408163266</v>
      </c>
      <c r="E26" s="20">
        <v>987275</v>
      </c>
      <c r="F26" s="70">
        <f>E26/'- 3 -'!D26*100</f>
        <v>2.4133268490693864</v>
      </c>
      <c r="G26" s="20">
        <f>IF('- 7 -'!B26=0,"",E26/'- 7 -'!B26)</f>
        <v>7495.824159137499</v>
      </c>
    </row>
    <row r="27" spans="1:7" ht="14.1" customHeight="1" x14ac:dyDescent="0.2">
      <c r="A27" s="284" t="s">
        <v>125</v>
      </c>
      <c r="B27" s="285">
        <v>2857126</v>
      </c>
      <c r="C27" s="291">
        <f>B27/'- 3 -'!D27*100</f>
        <v>6.861407082129559</v>
      </c>
      <c r="D27" s="285">
        <f>B27/'- 7 -'!C27</f>
        <v>945.23565336491708</v>
      </c>
      <c r="E27" s="285">
        <v>1049550</v>
      </c>
      <c r="F27" s="291">
        <f>E27/'- 3 -'!D27*100</f>
        <v>2.5205013020248592</v>
      </c>
      <c r="G27" s="285">
        <f>IF('- 7 -'!B27=0,"",E27/'- 7 -'!B27)</f>
        <v>6821.4610685038342</v>
      </c>
    </row>
    <row r="28" spans="1:7" ht="14.1" customHeight="1" x14ac:dyDescent="0.2">
      <c r="A28" s="19" t="s">
        <v>126</v>
      </c>
      <c r="B28" s="20">
        <v>2182337</v>
      </c>
      <c r="C28" s="70">
        <f>B28/'- 3 -'!D28*100</f>
        <v>7.7296155963664086</v>
      </c>
      <c r="D28" s="20">
        <f>B28/'- 7 -'!C28</f>
        <v>1097.7550301810866</v>
      </c>
      <c r="E28" s="20">
        <v>0</v>
      </c>
      <c r="F28" s="70">
        <f>E28/'- 3 -'!D28*100</f>
        <v>0</v>
      </c>
      <c r="G28" s="20" t="str">
        <f>IF('- 7 -'!B28=0,"",E28/'- 7 -'!B28)</f>
        <v/>
      </c>
    </row>
    <row r="29" spans="1:7" ht="14.1" customHeight="1" x14ac:dyDescent="0.2">
      <c r="A29" s="284" t="s">
        <v>127</v>
      </c>
      <c r="B29" s="285">
        <v>13173932</v>
      </c>
      <c r="C29" s="291">
        <f>B29/'- 3 -'!D29*100</f>
        <v>7.7860537877130875</v>
      </c>
      <c r="D29" s="285">
        <f>B29/'- 7 -'!C29</f>
        <v>920.25650518668579</v>
      </c>
      <c r="E29" s="285">
        <v>0</v>
      </c>
      <c r="F29" s="291">
        <f>E29/'- 3 -'!D29*100</f>
        <v>0</v>
      </c>
      <c r="G29" s="285" t="str">
        <f>IF('- 7 -'!B29=0,"",E29/'- 7 -'!B29)</f>
        <v/>
      </c>
    </row>
    <row r="30" spans="1:7" ht="14.1" customHeight="1" x14ac:dyDescent="0.2">
      <c r="A30" s="19" t="s">
        <v>128</v>
      </c>
      <c r="B30" s="20">
        <v>1161797</v>
      </c>
      <c r="C30" s="70">
        <f>B30/'- 3 -'!D30*100</f>
        <v>7.4679026555282482</v>
      </c>
      <c r="D30" s="20">
        <f>B30/'- 7 -'!C30</f>
        <v>1132.9078498293516</v>
      </c>
      <c r="E30" s="20">
        <v>0</v>
      </c>
      <c r="F30" s="70">
        <f>E30/'- 3 -'!D30*100</f>
        <v>0</v>
      </c>
      <c r="G30" s="20" t="str">
        <f>IF('- 7 -'!B30=0,"",E30/'- 7 -'!B30)</f>
        <v/>
      </c>
    </row>
    <row r="31" spans="1:7" ht="14.1" customHeight="1" x14ac:dyDescent="0.2">
      <c r="A31" s="284" t="s">
        <v>129</v>
      </c>
      <c r="B31" s="285">
        <v>3198127</v>
      </c>
      <c r="C31" s="291">
        <f>B31/'- 3 -'!D31*100</f>
        <v>8.0044081062863093</v>
      </c>
      <c r="D31" s="285">
        <f>B31/'- 7 -'!C31</f>
        <v>959.24625074984999</v>
      </c>
      <c r="E31" s="285">
        <v>732999</v>
      </c>
      <c r="F31" s="291">
        <f>E31/'- 3 -'!D31*100</f>
        <v>1.8345810336799502</v>
      </c>
      <c r="G31" s="285">
        <f>IF('- 7 -'!B31=0,"",E31/'- 7 -'!B31)</f>
        <v>7635.40625</v>
      </c>
    </row>
    <row r="32" spans="1:7" ht="14.1" customHeight="1" x14ac:dyDescent="0.2">
      <c r="A32" s="19" t="s">
        <v>130</v>
      </c>
      <c r="B32" s="20">
        <v>2501378</v>
      </c>
      <c r="C32" s="70">
        <f>B32/'- 3 -'!D32*100</f>
        <v>8.2456944513807464</v>
      </c>
      <c r="D32" s="20">
        <f>B32/'- 7 -'!C32</f>
        <v>1099.0237258347979</v>
      </c>
      <c r="E32" s="20">
        <v>0</v>
      </c>
      <c r="F32" s="70">
        <f>E32/'- 3 -'!D32*100</f>
        <v>0</v>
      </c>
      <c r="G32" s="20" t="str">
        <f>IF('- 7 -'!B32=0,"",E32/'- 7 -'!B32)</f>
        <v/>
      </c>
    </row>
    <row r="33" spans="1:7" ht="14.1" customHeight="1" x14ac:dyDescent="0.2">
      <c r="A33" s="284" t="s">
        <v>131</v>
      </c>
      <c r="B33" s="285">
        <v>2922654</v>
      </c>
      <c r="C33" s="291">
        <f>B33/'- 3 -'!D33*100</f>
        <v>10.411952070280412</v>
      </c>
      <c r="D33" s="285">
        <f>B33/'- 7 -'!C33</f>
        <v>1423.4628872004678</v>
      </c>
      <c r="E33" s="285">
        <v>0</v>
      </c>
      <c r="F33" s="291">
        <f>E33/'- 3 -'!D33*100</f>
        <v>0</v>
      </c>
      <c r="G33" s="285" t="str">
        <f>IF('- 7 -'!B33=0,"",E33/'- 7 -'!B33)</f>
        <v/>
      </c>
    </row>
    <row r="34" spans="1:7" ht="14.1" customHeight="1" x14ac:dyDescent="0.2">
      <c r="A34" s="19" t="s">
        <v>132</v>
      </c>
      <c r="B34" s="20">
        <v>2676230</v>
      </c>
      <c r="C34" s="70">
        <f>B34/'- 3 -'!D34*100</f>
        <v>8.7913186028549752</v>
      </c>
      <c r="D34" s="20">
        <f>B34/'- 7 -'!C34</f>
        <v>1203.4490511736669</v>
      </c>
      <c r="E34" s="20">
        <v>338760</v>
      </c>
      <c r="F34" s="70">
        <f>E34/'- 3 -'!D34*100</f>
        <v>1.1128143283287131</v>
      </c>
      <c r="G34" s="20">
        <f>IF('- 7 -'!B34=0,"",E34/'- 7 -'!B34)</f>
        <v>13171.073094867808</v>
      </c>
    </row>
    <row r="35" spans="1:7" ht="14.1" customHeight="1" x14ac:dyDescent="0.2">
      <c r="A35" s="284" t="s">
        <v>133</v>
      </c>
      <c r="B35" s="285">
        <v>14623117</v>
      </c>
      <c r="C35" s="291">
        <f>B35/'- 3 -'!D35*100</f>
        <v>7.6331211311665701</v>
      </c>
      <c r="D35" s="285">
        <f>B35/'- 7 -'!C35</f>
        <v>901.85432791637118</v>
      </c>
      <c r="E35" s="285">
        <v>3744095</v>
      </c>
      <c r="F35" s="291">
        <f>E35/'- 3 -'!D35*100</f>
        <v>1.9543802228755403</v>
      </c>
      <c r="G35" s="285">
        <f>IF('- 7 -'!B35=0,"",E35/'- 7 -'!B35)</f>
        <v>5868.4874608150467</v>
      </c>
    </row>
    <row r="36" spans="1:7" ht="14.1" customHeight="1" x14ac:dyDescent="0.2">
      <c r="A36" s="19" t="s">
        <v>134</v>
      </c>
      <c r="B36" s="20">
        <v>2073076</v>
      </c>
      <c r="C36" s="70">
        <f>B36/'- 3 -'!D36*100</f>
        <v>8.766398918605173</v>
      </c>
      <c r="D36" s="20">
        <f>B36/'- 7 -'!C36</f>
        <v>1207.7343431401107</v>
      </c>
      <c r="E36" s="20">
        <v>133088</v>
      </c>
      <c r="F36" s="70">
        <f>E36/'- 3 -'!D36*100</f>
        <v>0.56278809811088704</v>
      </c>
      <c r="G36" s="20">
        <f>IF('- 7 -'!B36=0,"",E36/'- 7 -'!B36)</f>
        <v>13720.412371134022</v>
      </c>
    </row>
    <row r="37" spans="1:7" ht="14.1" customHeight="1" x14ac:dyDescent="0.2">
      <c r="A37" s="284" t="s">
        <v>135</v>
      </c>
      <c r="B37" s="285">
        <v>4845166</v>
      </c>
      <c r="C37" s="291">
        <f>B37/'- 3 -'!D37*100</f>
        <v>8.8287586897200701</v>
      </c>
      <c r="D37" s="285">
        <f>B37/'- 7 -'!C37</f>
        <v>1132.7362416421192</v>
      </c>
      <c r="E37" s="285">
        <v>0</v>
      </c>
      <c r="F37" s="291">
        <f>E37/'- 3 -'!D37*100</f>
        <v>0</v>
      </c>
      <c r="G37" s="285" t="str">
        <f>IF('- 7 -'!B37=0,"",E37/'- 7 -'!B37)</f>
        <v/>
      </c>
    </row>
    <row r="38" spans="1:7" ht="14.1" customHeight="1" x14ac:dyDescent="0.2">
      <c r="A38" s="19" t="s">
        <v>136</v>
      </c>
      <c r="B38" s="20">
        <v>10882863</v>
      </c>
      <c r="C38" s="70">
        <f>B38/'- 3 -'!D38*100</f>
        <v>7.3790604701649638</v>
      </c>
      <c r="D38" s="20">
        <f>B38/'- 7 -'!C38</f>
        <v>949.4733030884662</v>
      </c>
      <c r="E38" s="20">
        <v>1435870</v>
      </c>
      <c r="F38" s="70">
        <f>E38/'- 3 -'!D38*100</f>
        <v>0.97358310559415906</v>
      </c>
      <c r="G38" s="20">
        <f>IF('- 7 -'!B38=0,"",E38/'- 7 -'!B38)</f>
        <v>7314.6714212939378</v>
      </c>
    </row>
    <row r="39" spans="1:7" ht="14.1" customHeight="1" x14ac:dyDescent="0.2">
      <c r="A39" s="284" t="s">
        <v>137</v>
      </c>
      <c r="B39" s="285">
        <v>1494390</v>
      </c>
      <c r="C39" s="291">
        <f>B39/'- 3 -'!D39*100</f>
        <v>6.8695830534195483</v>
      </c>
      <c r="D39" s="285">
        <f>B39/'- 7 -'!C39</f>
        <v>998.25651302605206</v>
      </c>
      <c r="E39" s="285">
        <v>0</v>
      </c>
      <c r="F39" s="291">
        <f>E39/'- 3 -'!D39*100</f>
        <v>0</v>
      </c>
      <c r="G39" s="285" t="str">
        <f>IF('- 7 -'!B39=0,"",E39/'- 7 -'!B39)</f>
        <v/>
      </c>
    </row>
    <row r="40" spans="1:7" ht="14.1" customHeight="1" x14ac:dyDescent="0.2">
      <c r="A40" s="19" t="s">
        <v>138</v>
      </c>
      <c r="B40" s="20">
        <v>9043757</v>
      </c>
      <c r="C40" s="70">
        <f>B40/'- 3 -'!D40*100</f>
        <v>8.4972539856024802</v>
      </c>
      <c r="D40" s="20">
        <f>B40/'- 7 -'!C40</f>
        <v>1108.29404649715</v>
      </c>
      <c r="E40" s="20">
        <v>1725442</v>
      </c>
      <c r="F40" s="70">
        <f>E40/'- 3 -'!D40*100</f>
        <v>1.6211756807957043</v>
      </c>
      <c r="G40" s="20">
        <f>IF('- 7 -'!B40=0,"",E40/'- 7 -'!B40)</f>
        <v>7531.3924050632913</v>
      </c>
    </row>
    <row r="41" spans="1:7" ht="14.1" customHeight="1" x14ac:dyDescent="0.2">
      <c r="A41" s="284" t="s">
        <v>139</v>
      </c>
      <c r="B41" s="285">
        <v>4288006</v>
      </c>
      <c r="C41" s="291">
        <f>B41/'- 3 -'!D41*100</f>
        <v>6.6535548786083272</v>
      </c>
      <c r="D41" s="285">
        <f>B41/'- 7 -'!C41</f>
        <v>953.31391729657628</v>
      </c>
      <c r="E41" s="285">
        <v>0</v>
      </c>
      <c r="F41" s="291">
        <f>E41/'- 3 -'!D41*100</f>
        <v>0</v>
      </c>
      <c r="G41" s="285" t="str">
        <f>IF('- 7 -'!B41=0,"",E41/'- 7 -'!B41)</f>
        <v/>
      </c>
    </row>
    <row r="42" spans="1:7" ht="14.1" customHeight="1" x14ac:dyDescent="0.2">
      <c r="A42" s="19" t="s">
        <v>140</v>
      </c>
      <c r="B42" s="20">
        <v>1787645</v>
      </c>
      <c r="C42" s="70">
        <f>B42/'- 3 -'!D42*100</f>
        <v>8.7461289592960529</v>
      </c>
      <c r="D42" s="20">
        <f>B42/'- 7 -'!C42</f>
        <v>1304.755127362966</v>
      </c>
      <c r="E42" s="20">
        <v>1096855</v>
      </c>
      <c r="F42" s="70">
        <f>E42/'- 3 -'!D42*100</f>
        <v>5.3664095945496291</v>
      </c>
      <c r="G42" s="20">
        <f>IF('- 7 -'!B42=0,"",E42/'- 7 -'!B42)</f>
        <v>7150.2933507170792</v>
      </c>
    </row>
    <row r="43" spans="1:7" ht="14.1" customHeight="1" x14ac:dyDescent="0.2">
      <c r="A43" s="284" t="s">
        <v>141</v>
      </c>
      <c r="B43" s="285">
        <v>807026</v>
      </c>
      <c r="C43" s="291">
        <f>B43/'- 3 -'!D43*100</f>
        <v>6.1832264660536094</v>
      </c>
      <c r="D43" s="285">
        <f>B43/'- 7 -'!C43</f>
        <v>805.0134663341646</v>
      </c>
      <c r="E43" s="285">
        <v>111011</v>
      </c>
      <c r="F43" s="291">
        <f>E43/'- 3 -'!D43*100</f>
        <v>0.85053784292337209</v>
      </c>
      <c r="G43" s="285">
        <f>IF('- 7 -'!B43=0,"",E43/'- 7 -'!B43)</f>
        <v>9653.1304347826081</v>
      </c>
    </row>
    <row r="44" spans="1:7" ht="14.1" customHeight="1" x14ac:dyDescent="0.2">
      <c r="A44" s="19" t="s">
        <v>142</v>
      </c>
      <c r="B44" s="20">
        <v>710383</v>
      </c>
      <c r="C44" s="70">
        <f>B44/'- 3 -'!D44*100</f>
        <v>6.6795609851271838</v>
      </c>
      <c r="D44" s="20">
        <f>B44/'- 7 -'!C44</f>
        <v>1026.5650289017342</v>
      </c>
      <c r="E44" s="20">
        <v>0</v>
      </c>
      <c r="F44" s="70">
        <f>E44/'- 3 -'!D44*100</f>
        <v>0</v>
      </c>
      <c r="G44" s="20" t="str">
        <f>IF('- 7 -'!B44=0,"",E44/'- 7 -'!B44)</f>
        <v/>
      </c>
    </row>
    <row r="45" spans="1:7" ht="14.1" customHeight="1" x14ac:dyDescent="0.2">
      <c r="A45" s="284" t="s">
        <v>143</v>
      </c>
      <c r="B45" s="285">
        <v>1471697</v>
      </c>
      <c r="C45" s="291">
        <f>B45/'- 3 -'!D45*100</f>
        <v>6.9562861023216609</v>
      </c>
      <c r="D45" s="285">
        <f>B45/'- 7 -'!C45</f>
        <v>768.51018276762397</v>
      </c>
      <c r="E45" s="285">
        <v>384522</v>
      </c>
      <c r="F45" s="291">
        <f>E45/'- 3 -'!D45*100</f>
        <v>1.81752428973962</v>
      </c>
      <c r="G45" s="285">
        <f>IF('- 7 -'!B45=0,"",E45/'- 7 -'!B45)</f>
        <v>8010.875</v>
      </c>
    </row>
    <row r="46" spans="1:7" ht="14.1" customHeight="1" x14ac:dyDescent="0.2">
      <c r="A46" s="19" t="s">
        <v>144</v>
      </c>
      <c r="B46" s="20">
        <v>30243814</v>
      </c>
      <c r="C46" s="70">
        <f>B46/'- 3 -'!D46*100</f>
        <v>7.3159058791357605</v>
      </c>
      <c r="D46" s="20">
        <f>B46/'- 7 -'!C46</f>
        <v>1023.8361933262694</v>
      </c>
      <c r="E46" s="20">
        <v>5082017</v>
      </c>
      <c r="F46" s="70">
        <f>E46/'- 3 -'!D46*100</f>
        <v>1.2293276915460423</v>
      </c>
      <c r="G46" s="20">
        <f>IF('- 7 -'!B46=0,"",E46/'- 7 -'!B46)</f>
        <v>7280.8266475644696</v>
      </c>
    </row>
    <row r="47" spans="1:7" ht="5.0999999999999996" customHeight="1" x14ac:dyDescent="0.2">
      <c r="A47" s="21"/>
      <c r="B47" s="22"/>
      <c r="C47"/>
      <c r="D47" s="22"/>
      <c r="E47" s="22"/>
      <c r="F47"/>
      <c r="G47" s="22"/>
    </row>
    <row r="48" spans="1:7" ht="14.1" customHeight="1" x14ac:dyDescent="0.2">
      <c r="A48" s="286" t="s">
        <v>145</v>
      </c>
      <c r="B48" s="287">
        <f>SUM(B11:B46)</f>
        <v>183614698</v>
      </c>
      <c r="C48" s="294">
        <f>B48/'- 3 -'!D48*100</f>
        <v>7.6133222343021334</v>
      </c>
      <c r="D48" s="287">
        <f>B48/'- 7 -'!C48</f>
        <v>1018.81035004043</v>
      </c>
      <c r="E48" s="287">
        <f>SUM(E11:E46)</f>
        <v>30208568</v>
      </c>
      <c r="F48" s="294">
        <f>E48/'- 3 -'!D48*100</f>
        <v>1.2525552960952393</v>
      </c>
      <c r="G48" s="287">
        <f>E48/'- 7 -'!B48</f>
        <v>7660.3249389503253</v>
      </c>
    </row>
    <row r="49" spans="1:7" ht="5.0999999999999996" customHeight="1" x14ac:dyDescent="0.2">
      <c r="A49" s="21" t="s">
        <v>7</v>
      </c>
      <c r="B49" s="22"/>
      <c r="C49"/>
      <c r="D49" s="22"/>
      <c r="E49" s="22"/>
      <c r="F49"/>
    </row>
    <row r="50" spans="1:7" ht="14.1" customHeight="1" x14ac:dyDescent="0.2">
      <c r="A50" s="19" t="s">
        <v>146</v>
      </c>
      <c r="B50" s="20">
        <v>204397</v>
      </c>
      <c r="C50" s="70">
        <f>B50/'- 3 -'!D50*100</f>
        <v>6.4360466727291508</v>
      </c>
      <c r="D50" s="20">
        <f>B50/'- 7 -'!C50</f>
        <v>1075.7736842105264</v>
      </c>
      <c r="E50" s="20">
        <v>0</v>
      </c>
      <c r="F50" s="70">
        <f>E50/'- 3 -'!D50*100</f>
        <v>0</v>
      </c>
      <c r="G50" s="20" t="str">
        <f>IF('- 7 -'!B50=0,"",E50/'- 7 -'!B50)</f>
        <v/>
      </c>
    </row>
    <row r="51" spans="1:7" ht="14.1" customHeight="1" x14ac:dyDescent="0.2">
      <c r="A51" s="284" t="s">
        <v>599</v>
      </c>
      <c r="B51" s="285">
        <v>1603701</v>
      </c>
      <c r="C51" s="291">
        <f>B51/'- 3 -'!D51*100</f>
        <v>5.3152291511285714</v>
      </c>
      <c r="D51" s="285">
        <f>B51/'- 7 -'!C51</f>
        <v>1299.5956239870341</v>
      </c>
      <c r="E51" s="285">
        <v>4435235</v>
      </c>
      <c r="F51" s="291">
        <f>E51/'- 3 -'!D51*100</f>
        <v>14.699928704980373</v>
      </c>
      <c r="G51" s="285">
        <f>IF('- 7 -'!B51=0,"",E51/'- 7 -'!B51)</f>
        <v>3928.4632418069086</v>
      </c>
    </row>
    <row r="52" spans="1:7" ht="50.1" customHeight="1" x14ac:dyDescent="0.2">
      <c r="B52" s="85"/>
      <c r="C52" s="85"/>
      <c r="D52" s="85"/>
      <c r="E52" s="85"/>
      <c r="F52" s="85"/>
      <c r="G52" s="85"/>
    </row>
  </sheetData>
  <mergeCells count="4">
    <mergeCell ref="D8:D9"/>
    <mergeCell ref="G8:G9"/>
    <mergeCell ref="B7:D7"/>
    <mergeCell ref="E6:G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3"/>
  <sheetViews>
    <sheetView showGridLines="0" showZeros="0" workbookViewId="0"/>
  </sheetViews>
  <sheetFormatPr defaultColWidth="15.83203125" defaultRowHeight="12" x14ac:dyDescent="0.2"/>
  <cols>
    <col min="1" max="1" width="32.83203125" style="2" customWidth="1"/>
    <col min="2" max="2" width="16.83203125" style="2" customWidth="1"/>
    <col min="3" max="3" width="7.83203125" style="2" customWidth="1"/>
    <col min="4" max="4" width="9.83203125" style="2" customWidth="1"/>
    <col min="5" max="5" width="14.83203125" style="2" customWidth="1"/>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x14ac:dyDescent="0.2">
      <c r="A1" s="7"/>
      <c r="B1" s="7"/>
      <c r="C1" s="7"/>
      <c r="D1" s="7"/>
      <c r="E1" s="7"/>
      <c r="F1" s="7"/>
      <c r="G1" s="7"/>
      <c r="H1" s="89"/>
      <c r="I1" s="89"/>
      <c r="J1" s="89"/>
    </row>
    <row r="2" spans="1:10" ht="15.95" customHeight="1" x14ac:dyDescent="0.2">
      <c r="A2" s="134"/>
      <c r="B2" s="90" t="s">
        <v>263</v>
      </c>
      <c r="C2" s="91"/>
      <c r="D2" s="91"/>
      <c r="E2" s="169"/>
      <c r="F2" s="169"/>
      <c r="G2" s="169"/>
      <c r="H2" s="169"/>
      <c r="I2" s="63"/>
      <c r="J2" s="395" t="s">
        <v>397</v>
      </c>
    </row>
    <row r="3" spans="1:10" ht="15.95" customHeight="1" x14ac:dyDescent="0.2">
      <c r="A3" s="541"/>
      <c r="B3" s="74" t="str">
        <f>OPYEAR</f>
        <v>OPERATING FUND 2019/2020 ACTUAL</v>
      </c>
      <c r="C3" s="94"/>
      <c r="D3" s="94"/>
      <c r="E3" s="29"/>
      <c r="F3" s="29"/>
      <c r="G3" s="29"/>
      <c r="H3" s="29"/>
      <c r="I3" s="65"/>
      <c r="J3" s="186"/>
    </row>
    <row r="4" spans="1:10" ht="15.95" customHeight="1" x14ac:dyDescent="0.2">
      <c r="H4" s="89"/>
      <c r="I4" s="89"/>
      <c r="J4" s="89"/>
    </row>
    <row r="5" spans="1:10" ht="15.95" customHeight="1" x14ac:dyDescent="0.2">
      <c r="B5" s="188" t="s">
        <v>13</v>
      </c>
      <c r="C5" s="39"/>
      <c r="D5" s="39"/>
      <c r="E5" s="39"/>
      <c r="F5" s="39"/>
      <c r="G5" s="39"/>
      <c r="H5" s="39"/>
      <c r="I5" s="198"/>
      <c r="J5" s="199"/>
    </row>
    <row r="6" spans="1:10" ht="15.95" customHeight="1" x14ac:dyDescent="0.2">
      <c r="B6" s="324" t="s">
        <v>244</v>
      </c>
      <c r="C6" s="325"/>
      <c r="D6" s="325"/>
      <c r="E6" s="325"/>
      <c r="F6" s="325"/>
      <c r="G6" s="326"/>
      <c r="H6" s="327"/>
      <c r="I6" s="325"/>
      <c r="J6" s="326"/>
    </row>
    <row r="7" spans="1:10" ht="15.95" customHeight="1" x14ac:dyDescent="0.2">
      <c r="B7" s="659" t="s">
        <v>20</v>
      </c>
      <c r="C7" s="660"/>
      <c r="D7" s="661"/>
      <c r="E7" s="659" t="s">
        <v>21</v>
      </c>
      <c r="F7" s="660"/>
      <c r="G7" s="661"/>
      <c r="H7" s="659" t="s">
        <v>22</v>
      </c>
      <c r="I7" s="660"/>
      <c r="J7" s="661"/>
    </row>
    <row r="8" spans="1:10" ht="15.95" customHeight="1" x14ac:dyDescent="0.2">
      <c r="A8" s="67"/>
      <c r="B8" s="200"/>
      <c r="C8" s="191"/>
      <c r="D8" s="602" t="s">
        <v>471</v>
      </c>
      <c r="E8" s="200"/>
      <c r="F8" s="191"/>
      <c r="G8" s="602" t="s">
        <v>471</v>
      </c>
      <c r="H8" s="179"/>
      <c r="I8" s="178"/>
      <c r="J8" s="602" t="s">
        <v>471</v>
      </c>
    </row>
    <row r="9" spans="1:10" ht="15.95" customHeight="1" x14ac:dyDescent="0.2">
      <c r="A9" s="35" t="s">
        <v>42</v>
      </c>
      <c r="B9" s="101" t="s">
        <v>43</v>
      </c>
      <c r="C9" s="101" t="s">
        <v>44</v>
      </c>
      <c r="D9" s="604"/>
      <c r="E9" s="101" t="s">
        <v>43</v>
      </c>
      <c r="F9" s="101" t="s">
        <v>44</v>
      </c>
      <c r="G9" s="604"/>
      <c r="H9" s="180" t="s">
        <v>43</v>
      </c>
      <c r="I9" s="101" t="s">
        <v>44</v>
      </c>
      <c r="J9" s="604"/>
    </row>
    <row r="10" spans="1:10" ht="5.0999999999999996" customHeight="1" x14ac:dyDescent="0.2">
      <c r="A10" s="6"/>
      <c r="B10" s="85"/>
      <c r="C10" s="85"/>
      <c r="D10" s="85"/>
      <c r="E10" s="85"/>
      <c r="F10" s="85"/>
      <c r="G10" s="85"/>
      <c r="H10" s="85"/>
      <c r="I10" s="85"/>
      <c r="J10" s="85"/>
    </row>
    <row r="11" spans="1:10" ht="14.1" customHeight="1" x14ac:dyDescent="0.2">
      <c r="A11" s="284" t="s">
        <v>110</v>
      </c>
      <c r="B11" s="285">
        <v>12101545</v>
      </c>
      <c r="C11" s="291">
        <f>B11/'- 3 -'!D11*100</f>
        <v>57.577825527966453</v>
      </c>
      <c r="D11" s="285">
        <f>B11/'- 6 -'!B11</f>
        <v>6111.8914141414143</v>
      </c>
      <c r="E11" s="285">
        <v>0</v>
      </c>
      <c r="F11" s="291">
        <f>E11/'- 3 -'!D11*100</f>
        <v>0</v>
      </c>
      <c r="G11" s="285" t="str">
        <f>IF('- 6 -'!C11=0,"",E11/'- 6 -'!C11)</f>
        <v/>
      </c>
      <c r="H11" s="285">
        <v>0</v>
      </c>
      <c r="I11" s="291">
        <f>H11/'- 3 -'!D11*100</f>
        <v>0</v>
      </c>
      <c r="J11" s="285" t="str">
        <f>IF('- 6 -'!D11=0,"",H11/'- 6 -'!D11)</f>
        <v/>
      </c>
    </row>
    <row r="12" spans="1:10" ht="14.1" customHeight="1" x14ac:dyDescent="0.2">
      <c r="A12" s="19" t="s">
        <v>111</v>
      </c>
      <c r="B12" s="20">
        <v>11754152</v>
      </c>
      <c r="C12" s="70">
        <f>B12/'- 3 -'!D12*100</f>
        <v>35.036908703176003</v>
      </c>
      <c r="D12" s="20">
        <f>B12/'- 6 -'!B12</f>
        <v>8591.2115542041865</v>
      </c>
      <c r="E12" s="20">
        <v>0</v>
      </c>
      <c r="F12" s="70">
        <f>E12/'- 3 -'!D12*100</f>
        <v>0</v>
      </c>
      <c r="G12" s="20" t="str">
        <f>IF('- 6 -'!C12=0,"",E12/'- 6 -'!C12)</f>
        <v/>
      </c>
      <c r="H12" s="20">
        <v>0</v>
      </c>
      <c r="I12" s="70">
        <f>H12/'- 3 -'!D12*100</f>
        <v>0</v>
      </c>
      <c r="J12" s="20" t="str">
        <f>IF('- 6 -'!D12=0,"",H12/'- 6 -'!D12)</f>
        <v/>
      </c>
    </row>
    <row r="13" spans="1:10" ht="14.1" customHeight="1" x14ac:dyDescent="0.2">
      <c r="A13" s="284" t="s">
        <v>112</v>
      </c>
      <c r="B13" s="285">
        <v>43517525</v>
      </c>
      <c r="C13" s="291">
        <f>B13/'- 3 -'!D13*100</f>
        <v>41.626147735085468</v>
      </c>
      <c r="D13" s="285">
        <f>B13/'- 6 -'!B13</f>
        <v>6703.2540049291438</v>
      </c>
      <c r="E13" s="285">
        <v>0</v>
      </c>
      <c r="F13" s="291">
        <f>E13/'- 3 -'!D13*100</f>
        <v>0</v>
      </c>
      <c r="G13" s="285" t="str">
        <f>IF('- 6 -'!C13=0,"",E13/'- 6 -'!C13)</f>
        <v/>
      </c>
      <c r="H13" s="285">
        <v>2060933</v>
      </c>
      <c r="I13" s="291">
        <f>H13/'- 3 -'!D13*100</f>
        <v>1.9713598493966027</v>
      </c>
      <c r="J13" s="285">
        <f>IF('- 6 -'!D13=0,"",H13/'- 6 -'!D13)</f>
        <v>6198.2947368421055</v>
      </c>
    </row>
    <row r="14" spans="1:10" ht="14.1" customHeight="1" x14ac:dyDescent="0.2">
      <c r="A14" s="19" t="s">
        <v>358</v>
      </c>
      <c r="B14" s="20">
        <v>0</v>
      </c>
      <c r="C14" s="70">
        <f>B14/'- 3 -'!D14*100</f>
        <v>0</v>
      </c>
      <c r="D14" s="20"/>
      <c r="E14" s="20">
        <v>44554691</v>
      </c>
      <c r="F14" s="70">
        <f>E14/'- 3 -'!D14*100</f>
        <v>49.736766713332813</v>
      </c>
      <c r="G14" s="20">
        <f>IF('- 6 -'!C14=0,"",E14/'- 6 -'!C14)</f>
        <v>8079.2592525432028</v>
      </c>
      <c r="H14" s="20">
        <v>0</v>
      </c>
      <c r="I14" s="70">
        <f>H14/'- 3 -'!D14*100</f>
        <v>0</v>
      </c>
      <c r="J14" s="20" t="str">
        <f>IF('- 6 -'!D14=0,"",H14/'- 6 -'!D14)</f>
        <v/>
      </c>
    </row>
    <row r="15" spans="1:10" ht="14.1" customHeight="1" x14ac:dyDescent="0.2">
      <c r="A15" s="284" t="s">
        <v>113</v>
      </c>
      <c r="B15" s="285">
        <v>8939591</v>
      </c>
      <c r="C15" s="291">
        <f>B15/'- 3 -'!D15*100</f>
        <v>45.321635084727959</v>
      </c>
      <c r="D15" s="285">
        <f>B15/'- 6 -'!B15</f>
        <v>6227.5102751654476</v>
      </c>
      <c r="E15" s="285">
        <v>0</v>
      </c>
      <c r="F15" s="291">
        <f>E15/'- 3 -'!D15*100</f>
        <v>0</v>
      </c>
      <c r="G15" s="285" t="str">
        <f>IF('- 6 -'!C15=0,"",E15/'- 6 -'!C15)</f>
        <v/>
      </c>
      <c r="H15" s="285">
        <v>0</v>
      </c>
      <c r="I15" s="291">
        <f>H15/'- 3 -'!D15*100</f>
        <v>0</v>
      </c>
      <c r="J15" s="285" t="str">
        <f>IF('- 6 -'!D15=0,"",H15/'- 6 -'!D15)</f>
        <v/>
      </c>
    </row>
    <row r="16" spans="1:10" ht="14.1" customHeight="1" x14ac:dyDescent="0.2">
      <c r="A16" s="19" t="s">
        <v>114</v>
      </c>
      <c r="B16" s="20">
        <v>4188557</v>
      </c>
      <c r="C16" s="70">
        <f>B16/'- 3 -'!D16*100</f>
        <v>29.141124611555519</v>
      </c>
      <c r="D16" s="20">
        <f>B16/'- 6 -'!B16</f>
        <v>7719.4194618503498</v>
      </c>
      <c r="E16" s="20">
        <v>0</v>
      </c>
      <c r="F16" s="70">
        <f>E16/'- 3 -'!D16*100</f>
        <v>0</v>
      </c>
      <c r="G16" s="20" t="str">
        <f>IF('- 6 -'!C16=0,"",E16/'- 6 -'!C16)</f>
        <v/>
      </c>
      <c r="H16" s="20">
        <v>0</v>
      </c>
      <c r="I16" s="70">
        <f>H16/'- 3 -'!D16*100</f>
        <v>0</v>
      </c>
      <c r="J16" s="20" t="str">
        <f>IF('- 6 -'!D16=0,"",H16/'- 6 -'!D16)</f>
        <v/>
      </c>
    </row>
    <row r="17" spans="1:10" ht="14.1" customHeight="1" x14ac:dyDescent="0.2">
      <c r="A17" s="284" t="s">
        <v>115</v>
      </c>
      <c r="B17" s="285">
        <v>9440832</v>
      </c>
      <c r="C17" s="291">
        <f>B17/'- 3 -'!D17*100</f>
        <v>52.448279942467536</v>
      </c>
      <c r="D17" s="285">
        <f>B17/'- 6 -'!B17</f>
        <v>6702.7561235356761</v>
      </c>
      <c r="E17" s="285">
        <v>0</v>
      </c>
      <c r="F17" s="291">
        <f>E17/'- 3 -'!D17*100</f>
        <v>0</v>
      </c>
      <c r="G17" s="285" t="str">
        <f>IF('- 6 -'!C17=0,"",E17/'- 6 -'!C17)</f>
        <v/>
      </c>
      <c r="H17" s="285">
        <v>0</v>
      </c>
      <c r="I17" s="291">
        <f>H17/'- 3 -'!D17*100</f>
        <v>0</v>
      </c>
      <c r="J17" s="285" t="str">
        <f>IF('- 6 -'!D17=0,"",H17/'- 6 -'!D17)</f>
        <v/>
      </c>
    </row>
    <row r="18" spans="1:10" ht="14.1" customHeight="1" x14ac:dyDescent="0.2">
      <c r="A18" s="19" t="s">
        <v>116</v>
      </c>
      <c r="B18" s="20">
        <v>50232680</v>
      </c>
      <c r="C18" s="70">
        <f>B18/'- 3 -'!D18*100</f>
        <v>37.717109872623958</v>
      </c>
      <c r="D18" s="20">
        <f>B18/'- 6 -'!B18</f>
        <v>8490.2695850587334</v>
      </c>
      <c r="E18" s="20">
        <v>0</v>
      </c>
      <c r="F18" s="70">
        <f>E18/'- 3 -'!D18*100</f>
        <v>0</v>
      </c>
      <c r="G18" s="20" t="str">
        <f>IF('- 6 -'!C18=0,"",E18/'- 6 -'!C18)</f>
        <v/>
      </c>
      <c r="H18" s="20">
        <v>0</v>
      </c>
      <c r="I18" s="70">
        <f>H18/'- 3 -'!D18*100</f>
        <v>0</v>
      </c>
      <c r="J18" s="20" t="str">
        <f>IF('- 6 -'!D18=0,"",H18/'- 6 -'!D18)</f>
        <v/>
      </c>
    </row>
    <row r="19" spans="1:10" ht="14.1" customHeight="1" x14ac:dyDescent="0.2">
      <c r="A19" s="284" t="s">
        <v>117</v>
      </c>
      <c r="B19" s="285">
        <v>24573615</v>
      </c>
      <c r="C19" s="291">
        <f>B19/'- 3 -'!D19*100</f>
        <v>49.415066578967327</v>
      </c>
      <c r="D19" s="285">
        <f>B19/'- 6 -'!B19</f>
        <v>5724.2458477951959</v>
      </c>
      <c r="E19" s="285">
        <v>0</v>
      </c>
      <c r="F19" s="291">
        <f>E19/'- 3 -'!D19*100</f>
        <v>0</v>
      </c>
      <c r="G19" s="285" t="str">
        <f>IF('- 6 -'!C19=0,"",E19/'- 6 -'!C19)</f>
        <v/>
      </c>
      <c r="H19" s="285">
        <v>0</v>
      </c>
      <c r="I19" s="291">
        <f>H19/'- 3 -'!D19*100</f>
        <v>0</v>
      </c>
      <c r="J19" s="285" t="str">
        <f>IF('- 6 -'!D19=0,"",H19/'- 6 -'!D19)</f>
        <v/>
      </c>
    </row>
    <row r="20" spans="1:10" ht="14.1" customHeight="1" x14ac:dyDescent="0.2">
      <c r="A20" s="19" t="s">
        <v>118</v>
      </c>
      <c r="B20" s="20">
        <v>46400397</v>
      </c>
      <c r="C20" s="70">
        <f>B20/'- 3 -'!D20*100</f>
        <v>52.419282846630097</v>
      </c>
      <c r="D20" s="20">
        <f>B20/'- 6 -'!B20</f>
        <v>6134.7784755734783</v>
      </c>
      <c r="E20" s="20">
        <v>0</v>
      </c>
      <c r="F20" s="70">
        <f>E20/'- 3 -'!D20*100</f>
        <v>0</v>
      </c>
      <c r="G20" s="20" t="str">
        <f>IF('- 6 -'!C20=0,"",E20/'- 6 -'!C20)</f>
        <v/>
      </c>
      <c r="H20" s="20">
        <v>0</v>
      </c>
      <c r="I20" s="70">
        <f>H20/'- 3 -'!D20*100</f>
        <v>0</v>
      </c>
      <c r="J20" s="20" t="str">
        <f>IF('- 6 -'!D20=0,"",H20/'- 6 -'!D20)</f>
        <v/>
      </c>
    </row>
    <row r="21" spans="1:10" ht="14.1" customHeight="1" x14ac:dyDescent="0.2">
      <c r="A21" s="284" t="s">
        <v>119</v>
      </c>
      <c r="B21" s="285">
        <v>14477302</v>
      </c>
      <c r="C21" s="291">
        <f>B21/'- 3 -'!D21*100</f>
        <v>38.494056292839929</v>
      </c>
      <c r="D21" s="285">
        <f>B21/'- 6 -'!B21</f>
        <v>7024.4065987384765</v>
      </c>
      <c r="E21" s="285">
        <v>0</v>
      </c>
      <c r="F21" s="291">
        <f>E21/'- 3 -'!D21*100</f>
        <v>0</v>
      </c>
      <c r="G21" s="285" t="str">
        <f>IF('- 6 -'!C21=0,"",E21/'- 6 -'!C21)</f>
        <v/>
      </c>
      <c r="H21" s="285">
        <v>0</v>
      </c>
      <c r="I21" s="291">
        <f>H21/'- 3 -'!D21*100</f>
        <v>0</v>
      </c>
      <c r="J21" s="285" t="str">
        <f>IF('- 6 -'!D21=0,"",H21/'- 6 -'!D21)</f>
        <v/>
      </c>
    </row>
    <row r="22" spans="1:10" ht="14.1" customHeight="1" x14ac:dyDescent="0.2">
      <c r="A22" s="19" t="s">
        <v>120</v>
      </c>
      <c r="B22" s="20">
        <v>4709974</v>
      </c>
      <c r="C22" s="70">
        <f>B22/'- 3 -'!D22*100</f>
        <v>22.816041092740356</v>
      </c>
      <c r="D22" s="20">
        <f>B22/'- 6 -'!B22</f>
        <v>5346.1679909194099</v>
      </c>
      <c r="E22" s="20">
        <v>0</v>
      </c>
      <c r="F22" s="70">
        <f>E22/'- 3 -'!D22*100</f>
        <v>0</v>
      </c>
      <c r="G22" s="20" t="str">
        <f>IF('- 6 -'!C22=0,"",E22/'- 6 -'!C22)</f>
        <v/>
      </c>
      <c r="H22" s="20">
        <v>0</v>
      </c>
      <c r="I22" s="70">
        <f>H22/'- 3 -'!D22*100</f>
        <v>0</v>
      </c>
      <c r="J22" s="20" t="str">
        <f>IF('- 6 -'!D22=0,"",H22/'- 6 -'!D22)</f>
        <v/>
      </c>
    </row>
    <row r="23" spans="1:10" ht="14.1" customHeight="1" x14ac:dyDescent="0.2">
      <c r="A23" s="284" t="s">
        <v>121</v>
      </c>
      <c r="B23" s="285">
        <v>7166199</v>
      </c>
      <c r="C23" s="291">
        <f>B23/'- 3 -'!D23*100</f>
        <v>46.173790072176274</v>
      </c>
      <c r="D23" s="285">
        <f>B23/'- 6 -'!B23</f>
        <v>7740.5476344782892</v>
      </c>
      <c r="E23" s="285">
        <v>0</v>
      </c>
      <c r="F23" s="291">
        <f>E23/'- 3 -'!D23*100</f>
        <v>0</v>
      </c>
      <c r="G23" s="285" t="str">
        <f>IF('- 6 -'!C23=0,"",E23/'- 6 -'!C23)</f>
        <v/>
      </c>
      <c r="H23" s="285">
        <v>0</v>
      </c>
      <c r="I23" s="291">
        <f>H23/'- 3 -'!D23*100</f>
        <v>0</v>
      </c>
      <c r="J23" s="285" t="str">
        <f>IF('- 6 -'!D23=0,"",H23/'- 6 -'!D23)</f>
        <v/>
      </c>
    </row>
    <row r="24" spans="1:10" ht="14.1" customHeight="1" x14ac:dyDescent="0.2">
      <c r="A24" s="19" t="s">
        <v>122</v>
      </c>
      <c r="B24" s="20">
        <v>21294200</v>
      </c>
      <c r="C24" s="70">
        <f>B24/'- 3 -'!D24*100</f>
        <v>36.436337244479198</v>
      </c>
      <c r="D24" s="20">
        <f>B24/'- 6 -'!B24</f>
        <v>8149.3302717183315</v>
      </c>
      <c r="E24" s="20">
        <v>0</v>
      </c>
      <c r="F24" s="70">
        <f>E24/'- 3 -'!D24*100</f>
        <v>0</v>
      </c>
      <c r="G24" s="20" t="str">
        <f>IF('- 6 -'!C24=0,"",E24/'- 6 -'!C24)</f>
        <v/>
      </c>
      <c r="H24" s="20">
        <v>1615976</v>
      </c>
      <c r="I24" s="70">
        <f>H24/'- 3 -'!D24*100</f>
        <v>2.7650837559046364</v>
      </c>
      <c r="J24" s="20">
        <f>IF('- 6 -'!D24=0,"",H24/'- 6 -'!D24)</f>
        <v>7166.1906873614189</v>
      </c>
    </row>
    <row r="25" spans="1:10" ht="14.1" customHeight="1" x14ac:dyDescent="0.2">
      <c r="A25" s="284" t="s">
        <v>123</v>
      </c>
      <c r="B25" s="285">
        <v>60537665</v>
      </c>
      <c r="C25" s="291">
        <f>B25/'- 3 -'!D25*100</f>
        <v>31.191657332939123</v>
      </c>
      <c r="D25" s="285">
        <f>B25/'- 6 -'!B25</f>
        <v>6301.2152217584553</v>
      </c>
      <c r="E25" s="285">
        <v>0</v>
      </c>
      <c r="F25" s="291">
        <f>E25/'- 3 -'!D25*100</f>
        <v>0</v>
      </c>
      <c r="G25" s="285" t="str">
        <f>IF('- 6 -'!C25=0,"",E25/'- 6 -'!C25)</f>
        <v/>
      </c>
      <c r="H25" s="285">
        <v>26399837</v>
      </c>
      <c r="I25" s="291">
        <f>H25/'- 3 -'!D25*100</f>
        <v>13.602352673322429</v>
      </c>
      <c r="J25" s="285">
        <f>IF('- 6 -'!D25=0,"",H25/'- 6 -'!D25)</f>
        <v>5671.2861439312564</v>
      </c>
    </row>
    <row r="26" spans="1:10" ht="14.1" customHeight="1" x14ac:dyDescent="0.2">
      <c r="A26" s="19" t="s">
        <v>124</v>
      </c>
      <c r="B26" s="20">
        <v>15474927</v>
      </c>
      <c r="C26" s="70">
        <f>B26/'- 3 -'!D26*100</f>
        <v>37.827410616584814</v>
      </c>
      <c r="D26" s="20">
        <f>B26/'- 6 -'!B26</f>
        <v>6789.3629156447842</v>
      </c>
      <c r="E26" s="20">
        <v>0</v>
      </c>
      <c r="F26" s="70">
        <f>E26/'- 3 -'!D26*100</f>
        <v>0</v>
      </c>
      <c r="G26" s="20" t="str">
        <f>IF('- 6 -'!C26=0,"",E26/'- 6 -'!C26)</f>
        <v/>
      </c>
      <c r="H26" s="20">
        <v>898222</v>
      </c>
      <c r="I26" s="70">
        <f>H26/'- 3 -'!D26*100</f>
        <v>2.1956428239596892</v>
      </c>
      <c r="J26" s="20">
        <f>IF('- 6 -'!D26=0,"",H26/'- 6 -'!D26)</f>
        <v>6028.3355704697988</v>
      </c>
    </row>
    <row r="27" spans="1:10" ht="14.1" customHeight="1" x14ac:dyDescent="0.2">
      <c r="A27" s="284" t="s">
        <v>125</v>
      </c>
      <c r="B27" s="285">
        <v>17889190</v>
      </c>
      <c r="C27" s="291">
        <f>B27/'- 3 -'!D27*100</f>
        <v>42.961008705797809</v>
      </c>
      <c r="D27" s="285">
        <f>B27/'- 6 -'!B27</f>
        <v>7146.2429592937333</v>
      </c>
      <c r="E27" s="285">
        <v>0</v>
      </c>
      <c r="F27" s="291">
        <f>E27/'- 3 -'!D27*100</f>
        <v>0</v>
      </c>
      <c r="G27" s="285" t="str">
        <f>IF('- 6 -'!C27=0,"",E27/'- 6 -'!C27)</f>
        <v/>
      </c>
      <c r="H27" s="285">
        <v>0</v>
      </c>
      <c r="I27" s="291">
        <f>H27/'- 3 -'!D27*100</f>
        <v>0</v>
      </c>
      <c r="J27" s="285" t="str">
        <f>IF('- 6 -'!D27=0,"",H27/'- 6 -'!D27)</f>
        <v/>
      </c>
    </row>
    <row r="28" spans="1:10" ht="14.1" customHeight="1" x14ac:dyDescent="0.2">
      <c r="A28" s="19" t="s">
        <v>126</v>
      </c>
      <c r="B28" s="20">
        <v>15313332</v>
      </c>
      <c r="C28" s="70">
        <f>B28/'- 3 -'!D28*100</f>
        <v>54.238263778480047</v>
      </c>
      <c r="D28" s="20">
        <f>B28/'- 6 -'!B28</f>
        <v>7702.8832997987929</v>
      </c>
      <c r="E28" s="20">
        <v>0</v>
      </c>
      <c r="F28" s="70">
        <f>E28/'- 3 -'!D28*100</f>
        <v>0</v>
      </c>
      <c r="G28" s="20" t="str">
        <f>IF('- 6 -'!C28=0,"",E28/'- 6 -'!C28)</f>
        <v/>
      </c>
      <c r="H28" s="20">
        <v>0</v>
      </c>
      <c r="I28" s="70">
        <f>H28/'- 3 -'!D28*100</f>
        <v>0</v>
      </c>
      <c r="J28" s="20" t="str">
        <f>IF('- 6 -'!D28=0,"",H28/'- 6 -'!D28)</f>
        <v/>
      </c>
    </row>
    <row r="29" spans="1:10" ht="14.1" customHeight="1" x14ac:dyDescent="0.2">
      <c r="A29" s="284" t="s">
        <v>127</v>
      </c>
      <c r="B29" s="285">
        <v>51800655</v>
      </c>
      <c r="C29" s="291">
        <f>B29/'- 3 -'!D29*100</f>
        <v>30.615209344390792</v>
      </c>
      <c r="D29" s="285">
        <f>B29/'- 6 -'!B29</f>
        <v>6114.6969249837693</v>
      </c>
      <c r="E29" s="285">
        <v>0</v>
      </c>
      <c r="F29" s="291">
        <f>E29/'- 3 -'!D29*100</f>
        <v>0</v>
      </c>
      <c r="G29" s="285" t="str">
        <f>IF('- 6 -'!C29=0,"",E29/'- 6 -'!C29)</f>
        <v/>
      </c>
      <c r="H29" s="285">
        <v>7967779</v>
      </c>
      <c r="I29" s="291">
        <f>H29/'- 3 -'!D29*100</f>
        <v>4.7091146259606314</v>
      </c>
      <c r="J29" s="285">
        <f>IF('- 6 -'!D29=0,"",H29/'- 6 -'!D29)</f>
        <v>6068.376999238385</v>
      </c>
    </row>
    <row r="30" spans="1:10" ht="14.1" customHeight="1" x14ac:dyDescent="0.2">
      <c r="A30" s="19" t="s">
        <v>128</v>
      </c>
      <c r="B30" s="20">
        <v>8407385</v>
      </c>
      <c r="C30" s="70">
        <f>B30/'- 3 -'!D30*100</f>
        <v>54.041741171261727</v>
      </c>
      <c r="D30" s="20">
        <f>B30/'- 6 -'!B30</f>
        <v>8198.3276450511948</v>
      </c>
      <c r="E30" s="20">
        <v>0</v>
      </c>
      <c r="F30" s="70">
        <f>E30/'- 3 -'!D30*100</f>
        <v>0</v>
      </c>
      <c r="G30" s="20" t="str">
        <f>IF('- 6 -'!C30=0,"",E30/'- 6 -'!C30)</f>
        <v/>
      </c>
      <c r="H30" s="20">
        <v>0</v>
      </c>
      <c r="I30" s="70">
        <f>H30/'- 3 -'!D30*100</f>
        <v>0</v>
      </c>
      <c r="J30" s="20" t="str">
        <f>IF('- 6 -'!D30=0,"",H30/'- 6 -'!D30)</f>
        <v/>
      </c>
    </row>
    <row r="31" spans="1:10" ht="14.1" customHeight="1" x14ac:dyDescent="0.2">
      <c r="A31" s="284" t="s">
        <v>129</v>
      </c>
      <c r="B31" s="285">
        <v>17080271</v>
      </c>
      <c r="C31" s="291">
        <f>B31/'- 3 -'!D31*100</f>
        <v>42.749227798010196</v>
      </c>
      <c r="D31" s="285">
        <f>B31/'- 6 -'!B31</f>
        <v>7041.9587713873425</v>
      </c>
      <c r="E31" s="285">
        <v>0</v>
      </c>
      <c r="F31" s="291">
        <f>E31/'- 3 -'!D31*100</f>
        <v>0</v>
      </c>
      <c r="G31" s="285" t="str">
        <f>IF('- 6 -'!C31=0,"",E31/'- 6 -'!C31)</f>
        <v/>
      </c>
      <c r="H31" s="285">
        <v>0</v>
      </c>
      <c r="I31" s="291">
        <f>H31/'- 3 -'!D31*100</f>
        <v>0</v>
      </c>
      <c r="J31" s="285" t="str">
        <f>IF('- 6 -'!D31=0,"",H31/'- 6 -'!D31)</f>
        <v/>
      </c>
    </row>
    <row r="32" spans="1:10" ht="14.1" customHeight="1" x14ac:dyDescent="0.2">
      <c r="A32" s="19" t="s">
        <v>130</v>
      </c>
      <c r="B32" s="20">
        <v>13839446</v>
      </c>
      <c r="C32" s="70">
        <f>B32/'- 3 -'!D32*100</f>
        <v>45.621190836564281</v>
      </c>
      <c r="D32" s="20">
        <f>B32/'- 6 -'!B32</f>
        <v>7095.3324788515765</v>
      </c>
      <c r="E32" s="20">
        <v>0</v>
      </c>
      <c r="F32" s="70">
        <f>E32/'- 3 -'!D32*100</f>
        <v>0</v>
      </c>
      <c r="G32" s="20" t="str">
        <f>IF('- 6 -'!C32=0,"",E32/'- 6 -'!C32)</f>
        <v/>
      </c>
      <c r="H32" s="20">
        <v>797204</v>
      </c>
      <c r="I32" s="70">
        <f>H32/'- 3 -'!D32*100</f>
        <v>2.6279517127833287</v>
      </c>
      <c r="J32" s="20">
        <f>IF('- 6 -'!D32=0,"",H32/'- 6 -'!D32)</f>
        <v>5227.5672131147539</v>
      </c>
    </row>
    <row r="33" spans="1:10" ht="14.1" customHeight="1" x14ac:dyDescent="0.2">
      <c r="A33" s="284" t="s">
        <v>131</v>
      </c>
      <c r="B33" s="285">
        <v>11104712</v>
      </c>
      <c r="C33" s="291">
        <f>B33/'- 3 -'!D33*100</f>
        <v>39.560525843383346</v>
      </c>
      <c r="D33" s="285">
        <f>B33/'- 6 -'!B33</f>
        <v>6887.92457511475</v>
      </c>
      <c r="E33" s="285">
        <v>0</v>
      </c>
      <c r="F33" s="291">
        <f>E33/'- 3 -'!D33*100</f>
        <v>0</v>
      </c>
      <c r="G33" s="285" t="str">
        <f>IF('- 6 -'!C33=0,"",E33/'- 6 -'!C33)</f>
        <v/>
      </c>
      <c r="H33" s="285">
        <v>0</v>
      </c>
      <c r="I33" s="291">
        <f>H33/'- 3 -'!D33*100</f>
        <v>0</v>
      </c>
      <c r="J33" s="285" t="str">
        <f>IF('- 6 -'!D33=0,"",H33/'- 6 -'!D33)</f>
        <v/>
      </c>
    </row>
    <row r="34" spans="1:10" ht="14.1" customHeight="1" x14ac:dyDescent="0.2">
      <c r="A34" s="19" t="s">
        <v>132</v>
      </c>
      <c r="B34" s="20">
        <v>10820803</v>
      </c>
      <c r="C34" s="70">
        <f>B34/'- 3 -'!D34*100</f>
        <v>35.54594586852734</v>
      </c>
      <c r="D34" s="20">
        <f>B34/'- 6 -'!B34</f>
        <v>6442.8716880023812</v>
      </c>
      <c r="E34" s="20">
        <v>0</v>
      </c>
      <c r="F34" s="70">
        <f>E34/'- 3 -'!D34*100</f>
        <v>0</v>
      </c>
      <c r="G34" s="20" t="str">
        <f>IF('- 6 -'!C34=0,"",E34/'- 6 -'!C34)</f>
        <v/>
      </c>
      <c r="H34" s="20">
        <v>1943943</v>
      </c>
      <c r="I34" s="70">
        <f>H34/'- 3 -'!D34*100</f>
        <v>6.3857823351467209</v>
      </c>
      <c r="J34" s="20">
        <f>IF('- 6 -'!D34=0,"",H34/'- 6 -'!D34)</f>
        <v>6990.5890391254316</v>
      </c>
    </row>
    <row r="35" spans="1:10" ht="14.1" customHeight="1" x14ac:dyDescent="0.2">
      <c r="A35" s="284" t="s">
        <v>133</v>
      </c>
      <c r="B35" s="285">
        <v>56496230</v>
      </c>
      <c r="C35" s="291">
        <f>B35/'- 3 -'!D35*100</f>
        <v>29.490468211684746</v>
      </c>
      <c r="D35" s="285">
        <f>B35/'- 6 -'!B35</f>
        <v>7523.8021041416969</v>
      </c>
      <c r="E35" s="285">
        <v>0</v>
      </c>
      <c r="F35" s="291">
        <f>E35/'- 3 -'!D35*100</f>
        <v>0</v>
      </c>
      <c r="G35" s="285" t="str">
        <f>IF('- 6 -'!C35=0,"",E35/'- 6 -'!C35)</f>
        <v/>
      </c>
      <c r="H35" s="285">
        <v>7339097</v>
      </c>
      <c r="I35" s="291">
        <f>H35/'- 3 -'!D35*100</f>
        <v>3.8309353877412855</v>
      </c>
      <c r="J35" s="285">
        <f>IF('- 6 -'!D35=0,"",H35/'- 6 -'!D35)</f>
        <v>5452.5237741456167</v>
      </c>
    </row>
    <row r="36" spans="1:10" ht="14.1" customHeight="1" x14ac:dyDescent="0.2">
      <c r="A36" s="19" t="s">
        <v>134</v>
      </c>
      <c r="B36" s="20">
        <v>12240311</v>
      </c>
      <c r="C36" s="70">
        <f>B36/'- 3 -'!D36*100</f>
        <v>51.760499428767204</v>
      </c>
      <c r="D36" s="20">
        <f>B36/'- 6 -'!B36</f>
        <v>7171.4969533630183</v>
      </c>
      <c r="E36" s="20">
        <v>0</v>
      </c>
      <c r="F36" s="70">
        <f>E36/'- 3 -'!D36*100</f>
        <v>0</v>
      </c>
      <c r="G36" s="20" t="str">
        <f>IF('- 6 -'!C36=0,"",E36/'- 6 -'!C36)</f>
        <v/>
      </c>
      <c r="H36" s="20">
        <v>0</v>
      </c>
      <c r="I36" s="70">
        <f>H36/'- 3 -'!D36*100</f>
        <v>0</v>
      </c>
      <c r="J36" s="20" t="str">
        <f>IF('- 6 -'!D36=0,"",H36/'- 6 -'!D36)</f>
        <v/>
      </c>
    </row>
    <row r="37" spans="1:10" ht="14.1" customHeight="1" x14ac:dyDescent="0.2">
      <c r="A37" s="284" t="s">
        <v>135</v>
      </c>
      <c r="B37" s="285">
        <v>13827395</v>
      </c>
      <c r="C37" s="291">
        <f>B37/'- 3 -'!D37*100</f>
        <v>25.195985805737482</v>
      </c>
      <c r="D37" s="285">
        <f>B37/'- 6 -'!B37</f>
        <v>6542.7249929024319</v>
      </c>
      <c r="E37" s="285">
        <v>0</v>
      </c>
      <c r="F37" s="291">
        <f>E37/'- 3 -'!D37*100</f>
        <v>0</v>
      </c>
      <c r="G37" s="285" t="str">
        <f>IF('- 6 -'!C37=0,"",E37/'- 6 -'!C37)</f>
        <v/>
      </c>
      <c r="H37" s="285">
        <v>4394186</v>
      </c>
      <c r="I37" s="291">
        <f>H37/'- 3 -'!D37*100</f>
        <v>8.0069925017525261</v>
      </c>
      <c r="J37" s="285">
        <f>IF('- 6 -'!D37=0,"",H37/'- 6 -'!D37)</f>
        <v>5725.323778501629</v>
      </c>
    </row>
    <row r="38" spans="1:10" ht="14.1" customHeight="1" x14ac:dyDescent="0.2">
      <c r="A38" s="19" t="s">
        <v>136</v>
      </c>
      <c r="B38" s="20">
        <v>45298535</v>
      </c>
      <c r="C38" s="70">
        <f>B38/'- 3 -'!D38*100</f>
        <v>30.714401989153412</v>
      </c>
      <c r="D38" s="20">
        <f>B38/'- 6 -'!B38</f>
        <v>6793.4215656868628</v>
      </c>
      <c r="E38" s="20">
        <v>0</v>
      </c>
      <c r="F38" s="70">
        <f>E38/'- 3 -'!D38*100</f>
        <v>0</v>
      </c>
      <c r="G38" s="20" t="str">
        <f>IF('- 6 -'!C38=0,"",E38/'- 6 -'!C38)</f>
        <v/>
      </c>
      <c r="H38" s="20">
        <v>4074066</v>
      </c>
      <c r="I38" s="70">
        <f>H38/'- 3 -'!D38*100</f>
        <v>2.7623961978978411</v>
      </c>
      <c r="J38" s="20">
        <f>IF('- 6 -'!D38=0,"",H38/'- 6 -'!D38)</f>
        <v>6201.0136986301368</v>
      </c>
    </row>
    <row r="39" spans="1:10" ht="14.1" customHeight="1" x14ac:dyDescent="0.2">
      <c r="A39" s="284" t="s">
        <v>137</v>
      </c>
      <c r="B39" s="285">
        <v>11747988</v>
      </c>
      <c r="C39" s="291">
        <f>B39/'- 3 -'!D39*100</f>
        <v>54.00449633400666</v>
      </c>
      <c r="D39" s="285">
        <f>B39/'- 6 -'!B39</f>
        <v>7847.6873747494992</v>
      </c>
      <c r="E39" s="285">
        <v>0</v>
      </c>
      <c r="F39" s="291">
        <f>E39/'- 3 -'!D39*100</f>
        <v>0</v>
      </c>
      <c r="G39" s="285" t="str">
        <f>IF('- 6 -'!C39=0,"",E39/'- 6 -'!C39)</f>
        <v/>
      </c>
      <c r="H39" s="285">
        <v>0</v>
      </c>
      <c r="I39" s="291">
        <f>H39/'- 3 -'!D39*100</f>
        <v>0</v>
      </c>
      <c r="J39" s="285" t="str">
        <f>IF('- 6 -'!D39=0,"",H39/'- 6 -'!D39)</f>
        <v/>
      </c>
    </row>
    <row r="40" spans="1:10" ht="14.1" customHeight="1" x14ac:dyDescent="0.2">
      <c r="A40" s="19" t="s">
        <v>138</v>
      </c>
      <c r="B40" s="20">
        <v>36540819</v>
      </c>
      <c r="C40" s="70">
        <f>B40/'- 3 -'!D40*100</f>
        <v>34.332702646137975</v>
      </c>
      <c r="D40" s="20">
        <f>B40/'- 6 -'!B40</f>
        <v>6580.5284474514983</v>
      </c>
      <c r="E40" s="20">
        <v>0</v>
      </c>
      <c r="F40" s="70">
        <f>E40/'- 3 -'!D40*100</f>
        <v>0</v>
      </c>
      <c r="G40" s="20" t="str">
        <f>IF('- 6 -'!C40=0,"",E40/'- 6 -'!C40)</f>
        <v/>
      </c>
      <c r="H40" s="20">
        <v>7869611</v>
      </c>
      <c r="I40" s="70">
        <f>H40/'- 3 -'!D40*100</f>
        <v>7.3940601715516152</v>
      </c>
      <c r="J40" s="20">
        <f>IF('- 6 -'!D40=0,"",H40/'- 6 -'!D40)</f>
        <v>5615.1344987513376</v>
      </c>
    </row>
    <row r="41" spans="1:10" ht="14.1" customHeight="1" x14ac:dyDescent="0.2">
      <c r="A41" s="284" t="s">
        <v>139</v>
      </c>
      <c r="B41" s="285">
        <v>14885884</v>
      </c>
      <c r="C41" s="291">
        <f>B41/'- 3 -'!D41*100</f>
        <v>23.097926194738914</v>
      </c>
      <c r="D41" s="285">
        <f>B41/'- 6 -'!B41</f>
        <v>7298.7908801176764</v>
      </c>
      <c r="E41" s="285">
        <v>0</v>
      </c>
      <c r="F41" s="291">
        <f>E41/'- 3 -'!D41*100</f>
        <v>0</v>
      </c>
      <c r="G41" s="285" t="str">
        <f>IF('- 6 -'!C41=0,"",E41/'- 6 -'!C41)</f>
        <v/>
      </c>
      <c r="H41" s="285">
        <v>0</v>
      </c>
      <c r="I41" s="291">
        <f>H41/'- 3 -'!D41*100</f>
        <v>0</v>
      </c>
      <c r="J41" s="285" t="str">
        <f>IF('- 6 -'!D41=0,"",H41/'- 6 -'!D41)</f>
        <v/>
      </c>
    </row>
    <row r="42" spans="1:10" ht="14.1" customHeight="1" x14ac:dyDescent="0.2">
      <c r="A42" s="19" t="s">
        <v>140</v>
      </c>
      <c r="B42" s="20">
        <v>6894760</v>
      </c>
      <c r="C42" s="70">
        <f>B42/'- 3 -'!D42*100</f>
        <v>33.732905640323473</v>
      </c>
      <c r="D42" s="20">
        <f>B42/'- 6 -'!B42</f>
        <v>7195.5332915883946</v>
      </c>
      <c r="E42" s="20">
        <v>0</v>
      </c>
      <c r="F42" s="70">
        <f>E42/'- 3 -'!D42*100</f>
        <v>0</v>
      </c>
      <c r="G42" s="20" t="str">
        <f>IF('- 6 -'!C42=0,"",E42/'- 6 -'!C42)</f>
        <v/>
      </c>
      <c r="H42" s="20">
        <v>0</v>
      </c>
      <c r="I42" s="70">
        <f>H42/'- 3 -'!D42*100</f>
        <v>0</v>
      </c>
      <c r="J42" s="20" t="str">
        <f>IF('- 6 -'!D42=0,"",H42/'- 6 -'!D42)</f>
        <v/>
      </c>
    </row>
    <row r="43" spans="1:10" ht="14.1" customHeight="1" x14ac:dyDescent="0.2">
      <c r="A43" s="284" t="s">
        <v>141</v>
      </c>
      <c r="B43" s="285">
        <v>6755396</v>
      </c>
      <c r="C43" s="291">
        <f>B43/'- 3 -'!D43*100</f>
        <v>51.758113537696048</v>
      </c>
      <c r="D43" s="285">
        <f>B43/'- 6 -'!B43</f>
        <v>6816.7467204843597</v>
      </c>
      <c r="E43" s="285">
        <v>0</v>
      </c>
      <c r="F43" s="291">
        <f>E43/'- 3 -'!D43*100</f>
        <v>0</v>
      </c>
      <c r="G43" s="285" t="str">
        <f>IF('- 6 -'!C43=0,"",E43/'- 6 -'!C43)</f>
        <v/>
      </c>
      <c r="H43" s="285">
        <v>0</v>
      </c>
      <c r="I43" s="291">
        <f>H43/'- 3 -'!D43*100</f>
        <v>0</v>
      </c>
      <c r="J43" s="285" t="str">
        <f>IF('- 6 -'!D43=0,"",H43/'- 6 -'!D43)</f>
        <v/>
      </c>
    </row>
    <row r="44" spans="1:10" ht="14.1" customHeight="1" x14ac:dyDescent="0.2">
      <c r="A44" s="19" t="s">
        <v>142</v>
      </c>
      <c r="B44" s="20">
        <v>5261287</v>
      </c>
      <c r="C44" s="70">
        <f>B44/'- 3 -'!D44*100</f>
        <v>49.470619900471782</v>
      </c>
      <c r="D44" s="20">
        <f>B44/'- 6 -'!B44</f>
        <v>8131.8191653786707</v>
      </c>
      <c r="E44" s="20">
        <v>0</v>
      </c>
      <c r="F44" s="70">
        <f>E44/'- 3 -'!D44*100</f>
        <v>0</v>
      </c>
      <c r="G44" s="20" t="str">
        <f>IF('- 6 -'!C44=0,"",E44/'- 6 -'!C44)</f>
        <v/>
      </c>
      <c r="H44" s="20">
        <v>333037</v>
      </c>
      <c r="I44" s="70">
        <f>H44/'- 3 -'!D44*100</f>
        <v>3.1314670421502231</v>
      </c>
      <c r="J44" s="20">
        <f>IF('- 6 -'!D44=0,"",H44/'- 6 -'!D44)</f>
        <v>7400.8222222222221</v>
      </c>
    </row>
    <row r="45" spans="1:10" ht="14.1" customHeight="1" x14ac:dyDescent="0.2">
      <c r="A45" s="284" t="s">
        <v>143</v>
      </c>
      <c r="B45" s="285">
        <v>5593770</v>
      </c>
      <c r="C45" s="291">
        <f>B45/'- 3 -'!D45*100</f>
        <v>26.44013306447172</v>
      </c>
      <c r="D45" s="285">
        <f>B45/'- 6 -'!B45</f>
        <v>6897.3736128236742</v>
      </c>
      <c r="E45" s="285">
        <v>0</v>
      </c>
      <c r="F45" s="291">
        <f>E45/'- 3 -'!D45*100</f>
        <v>0</v>
      </c>
      <c r="G45" s="285" t="str">
        <f>IF('- 6 -'!C45=0,"",E45/'- 6 -'!C45)</f>
        <v/>
      </c>
      <c r="H45" s="285">
        <v>0</v>
      </c>
      <c r="I45" s="291">
        <f>H45/'- 3 -'!D45*100</f>
        <v>0</v>
      </c>
      <c r="J45" s="285" t="str">
        <f>IF('- 6 -'!D45=0,"",H45/'- 6 -'!D45)</f>
        <v/>
      </c>
    </row>
    <row r="46" spans="1:10" ht="14.1" customHeight="1" x14ac:dyDescent="0.2">
      <c r="A46" s="19" t="s">
        <v>144</v>
      </c>
      <c r="B46" s="20">
        <v>132934265</v>
      </c>
      <c r="C46" s="70">
        <f>B46/'- 3 -'!D46*100</f>
        <v>32.156479035748973</v>
      </c>
      <c r="D46" s="20">
        <f>B46/'- 6 -'!B46</f>
        <v>6920.5958299711065</v>
      </c>
      <c r="E46" s="20">
        <v>0</v>
      </c>
      <c r="F46" s="70">
        <f>E46/'- 3 -'!D46*100</f>
        <v>0</v>
      </c>
      <c r="G46" s="20" t="str">
        <f>IF('- 6 -'!C46=0,"",E46/'- 6 -'!C46)</f>
        <v/>
      </c>
      <c r="H46" s="20">
        <v>7964167</v>
      </c>
      <c r="I46" s="70">
        <f>H46/'- 3 -'!D46*100</f>
        <v>1.9265128458242404</v>
      </c>
      <c r="J46" s="20">
        <f>IF('- 6 -'!D46=0,"",H46/'- 6 -'!D46)</f>
        <v>5598.7114235500876</v>
      </c>
    </row>
    <row r="47" spans="1:10" ht="5.0999999999999996" customHeight="1" x14ac:dyDescent="0.2">
      <c r="A47" s="21"/>
      <c r="B47" s="22"/>
      <c r="C47"/>
      <c r="D47" s="22"/>
      <c r="E47" s="22"/>
      <c r="F47"/>
      <c r="G47" s="22"/>
      <c r="H47" s="22"/>
      <c r="I47"/>
      <c r="J47"/>
    </row>
    <row r="48" spans="1:10" ht="14.1" customHeight="1" x14ac:dyDescent="0.2">
      <c r="A48" s="286" t="s">
        <v>145</v>
      </c>
      <c r="B48" s="287">
        <f>SUM(B11:B46)</f>
        <v>829541595</v>
      </c>
      <c r="C48" s="294">
        <f>B48/'- 3 -'!D48*100</f>
        <v>34.395762094666054</v>
      </c>
      <c r="D48" s="287">
        <f>B48/'- 6 -'!B48</f>
        <v>6871.3141120686205</v>
      </c>
      <c r="E48" s="287">
        <f>SUM(E11:E46)</f>
        <v>44554691</v>
      </c>
      <c r="F48" s="294">
        <f>E48/'- 3 -'!D48*100</f>
        <v>1.8473968768707236</v>
      </c>
      <c r="G48" s="287">
        <f>E48/'- 6 -'!C48</f>
        <v>8079.2592525432028</v>
      </c>
      <c r="H48" s="287">
        <f>SUM(H11:H46)</f>
        <v>73658058</v>
      </c>
      <c r="I48" s="294">
        <f>H48/'- 3 -'!D48*100</f>
        <v>3.0541265858080497</v>
      </c>
      <c r="J48" s="287">
        <f>H48/'- 6 -'!D48</f>
        <v>5779.3327307478648</v>
      </c>
    </row>
    <row r="49" spans="1:10" ht="5.0999999999999996" customHeight="1" x14ac:dyDescent="0.2">
      <c r="A49" s="21" t="s">
        <v>7</v>
      </c>
      <c r="B49" s="22"/>
      <c r="C49"/>
      <c r="D49" s="22"/>
      <c r="E49" s="22"/>
      <c r="F49"/>
      <c r="I49"/>
      <c r="J49"/>
    </row>
    <row r="50" spans="1:10" ht="14.1" customHeight="1" x14ac:dyDescent="0.2">
      <c r="A50" s="19" t="s">
        <v>146</v>
      </c>
      <c r="B50" s="20">
        <v>1633949</v>
      </c>
      <c r="C50" s="70">
        <f>B50/'- 3 -'!D50*100</f>
        <v>51.449737642231163</v>
      </c>
      <c r="D50" s="20">
        <f>B50/'- 6 -'!B50</f>
        <v>8599.7315789473687</v>
      </c>
      <c r="E50" s="20">
        <v>0</v>
      </c>
      <c r="F50" s="70">
        <f>E50/'- 3 -'!D50*100</f>
        <v>0</v>
      </c>
      <c r="G50" s="20" t="str">
        <f>IF('- 6 -'!C50=0,"",E50/'- 6 -'!C50)</f>
        <v/>
      </c>
      <c r="H50" s="20">
        <v>0</v>
      </c>
      <c r="I50" s="70">
        <f>H50/'- 3 -'!D50*100</f>
        <v>0</v>
      </c>
      <c r="J50" s="20" t="str">
        <f>IF('- 6 -'!D50=0,"",H50/'- 6 -'!D50)</f>
        <v/>
      </c>
    </row>
    <row r="51" spans="1:10" ht="14.1" customHeight="1" x14ac:dyDescent="0.2">
      <c r="A51" s="284" t="s">
        <v>599</v>
      </c>
      <c r="B51" s="285">
        <v>454463</v>
      </c>
      <c r="C51" s="291">
        <f>B51/'- 3 -'!D51*100</f>
        <v>1.5062502210258297</v>
      </c>
      <c r="D51" s="285">
        <f>B51/'- 6 -'!B51</f>
        <v>4328.2190476190481</v>
      </c>
      <c r="E51" s="285">
        <v>0</v>
      </c>
      <c r="F51" s="291">
        <f>E51/'- 3 -'!D51*100</f>
        <v>0</v>
      </c>
      <c r="G51" s="285" t="str">
        <f>IF('- 6 -'!C51=0,"",E51/'- 6 -'!C51)</f>
        <v/>
      </c>
      <c r="H51" s="285">
        <v>0</v>
      </c>
      <c r="I51" s="291">
        <f>H51/'- 3 -'!D51*100</f>
        <v>0</v>
      </c>
      <c r="J51" s="285" t="str">
        <f>IF('- 6 -'!D51=0,"",H51/'- 6 -'!D51)</f>
        <v/>
      </c>
    </row>
    <row r="52" spans="1:10" ht="50.1" customHeight="1" x14ac:dyDescent="0.2">
      <c r="A52" s="23"/>
      <c r="B52" s="23"/>
      <c r="C52" s="23"/>
      <c r="D52" s="23"/>
      <c r="E52" s="23"/>
      <c r="F52" s="23"/>
      <c r="G52" s="23"/>
      <c r="H52" s="108"/>
      <c r="I52" s="108"/>
      <c r="J52" s="108"/>
    </row>
    <row r="53" spans="1:10" ht="15" customHeight="1" x14ac:dyDescent="0.2">
      <c r="A53" s="85" t="s">
        <v>343</v>
      </c>
      <c r="B53" s="85"/>
      <c r="C53" s="85"/>
      <c r="D53" s="85"/>
      <c r="E53" s="85"/>
      <c r="F53" s="85"/>
      <c r="G53" s="85"/>
      <c r="I53" s="85"/>
      <c r="J53" s="85"/>
    </row>
  </sheetData>
  <mergeCells count="6">
    <mergeCell ref="B7:D7"/>
    <mergeCell ref="E7:G7"/>
    <mergeCell ref="H7:J7"/>
    <mergeCell ref="D8:D9"/>
    <mergeCell ref="G8:G9"/>
    <mergeCell ref="J8:J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J53"/>
  <sheetViews>
    <sheetView showGridLines="0" showZeros="0" workbookViewId="0"/>
  </sheetViews>
  <sheetFormatPr defaultColWidth="15.83203125" defaultRowHeight="12" x14ac:dyDescent="0.2"/>
  <cols>
    <col min="1" max="1" width="31.83203125" style="2" customWidth="1"/>
    <col min="2" max="2" width="14.83203125" style="2" customWidth="1"/>
    <col min="3" max="3" width="7.83203125" style="2" customWidth="1"/>
    <col min="4" max="4" width="9.83203125" style="2" customWidth="1"/>
    <col min="5" max="5" width="10.83203125" style="2" customWidth="1"/>
    <col min="6" max="7" width="13.83203125" style="2" customWidth="1"/>
    <col min="8" max="8" width="15.83203125" style="2" customWidth="1"/>
    <col min="9" max="9" width="13.83203125" style="2" customWidth="1"/>
    <col min="10" max="16384" width="15.83203125" style="2"/>
  </cols>
  <sheetData>
    <row r="1" spans="1:9" ht="6.95" customHeight="1" x14ac:dyDescent="0.2">
      <c r="A1" s="7"/>
      <c r="B1" s="89"/>
      <c r="C1" s="89"/>
      <c r="D1" s="89"/>
      <c r="E1" s="89"/>
      <c r="F1" s="89"/>
      <c r="G1" s="89"/>
      <c r="H1" s="89"/>
      <c r="I1" s="89"/>
    </row>
    <row r="2" spans="1:9" ht="15.95" customHeight="1" x14ac:dyDescent="0.2">
      <c r="A2" s="134"/>
      <c r="B2" s="90" t="s">
        <v>263</v>
      </c>
      <c r="C2" s="91"/>
      <c r="D2" s="91"/>
      <c r="E2" s="91"/>
      <c r="F2" s="91"/>
      <c r="G2" s="91"/>
      <c r="H2" s="185"/>
      <c r="I2" s="395" t="s">
        <v>398</v>
      </c>
    </row>
    <row r="3" spans="1:9" ht="15.95" customHeight="1" x14ac:dyDescent="0.2">
      <c r="A3" s="541"/>
      <c r="B3" s="74" t="str">
        <f>OPYEAR</f>
        <v>OPERATING FUND 2019/2020 ACTUAL</v>
      </c>
      <c r="C3" s="94"/>
      <c r="D3" s="94"/>
      <c r="E3" s="94"/>
      <c r="F3" s="94"/>
      <c r="G3" s="94"/>
      <c r="H3" s="186"/>
      <c r="I3" s="187"/>
    </row>
    <row r="4" spans="1:9" ht="15.95" customHeight="1" x14ac:dyDescent="0.2">
      <c r="B4" s="89"/>
      <c r="C4" s="89"/>
      <c r="D4" s="89"/>
      <c r="E4" s="89"/>
      <c r="F4" s="89"/>
      <c r="G4" s="89"/>
      <c r="H4" s="89"/>
      <c r="I4" s="89"/>
    </row>
    <row r="5" spans="1:9" ht="15.95" customHeight="1" x14ac:dyDescent="0.2">
      <c r="B5" s="188" t="s">
        <v>13</v>
      </c>
      <c r="C5" s="189"/>
      <c r="D5" s="189"/>
      <c r="E5" s="189"/>
      <c r="F5" s="189"/>
      <c r="G5" s="189"/>
      <c r="H5" s="189"/>
      <c r="I5" s="190"/>
    </row>
    <row r="6" spans="1:9" ht="15.95" customHeight="1" x14ac:dyDescent="0.2">
      <c r="B6" s="328" t="s">
        <v>245</v>
      </c>
      <c r="C6" s="329"/>
      <c r="D6" s="329"/>
      <c r="E6" s="329"/>
      <c r="F6" s="329"/>
      <c r="G6" s="329"/>
      <c r="H6" s="329"/>
      <c r="I6" s="330"/>
    </row>
    <row r="7" spans="1:9" ht="15.95" customHeight="1" x14ac:dyDescent="0.2">
      <c r="B7" s="179"/>
      <c r="C7" s="191"/>
      <c r="D7" s="191"/>
      <c r="E7" s="664" t="s">
        <v>474</v>
      </c>
      <c r="F7" s="667" t="s">
        <v>83</v>
      </c>
      <c r="G7" s="668"/>
      <c r="H7" s="668"/>
      <c r="I7" s="669"/>
    </row>
    <row r="8" spans="1:9" ht="15.95" customHeight="1" x14ac:dyDescent="0.2">
      <c r="A8" s="67"/>
      <c r="B8" s="192"/>
      <c r="C8" s="192"/>
      <c r="D8" s="662" t="s">
        <v>327</v>
      </c>
      <c r="E8" s="665"/>
      <c r="F8" s="192"/>
      <c r="G8" s="193"/>
      <c r="H8" s="670" t="s">
        <v>22</v>
      </c>
      <c r="I8" s="192"/>
    </row>
    <row r="9" spans="1:9" ht="15.95" customHeight="1" x14ac:dyDescent="0.2">
      <c r="A9" s="35" t="s">
        <v>42</v>
      </c>
      <c r="B9" s="101" t="s">
        <v>43</v>
      </c>
      <c r="C9" s="101" t="s">
        <v>44</v>
      </c>
      <c r="D9" s="663"/>
      <c r="E9" s="666"/>
      <c r="F9" s="101" t="s">
        <v>38</v>
      </c>
      <c r="G9" s="194" t="s">
        <v>21</v>
      </c>
      <c r="H9" s="671"/>
      <c r="I9" s="101" t="s">
        <v>24</v>
      </c>
    </row>
    <row r="10" spans="1:9" ht="5.0999999999999996" customHeight="1" x14ac:dyDescent="0.2">
      <c r="A10" s="6"/>
      <c r="B10" s="85"/>
      <c r="C10" s="85"/>
      <c r="D10" s="85"/>
      <c r="E10" s="85"/>
      <c r="F10" s="85"/>
      <c r="G10" s="85"/>
      <c r="H10" s="85"/>
      <c r="I10" s="85"/>
    </row>
    <row r="11" spans="1:9" ht="14.1" customHeight="1" x14ac:dyDescent="0.2">
      <c r="A11" s="331" t="s">
        <v>110</v>
      </c>
      <c r="B11" s="285">
        <v>0</v>
      </c>
      <c r="C11" s="291">
        <f>B11/'- 3 -'!D11*100</f>
        <v>0</v>
      </c>
      <c r="D11" s="332" t="str">
        <f>IF(E11=0,"",B11/E11)</f>
        <v/>
      </c>
      <c r="E11" s="333">
        <f>SUM('- 6 -'!E11:H11)</f>
        <v>0</v>
      </c>
      <c r="F11" s="291" t="str">
        <f>IF(E11=0,"",'- 6 -'!E11/E11*100)</f>
        <v/>
      </c>
      <c r="G11" s="291" t="str">
        <f>IF(E11=0,"",'- 6 -'!F11/E11*100)</f>
        <v/>
      </c>
      <c r="H11" s="291" t="str">
        <f>IF(E11=0,"",'- 6 -'!G11/E11*100)</f>
        <v/>
      </c>
      <c r="I11" s="291" t="str">
        <f>IF(E11=0,"",'- 6 -'!H11/E11*100)</f>
        <v/>
      </c>
    </row>
    <row r="12" spans="1:9" ht="14.1" customHeight="1" x14ac:dyDescent="0.2">
      <c r="A12" s="19" t="s">
        <v>111</v>
      </c>
      <c r="B12" s="20">
        <v>3924226</v>
      </c>
      <c r="C12" s="70">
        <f>B12/'- 3 -'!D12*100</f>
        <v>11.697377070896271</v>
      </c>
      <c r="D12" s="195">
        <f t="shared" ref="D12:D46" si="0">IF(E12=0,"",B12/E12)</f>
        <v>6131.6031249999996</v>
      </c>
      <c r="E12" s="196">
        <f>SUM('- 6 -'!E12:H12)</f>
        <v>640</v>
      </c>
      <c r="F12" s="70">
        <f>IF(E12=0,"",'- 6 -'!E12/E12*100)</f>
        <v>80.546875</v>
      </c>
      <c r="G12" s="70">
        <f>IF(E12=0,"",'- 6 -'!F12/E12*100)</f>
        <v>0</v>
      </c>
      <c r="H12" s="70">
        <f>IF(E12=0,"",'- 6 -'!G12/E12*100)</f>
        <v>19.453125</v>
      </c>
      <c r="I12" s="70">
        <f>IF(E12=0,"",'- 6 -'!H12/E12*100)</f>
        <v>0</v>
      </c>
    </row>
    <row r="13" spans="1:9" ht="14.1" customHeight="1" x14ac:dyDescent="0.2">
      <c r="A13" s="331" t="s">
        <v>112</v>
      </c>
      <c r="B13" s="285">
        <v>7554796</v>
      </c>
      <c r="C13" s="291">
        <f>B13/'- 3 -'!D13*100</f>
        <v>7.2264462283742645</v>
      </c>
      <c r="D13" s="332">
        <f t="shared" si="0"/>
        <v>5230.0422291450332</v>
      </c>
      <c r="E13" s="333">
        <f>SUM('- 6 -'!E13:H13)</f>
        <v>1444.5</v>
      </c>
      <c r="F13" s="291">
        <f>IF(E13=0,"",'- 6 -'!E13/E13*100)</f>
        <v>67.012807199723085</v>
      </c>
      <c r="G13" s="291">
        <f>IF(E13=0,"",'- 6 -'!F13/E13*100)</f>
        <v>0</v>
      </c>
      <c r="H13" s="291">
        <f>IF(E13=0,"",'- 6 -'!G13/E13*100)</f>
        <v>32.987192800276908</v>
      </c>
      <c r="I13" s="291">
        <f>IF(E13=0,"",'- 6 -'!H13/E13*100)</f>
        <v>0</v>
      </c>
    </row>
    <row r="14" spans="1:9" ht="14.1" customHeight="1" x14ac:dyDescent="0.2">
      <c r="A14" s="19" t="s">
        <v>358</v>
      </c>
      <c r="B14" s="20">
        <v>0</v>
      </c>
      <c r="C14" s="70">
        <f>B14/'- 3 -'!D14*100</f>
        <v>0</v>
      </c>
      <c r="D14" s="195" t="str">
        <f t="shared" si="0"/>
        <v/>
      </c>
      <c r="E14" s="196">
        <f>SUM('- 6 -'!E14:H14)</f>
        <v>0</v>
      </c>
      <c r="F14" s="70" t="str">
        <f>IF(E14=0,"",'- 6 -'!E14/E14*100)</f>
        <v/>
      </c>
      <c r="G14" s="70" t="str">
        <f>IF(E14=0,"",'- 6 -'!F14/E14*100)</f>
        <v/>
      </c>
      <c r="H14" s="70" t="str">
        <f>IF(E14=0,"",'- 6 -'!G14/E14*100)</f>
        <v/>
      </c>
      <c r="I14" s="70" t="str">
        <f>IF(E14=0,"",'- 6 -'!H14/E14*100)</f>
        <v/>
      </c>
    </row>
    <row r="15" spans="1:9" ht="14.1" customHeight="1" x14ac:dyDescent="0.2">
      <c r="A15" s="331" t="s">
        <v>113</v>
      </c>
      <c r="B15" s="285">
        <v>0</v>
      </c>
      <c r="C15" s="291">
        <f>B15/'- 3 -'!D15*100</f>
        <v>0</v>
      </c>
      <c r="D15" s="332" t="str">
        <f t="shared" si="0"/>
        <v/>
      </c>
      <c r="E15" s="333">
        <f>SUM('- 6 -'!E15:H15)</f>
        <v>0</v>
      </c>
      <c r="F15" s="291" t="str">
        <f>IF(E15=0,"",'- 6 -'!E15/E15*100)</f>
        <v/>
      </c>
      <c r="G15" s="291" t="str">
        <f>IF(E15=0,"",'- 6 -'!F15/E15*100)</f>
        <v/>
      </c>
      <c r="H15" s="291" t="str">
        <f>IF(E15=0,"",'- 6 -'!G15/E15*100)</f>
        <v/>
      </c>
      <c r="I15" s="291" t="str">
        <f>IF(E15=0,"",'- 6 -'!H15/E15*100)</f>
        <v/>
      </c>
    </row>
    <row r="16" spans="1:9" ht="14.1" customHeight="1" x14ac:dyDescent="0.2">
      <c r="A16" s="19" t="s">
        <v>114</v>
      </c>
      <c r="B16" s="20">
        <v>2477296</v>
      </c>
      <c r="C16" s="70">
        <f>B16/'- 3 -'!D16*100</f>
        <v>17.235336999283536</v>
      </c>
      <c r="D16" s="195">
        <f t="shared" si="0"/>
        <v>6740.9414965986398</v>
      </c>
      <c r="E16" s="196">
        <f>SUM('- 6 -'!E16:H16)</f>
        <v>367.5</v>
      </c>
      <c r="F16" s="70">
        <f>IF(E16=0,"",'- 6 -'!E16/E16*100)</f>
        <v>70.340136054421762</v>
      </c>
      <c r="G16" s="70">
        <f>IF(E16=0,"",'- 6 -'!F16/E16*100)</f>
        <v>0</v>
      </c>
      <c r="H16" s="70">
        <f>IF(E16=0,"",'- 6 -'!G16/E16*100)</f>
        <v>29.65986394557823</v>
      </c>
      <c r="I16" s="70">
        <f>IF(E16=0,"",'- 6 -'!H16/E16*100)</f>
        <v>0</v>
      </c>
    </row>
    <row r="17" spans="1:9" ht="14.1" customHeight="1" x14ac:dyDescent="0.2">
      <c r="A17" s="331" t="s">
        <v>115</v>
      </c>
      <c r="B17" s="285">
        <v>0</v>
      </c>
      <c r="C17" s="291">
        <f>B17/'- 3 -'!D17*100</f>
        <v>0</v>
      </c>
      <c r="D17" s="332" t="str">
        <f t="shared" si="0"/>
        <v/>
      </c>
      <c r="E17" s="333">
        <f>SUM('- 6 -'!E17:H17)</f>
        <v>0</v>
      </c>
      <c r="F17" s="291" t="str">
        <f>IF(E17=0,"",'- 6 -'!E17/E17*100)</f>
        <v/>
      </c>
      <c r="G17" s="291" t="str">
        <f>IF(E17=0,"",'- 6 -'!F17/E17*100)</f>
        <v/>
      </c>
      <c r="H17" s="291" t="str">
        <f>IF(E17=0,"",'- 6 -'!G17/E17*100)</f>
        <v/>
      </c>
      <c r="I17" s="291" t="str">
        <f>IF(E17=0,"",'- 6 -'!H17/E17*100)</f>
        <v/>
      </c>
    </row>
    <row r="18" spans="1:9" ht="14.1" customHeight="1" x14ac:dyDescent="0.2">
      <c r="A18" s="19" t="s">
        <v>116</v>
      </c>
      <c r="B18" s="20">
        <v>0</v>
      </c>
      <c r="C18" s="70">
        <f>B18/'- 3 -'!D18*100</f>
        <v>0</v>
      </c>
      <c r="D18" s="195" t="str">
        <f t="shared" si="0"/>
        <v/>
      </c>
      <c r="E18" s="196">
        <f>SUM('- 6 -'!E18:H18)</f>
        <v>0</v>
      </c>
      <c r="F18" s="70" t="str">
        <f>IF(E18=0,"",'- 6 -'!E18/E18*100)</f>
        <v/>
      </c>
      <c r="G18" s="70" t="str">
        <f>IF(E18=0,"",'- 6 -'!F18/E18*100)</f>
        <v/>
      </c>
      <c r="H18" s="70" t="str">
        <f>IF(E18=0,"",'- 6 -'!G18/E18*100)</f>
        <v/>
      </c>
      <c r="I18" s="70" t="str">
        <f>IF(E18=0,"",'- 6 -'!H18/E18*100)</f>
        <v/>
      </c>
    </row>
    <row r="19" spans="1:9" ht="14.1" customHeight="1" x14ac:dyDescent="0.2">
      <c r="A19" s="331" t="s">
        <v>117</v>
      </c>
      <c r="B19" s="285">
        <v>0</v>
      </c>
      <c r="C19" s="291">
        <f>B19/'- 3 -'!D19*100</f>
        <v>0</v>
      </c>
      <c r="D19" s="332" t="str">
        <f t="shared" si="0"/>
        <v/>
      </c>
      <c r="E19" s="333">
        <f>SUM('- 6 -'!E19:H19)</f>
        <v>0</v>
      </c>
      <c r="F19" s="291" t="str">
        <f>IF(E19=0,"",'- 6 -'!E19/E19*100)</f>
        <v/>
      </c>
      <c r="G19" s="291" t="str">
        <f>IF(E19=0,"",'- 6 -'!F19/E19*100)</f>
        <v/>
      </c>
      <c r="H19" s="291" t="str">
        <f>IF(E19=0,"",'- 6 -'!G19/E19*100)</f>
        <v/>
      </c>
      <c r="I19" s="291" t="str">
        <f>IF(E19=0,"",'- 6 -'!H19/E19*100)</f>
        <v/>
      </c>
    </row>
    <row r="20" spans="1:9" ht="14.1" customHeight="1" x14ac:dyDescent="0.2">
      <c r="A20" s="19" t="s">
        <v>118</v>
      </c>
      <c r="B20" s="20">
        <v>0</v>
      </c>
      <c r="C20" s="70">
        <f>B20/'- 3 -'!D20*100</f>
        <v>0</v>
      </c>
      <c r="D20" s="195" t="str">
        <f t="shared" si="0"/>
        <v/>
      </c>
      <c r="E20" s="196">
        <f>SUM('- 6 -'!E20:H20)</f>
        <v>0</v>
      </c>
      <c r="F20" s="70" t="str">
        <f>IF(E20=0,"",'- 6 -'!E20/E20*100)</f>
        <v/>
      </c>
      <c r="G20" s="70" t="str">
        <f>IF(E20=0,"",'- 6 -'!F20/E20*100)</f>
        <v/>
      </c>
      <c r="H20" s="70" t="str">
        <f>IF(E20=0,"",'- 6 -'!G20/E20*100)</f>
        <v/>
      </c>
      <c r="I20" s="70" t="str">
        <f>IF(E20=0,"",'- 6 -'!H20/E20*100)</f>
        <v/>
      </c>
    </row>
    <row r="21" spans="1:9" ht="14.1" customHeight="1" x14ac:dyDescent="0.2">
      <c r="A21" s="331" t="s">
        <v>119</v>
      </c>
      <c r="B21" s="285">
        <v>4478608</v>
      </c>
      <c r="C21" s="291">
        <f>B21/'- 3 -'!D21*100</f>
        <v>11.908281561409941</v>
      </c>
      <c r="D21" s="332">
        <f t="shared" si="0"/>
        <v>5877.4383202099734</v>
      </c>
      <c r="E21" s="333">
        <f>SUM('- 6 -'!E21:H21)</f>
        <v>762</v>
      </c>
      <c r="F21" s="291">
        <f>IF(E21=0,"",'- 6 -'!E21/E21*100)</f>
        <v>58.267716535433067</v>
      </c>
      <c r="G21" s="291">
        <f>IF(E21=0,"",'- 6 -'!F21/E21*100)</f>
        <v>0</v>
      </c>
      <c r="H21" s="291">
        <f>IF(E21=0,"",'- 6 -'!G21/E21*100)</f>
        <v>41.732283464566926</v>
      </c>
      <c r="I21" s="291">
        <f>IF(E21=0,"",'- 6 -'!H21/E21*100)</f>
        <v>0</v>
      </c>
    </row>
    <row r="22" spans="1:9" ht="14.1" customHeight="1" x14ac:dyDescent="0.2">
      <c r="A22" s="19" t="s">
        <v>120</v>
      </c>
      <c r="B22" s="20">
        <v>4749636</v>
      </c>
      <c r="C22" s="70">
        <f>B22/'- 3 -'!D22*100</f>
        <v>23.00817162718073</v>
      </c>
      <c r="D22" s="195">
        <f t="shared" si="0"/>
        <v>7262.440366972477</v>
      </c>
      <c r="E22" s="196">
        <f>SUM('- 6 -'!E22:H22)</f>
        <v>654</v>
      </c>
      <c r="F22" s="70">
        <f>IF(E22=0,"",'- 6 -'!E22/E22*100)</f>
        <v>78.74617737003058</v>
      </c>
      <c r="G22" s="70">
        <f>IF(E22=0,"",'- 6 -'!F22/E22*100)</f>
        <v>0</v>
      </c>
      <c r="H22" s="70">
        <f>IF(E22=0,"",'- 6 -'!G22/E22*100)</f>
        <v>21.253822629969417</v>
      </c>
      <c r="I22" s="70">
        <f>IF(E22=0,"",'- 6 -'!H22/E22*100)</f>
        <v>0</v>
      </c>
    </row>
    <row r="23" spans="1:9" ht="14.1" customHeight="1" x14ac:dyDescent="0.2">
      <c r="A23" s="331" t="s">
        <v>121</v>
      </c>
      <c r="B23" s="285">
        <v>0</v>
      </c>
      <c r="C23" s="291">
        <f>B23/'- 3 -'!D23*100</f>
        <v>0</v>
      </c>
      <c r="D23" s="332" t="str">
        <f t="shared" si="0"/>
        <v/>
      </c>
      <c r="E23" s="333">
        <f>SUM('- 6 -'!E23:H23)</f>
        <v>0</v>
      </c>
      <c r="F23" s="291" t="str">
        <f>IF(E23=0,"",'- 6 -'!E23/E23*100)</f>
        <v/>
      </c>
      <c r="G23" s="291" t="str">
        <f>IF(E23=0,"",'- 6 -'!F23/E23*100)</f>
        <v/>
      </c>
      <c r="H23" s="291" t="str">
        <f>IF(E23=0,"",'- 6 -'!G23/E23*100)</f>
        <v/>
      </c>
      <c r="I23" s="291" t="str">
        <f>IF(E23=0,"",'- 6 -'!H23/E23*100)</f>
        <v/>
      </c>
    </row>
    <row r="24" spans="1:9" ht="14.1" customHeight="1" x14ac:dyDescent="0.2">
      <c r="A24" s="19" t="s">
        <v>122</v>
      </c>
      <c r="B24" s="20">
        <v>4999167</v>
      </c>
      <c r="C24" s="70">
        <f>B24/'- 3 -'!D24*100</f>
        <v>8.5540351247509339</v>
      </c>
      <c r="D24" s="195">
        <f t="shared" si="0"/>
        <v>7121.3205128205127</v>
      </c>
      <c r="E24" s="196">
        <f>SUM('- 6 -'!E24:H24)</f>
        <v>702</v>
      </c>
      <c r="F24" s="70">
        <f>IF(E24=0,"",'- 6 -'!E24/E24*100)</f>
        <v>70.085470085470078</v>
      </c>
      <c r="G24" s="70">
        <f>IF(E24=0,"",'- 6 -'!F24/E24*100)</f>
        <v>0</v>
      </c>
      <c r="H24" s="70">
        <f>IF(E24=0,"",'- 6 -'!G24/E24*100)</f>
        <v>17.236467236467238</v>
      </c>
      <c r="I24" s="70">
        <f>IF(E24=0,"",'- 6 -'!H24/E24*100)</f>
        <v>12.678062678062679</v>
      </c>
    </row>
    <row r="25" spans="1:9" ht="14.1" customHeight="1" x14ac:dyDescent="0.2">
      <c r="A25" s="331" t="s">
        <v>123</v>
      </c>
      <c r="B25" s="285">
        <v>3864066</v>
      </c>
      <c r="C25" s="291">
        <f>B25/'- 3 -'!D25*100</f>
        <v>1.9909360987719091</v>
      </c>
      <c r="D25" s="332">
        <f t="shared" si="0"/>
        <v>6028.1840873634947</v>
      </c>
      <c r="E25" s="333">
        <f>SUM('- 6 -'!E25:H25)</f>
        <v>641</v>
      </c>
      <c r="F25" s="291">
        <f>IF(E25=0,"",'- 6 -'!E25/E25*100)</f>
        <v>50.078003120124805</v>
      </c>
      <c r="G25" s="291">
        <f>IF(E25=0,"",'- 6 -'!F25/E25*100)</f>
        <v>0</v>
      </c>
      <c r="H25" s="291">
        <f>IF(E25=0,"",'- 6 -'!G25/E25*100)</f>
        <v>49.921996879875195</v>
      </c>
      <c r="I25" s="291">
        <f>IF(E25=0,"",'- 6 -'!H25/E25*100)</f>
        <v>0</v>
      </c>
    </row>
    <row r="26" spans="1:9" ht="14.1" customHeight="1" x14ac:dyDescent="0.2">
      <c r="A26" s="19" t="s">
        <v>124</v>
      </c>
      <c r="B26" s="20">
        <v>2670514</v>
      </c>
      <c r="C26" s="70">
        <f>B26/'- 3 -'!D26*100</f>
        <v>6.5278905441905071</v>
      </c>
      <c r="D26" s="195">
        <f t="shared" si="0"/>
        <v>5314.4557213930348</v>
      </c>
      <c r="E26" s="196">
        <f>SUM('- 6 -'!E26:H26)</f>
        <v>502.5</v>
      </c>
      <c r="F26" s="70">
        <f>IF(E26=0,"",'- 6 -'!E26/E26*100)</f>
        <v>70.049751243781103</v>
      </c>
      <c r="G26" s="70">
        <f>IF(E26=0,"",'- 6 -'!F26/E26*100)</f>
        <v>0</v>
      </c>
      <c r="H26" s="70">
        <f>IF(E26=0,"",'- 6 -'!G26/E26*100)</f>
        <v>18.109452736318406</v>
      </c>
      <c r="I26" s="70">
        <f>IF(E26=0,"",'- 6 -'!H26/E26*100)</f>
        <v>11.840796019900496</v>
      </c>
    </row>
    <row r="27" spans="1:9" ht="14.1" customHeight="1" x14ac:dyDescent="0.2">
      <c r="A27" s="331" t="s">
        <v>125</v>
      </c>
      <c r="B27" s="285">
        <v>2565278</v>
      </c>
      <c r="C27" s="291">
        <f>B27/'- 3 -'!D27*100</f>
        <v>6.160532170030705</v>
      </c>
      <c r="D27" s="332">
        <f t="shared" si="0"/>
        <v>7018.5444596443231</v>
      </c>
      <c r="E27" s="333">
        <f>SUM('- 6 -'!E27:H27)</f>
        <v>365.5</v>
      </c>
      <c r="F27" s="291">
        <f>IF(E27=0,"",'- 6 -'!E27/E27*100)</f>
        <v>36.525307797537621</v>
      </c>
      <c r="G27" s="291">
        <f>IF(E27=0,"",'- 6 -'!F27/E27*100)</f>
        <v>0</v>
      </c>
      <c r="H27" s="291">
        <f>IF(E27=0,"",'- 6 -'!G27/E27*100)</f>
        <v>63.474692202462379</v>
      </c>
      <c r="I27" s="291">
        <f>IF(E27=0,"",'- 6 -'!H27/E27*100)</f>
        <v>0</v>
      </c>
    </row>
    <row r="28" spans="1:9" ht="14.1" customHeight="1" x14ac:dyDescent="0.2">
      <c r="A28" s="19" t="s">
        <v>126</v>
      </c>
      <c r="B28" s="20">
        <v>0</v>
      </c>
      <c r="C28" s="70">
        <f>B28/'- 3 -'!D28*100</f>
        <v>0</v>
      </c>
      <c r="D28" s="195" t="str">
        <f t="shared" si="0"/>
        <v/>
      </c>
      <c r="E28" s="196">
        <f>SUM('- 6 -'!E28:H28)</f>
        <v>0</v>
      </c>
      <c r="F28" s="70" t="str">
        <f>IF(E28=0,"",'- 6 -'!E28/E28*100)</f>
        <v/>
      </c>
      <c r="G28" s="70" t="str">
        <f>IF(E28=0,"",'- 6 -'!F28/E28*100)</f>
        <v/>
      </c>
      <c r="H28" s="70" t="str">
        <f>IF(E28=0,"",'- 6 -'!G28/E28*100)</f>
        <v/>
      </c>
      <c r="I28" s="70" t="str">
        <f>IF(E28=0,"",'- 6 -'!H28/E28*100)</f>
        <v/>
      </c>
    </row>
    <row r="29" spans="1:9" ht="14.1" customHeight="1" x14ac:dyDescent="0.2">
      <c r="A29" s="331" t="s">
        <v>127</v>
      </c>
      <c r="B29" s="285">
        <v>26177763</v>
      </c>
      <c r="C29" s="291">
        <f>B29/'- 3 -'!D29*100</f>
        <v>15.471574527635751</v>
      </c>
      <c r="D29" s="332">
        <f t="shared" si="0"/>
        <v>5777.4802471860512</v>
      </c>
      <c r="E29" s="333">
        <f>SUM('- 6 -'!E29:H29)</f>
        <v>4531</v>
      </c>
      <c r="F29" s="291">
        <f>IF(E29=0,"",'- 6 -'!E29/E29*100)</f>
        <v>58.530125800044139</v>
      </c>
      <c r="G29" s="291">
        <f>IF(E29=0,"",'- 6 -'!F29/E29*100)</f>
        <v>0</v>
      </c>
      <c r="H29" s="291">
        <f>IF(E29=0,"",'- 6 -'!G29/E29*100)</f>
        <v>41.469874199955861</v>
      </c>
      <c r="I29" s="291">
        <f>IF(E29=0,"",'- 6 -'!H29/E29*100)</f>
        <v>0</v>
      </c>
    </row>
    <row r="30" spans="1:9" ht="14.1" customHeight="1" x14ac:dyDescent="0.2">
      <c r="A30" s="19" t="s">
        <v>128</v>
      </c>
      <c r="B30" s="20">
        <v>0</v>
      </c>
      <c r="C30" s="70">
        <f>B30/'- 3 -'!D30*100</f>
        <v>0</v>
      </c>
      <c r="D30" s="195" t="str">
        <f t="shared" si="0"/>
        <v/>
      </c>
      <c r="E30" s="196">
        <f>SUM('- 6 -'!E30:H30)</f>
        <v>0</v>
      </c>
      <c r="F30" s="70" t="str">
        <f>IF(E30=0,"",'- 6 -'!E30/E30*100)</f>
        <v/>
      </c>
      <c r="G30" s="70" t="str">
        <f>IF(E30=0,"",'- 6 -'!F30/E30*100)</f>
        <v/>
      </c>
      <c r="H30" s="70" t="str">
        <f>IF(E30=0,"",'- 6 -'!G30/E30*100)</f>
        <v/>
      </c>
      <c r="I30" s="70" t="str">
        <f>IF(E30=0,"",'- 6 -'!H30/E30*100)</f>
        <v/>
      </c>
    </row>
    <row r="31" spans="1:9" ht="14.1" customHeight="1" x14ac:dyDescent="0.2">
      <c r="A31" s="331" t="s">
        <v>129</v>
      </c>
      <c r="B31" s="285">
        <v>3885716</v>
      </c>
      <c r="C31" s="291">
        <f>B31/'- 3 -'!D31*100</f>
        <v>9.7253350630310855</v>
      </c>
      <c r="D31" s="332">
        <f t="shared" si="0"/>
        <v>4782.4196923076925</v>
      </c>
      <c r="E31" s="333">
        <f>SUM('- 6 -'!E31:H31)</f>
        <v>812.5</v>
      </c>
      <c r="F31" s="291">
        <f>IF(E31=0,"",'- 6 -'!E31/E31*100)</f>
        <v>61.907692307692308</v>
      </c>
      <c r="G31" s="291">
        <f>IF(E31=0,"",'- 6 -'!F31/E31*100)</f>
        <v>0</v>
      </c>
      <c r="H31" s="291">
        <f>IF(E31=0,"",'- 6 -'!G31/E31*100)</f>
        <v>38.092307692307692</v>
      </c>
      <c r="I31" s="291">
        <f>IF(E31=0,"",'- 6 -'!H31/E31*100)</f>
        <v>0</v>
      </c>
    </row>
    <row r="32" spans="1:9" ht="14.1" customHeight="1" x14ac:dyDescent="0.2">
      <c r="A32" s="19" t="s">
        <v>130</v>
      </c>
      <c r="B32" s="20">
        <v>1297868</v>
      </c>
      <c r="C32" s="70">
        <f>B32/'- 3 -'!D32*100</f>
        <v>4.2783709484230803</v>
      </c>
      <c r="D32" s="195">
        <f t="shared" si="0"/>
        <v>7502.1271676300576</v>
      </c>
      <c r="E32" s="196">
        <f>SUM('- 6 -'!E32:H32)</f>
        <v>173</v>
      </c>
      <c r="F32" s="70">
        <f>IF(E32=0,"",'- 6 -'!E32/E32*100)</f>
        <v>70.520231213872833</v>
      </c>
      <c r="G32" s="70">
        <f>IF(E32=0,"",'- 6 -'!F32/E32*100)</f>
        <v>0</v>
      </c>
      <c r="H32" s="70">
        <f>IF(E32=0,"",'- 6 -'!G32/E32*100)</f>
        <v>29.47976878612717</v>
      </c>
      <c r="I32" s="70">
        <f>IF(E32=0,"",'- 6 -'!H32/E32*100)</f>
        <v>0</v>
      </c>
    </row>
    <row r="33" spans="1:10" ht="14.1" customHeight="1" x14ac:dyDescent="0.2">
      <c r="A33" s="331" t="s">
        <v>131</v>
      </c>
      <c r="B33" s="285">
        <v>2858808</v>
      </c>
      <c r="C33" s="291">
        <f>B33/'- 3 -'!D33*100</f>
        <v>10.18450075655011</v>
      </c>
      <c r="D33" s="332">
        <f t="shared" si="0"/>
        <v>6482.557823129252</v>
      </c>
      <c r="E33" s="333">
        <f>SUM('- 6 -'!E33:H33)</f>
        <v>441</v>
      </c>
      <c r="F33" s="291">
        <f>IF(E33=0,"",'- 6 -'!E33/E33*100)</f>
        <v>48.639455782312922</v>
      </c>
      <c r="G33" s="291">
        <f>IF(E33=0,"",'- 6 -'!F33/E33*100)</f>
        <v>24.603174603174601</v>
      </c>
      <c r="H33" s="291">
        <f>IF(E33=0,"",'- 6 -'!G33/E33*100)</f>
        <v>26.75736961451247</v>
      </c>
      <c r="I33" s="291">
        <f>IF(E33=0,"",'- 6 -'!H33/E33*100)</f>
        <v>0</v>
      </c>
    </row>
    <row r="34" spans="1:10" ht="14.1" customHeight="1" x14ac:dyDescent="0.2">
      <c r="A34" s="19" t="s">
        <v>132</v>
      </c>
      <c r="B34" s="20">
        <v>1652688</v>
      </c>
      <c r="C34" s="70">
        <f>B34/'- 3 -'!D34*100</f>
        <v>5.4290202109367218</v>
      </c>
      <c r="D34" s="195">
        <f t="shared" si="0"/>
        <v>6871.8835758835758</v>
      </c>
      <c r="E34" s="196">
        <f>SUM('- 6 -'!E34:H34)</f>
        <v>240.5</v>
      </c>
      <c r="F34" s="70">
        <f>IF(E34=0,"",'- 6 -'!E34/E34*100)</f>
        <v>35.343035343035346</v>
      </c>
      <c r="G34" s="70">
        <f>IF(E34=0,"",'- 6 -'!F34/E34*100)</f>
        <v>64.656964656964661</v>
      </c>
      <c r="H34" s="70">
        <f>IF(E34=0,"",'- 6 -'!G34/E34*100)</f>
        <v>0</v>
      </c>
      <c r="I34" s="70">
        <f>IF(E34=0,"",'- 6 -'!H34/E34*100)</f>
        <v>0</v>
      </c>
    </row>
    <row r="35" spans="1:10" ht="14.1" customHeight="1" x14ac:dyDescent="0.2">
      <c r="A35" s="331" t="s">
        <v>133</v>
      </c>
      <c r="B35" s="285">
        <v>28387665</v>
      </c>
      <c r="C35" s="291">
        <f>B35/'- 3 -'!D35*100</f>
        <v>14.818077813094</v>
      </c>
      <c r="D35" s="332">
        <f t="shared" si="0"/>
        <v>4223.4121847801825</v>
      </c>
      <c r="E35" s="333">
        <f>SUM('- 6 -'!E35:H35)</f>
        <v>6721.5</v>
      </c>
      <c r="F35" s="291">
        <f>IF(E35=0,"",'- 6 -'!E35/E35*100)</f>
        <v>62.158744327902994</v>
      </c>
      <c r="G35" s="291">
        <f>IF(E35=0,"",'- 6 -'!F35/E35*100)</f>
        <v>0</v>
      </c>
      <c r="H35" s="291">
        <f>IF(E35=0,"",'- 6 -'!G35/E35*100)</f>
        <v>29.130402439931562</v>
      </c>
      <c r="I35" s="291">
        <f>IF(E35=0,"",'- 6 -'!H35/E35*100)</f>
        <v>8.7108532321654391</v>
      </c>
    </row>
    <row r="36" spans="1:10" ht="14.1" customHeight="1" x14ac:dyDescent="0.2">
      <c r="A36" s="19" t="s">
        <v>134</v>
      </c>
      <c r="B36" s="20">
        <v>0</v>
      </c>
      <c r="C36" s="70">
        <f>B36/'- 3 -'!D36*100</f>
        <v>0</v>
      </c>
      <c r="D36" s="195" t="str">
        <f t="shared" si="0"/>
        <v/>
      </c>
      <c r="E36" s="196">
        <f>SUM('- 6 -'!E36:H36)</f>
        <v>0</v>
      </c>
      <c r="F36" s="70" t="str">
        <f>IF(E36=0,"",'- 6 -'!E36/E36*100)</f>
        <v/>
      </c>
      <c r="G36" s="70" t="str">
        <f>IF(E36=0,"",'- 6 -'!F36/E36*100)</f>
        <v/>
      </c>
      <c r="H36" s="70" t="str">
        <f>IF(E36=0,"",'- 6 -'!G36/E36*100)</f>
        <v/>
      </c>
      <c r="I36" s="70" t="str">
        <f>IF(E36=0,"",'- 6 -'!H36/E36*100)</f>
        <v/>
      </c>
    </row>
    <row r="37" spans="1:10" ht="14.1" customHeight="1" x14ac:dyDescent="0.2">
      <c r="A37" s="331" t="s">
        <v>135</v>
      </c>
      <c r="B37" s="285">
        <v>8278690</v>
      </c>
      <c r="C37" s="291">
        <f>B37/'- 3 -'!D37*100</f>
        <v>15.085253276564448</v>
      </c>
      <c r="D37" s="332">
        <f t="shared" si="0"/>
        <v>5928.1704260651632</v>
      </c>
      <c r="E37" s="333">
        <f>SUM('- 6 -'!E37:H37)</f>
        <v>1396.5</v>
      </c>
      <c r="F37" s="291">
        <f>IF(E37=0,"",'- 6 -'!E37/E37*100)</f>
        <v>43.644826351593267</v>
      </c>
      <c r="G37" s="291">
        <f>IF(E37=0,"",'- 6 -'!F37/E37*100)</f>
        <v>0</v>
      </c>
      <c r="H37" s="291">
        <f>IF(E37=0,"",'- 6 -'!G37/E37*100)</f>
        <v>56.355173648406733</v>
      </c>
      <c r="I37" s="291">
        <f>IF(E37=0,"",'- 6 -'!H37/E37*100)</f>
        <v>0</v>
      </c>
    </row>
    <row r="38" spans="1:10" ht="14.1" customHeight="1" x14ac:dyDescent="0.2">
      <c r="A38" s="19" t="s">
        <v>136</v>
      </c>
      <c r="B38" s="20">
        <v>25038869</v>
      </c>
      <c r="C38" s="70">
        <f>B38/'- 3 -'!D38*100</f>
        <v>16.977456066068179</v>
      </c>
      <c r="D38" s="195">
        <f t="shared" si="0"/>
        <v>6353.914025426955</v>
      </c>
      <c r="E38" s="196">
        <f>SUM('- 6 -'!E38:H38)</f>
        <v>3940.7</v>
      </c>
      <c r="F38" s="70">
        <f>IF(E38=0,"",'- 6 -'!E38/E38*100)</f>
        <v>57.444108914659829</v>
      </c>
      <c r="G38" s="70">
        <f>IF(E38=0,"",'- 6 -'!F38/E38*100)</f>
        <v>0</v>
      </c>
      <c r="H38" s="70">
        <f>IF(E38=0,"",'- 6 -'!G38/E38*100)</f>
        <v>36.161088131550237</v>
      </c>
      <c r="I38" s="70">
        <f>IF(E38=0,"",'- 6 -'!H38/E38*100)</f>
        <v>6.3948029537899371</v>
      </c>
    </row>
    <row r="39" spans="1:10" ht="14.1" customHeight="1" x14ac:dyDescent="0.2">
      <c r="A39" s="331" t="s">
        <v>137</v>
      </c>
      <c r="B39" s="285">
        <v>0</v>
      </c>
      <c r="C39" s="291">
        <f>B39/'- 3 -'!D39*100</f>
        <v>0</v>
      </c>
      <c r="D39" s="332" t="str">
        <f t="shared" si="0"/>
        <v/>
      </c>
      <c r="E39" s="333">
        <f>SUM('- 6 -'!E39:H39)</f>
        <v>0</v>
      </c>
      <c r="F39" s="291" t="str">
        <f>IF(E39=0,"",'- 6 -'!E39/E39*100)</f>
        <v/>
      </c>
      <c r="G39" s="291" t="str">
        <f>IF(E39=0,"",'- 6 -'!F39/E39*100)</f>
        <v/>
      </c>
      <c r="H39" s="291" t="str">
        <f>IF(E39=0,"",'- 6 -'!G39/E39*100)</f>
        <v/>
      </c>
      <c r="I39" s="291" t="str">
        <f>IF(E39=0,"",'- 6 -'!H39/E39*100)</f>
        <v/>
      </c>
    </row>
    <row r="40" spans="1:10" ht="14.1" customHeight="1" x14ac:dyDescent="0.2">
      <c r="A40" s="19" t="s">
        <v>138</v>
      </c>
      <c r="B40" s="20">
        <v>5457253</v>
      </c>
      <c r="C40" s="70">
        <f>B40/'- 3 -'!D40*100</f>
        <v>5.1274779723394923</v>
      </c>
      <c r="D40" s="195">
        <f t="shared" si="0"/>
        <v>5588.0124923202948</v>
      </c>
      <c r="E40" s="196">
        <f>SUM('- 6 -'!E40:H40)</f>
        <v>976.6</v>
      </c>
      <c r="F40" s="70">
        <f>IF(E40=0,"",'- 6 -'!E40/E40*100)</f>
        <v>67.02846610690149</v>
      </c>
      <c r="G40" s="70">
        <f>IF(E40=0,"",'- 6 -'!F40/E40*100)</f>
        <v>0</v>
      </c>
      <c r="H40" s="70">
        <f>IF(E40=0,"",'- 6 -'!G40/E40*100)</f>
        <v>32.971533893098503</v>
      </c>
      <c r="I40" s="70">
        <f>IF(E40=0,"",'- 6 -'!H40/E40*100)</f>
        <v>0</v>
      </c>
    </row>
    <row r="41" spans="1:10" ht="14.1" customHeight="1" x14ac:dyDescent="0.2">
      <c r="A41" s="331" t="s">
        <v>139</v>
      </c>
      <c r="B41" s="285">
        <v>15433602</v>
      </c>
      <c r="C41" s="291">
        <f>B41/'- 3 -'!D41*100</f>
        <v>23.94780181781444</v>
      </c>
      <c r="D41" s="332">
        <f t="shared" si="0"/>
        <v>6277.6497864551557</v>
      </c>
      <c r="E41" s="333">
        <f>SUM('- 6 -'!E41:H41)</f>
        <v>2458.5</v>
      </c>
      <c r="F41" s="291">
        <f>IF(E41=0,"",'- 6 -'!E41/E41*100)</f>
        <v>66.036200935529791</v>
      </c>
      <c r="G41" s="291">
        <f>IF(E41=0,"",'- 6 -'!F41/E41*100)</f>
        <v>0</v>
      </c>
      <c r="H41" s="291">
        <f>IF(E41=0,"",'- 6 -'!G41/E41*100)</f>
        <v>30.526743949562739</v>
      </c>
      <c r="I41" s="291">
        <f>IF(E41=0,"",'- 6 -'!H41/E41*100)</f>
        <v>3.437055114907464</v>
      </c>
    </row>
    <row r="42" spans="1:10" ht="14.1" customHeight="1" x14ac:dyDescent="0.2">
      <c r="A42" s="19" t="s">
        <v>140</v>
      </c>
      <c r="B42" s="20">
        <v>1854697</v>
      </c>
      <c r="C42" s="70">
        <f>B42/'- 3 -'!D42*100</f>
        <v>9.0741837123251603</v>
      </c>
      <c r="D42" s="195">
        <f t="shared" si="0"/>
        <v>7174.8433268858798</v>
      </c>
      <c r="E42" s="196">
        <f>SUM('- 6 -'!E42:H42)</f>
        <v>258.5</v>
      </c>
      <c r="F42" s="70">
        <f>IF(E42=0,"",'- 6 -'!E42/E42*100)</f>
        <v>75.899419729206969</v>
      </c>
      <c r="G42" s="70">
        <f>IF(E42=0,"",'- 6 -'!F42/E42*100)</f>
        <v>0</v>
      </c>
      <c r="H42" s="70">
        <f>IF(E42=0,"",'- 6 -'!G42/E42*100)</f>
        <v>24.100580270793035</v>
      </c>
      <c r="I42" s="70">
        <f>IF(E42=0,"",'- 6 -'!H42/E42*100)</f>
        <v>0</v>
      </c>
    </row>
    <row r="43" spans="1:10" ht="14.1" customHeight="1" x14ac:dyDescent="0.2">
      <c r="A43" s="331" t="s">
        <v>141</v>
      </c>
      <c r="B43" s="285">
        <v>0</v>
      </c>
      <c r="C43" s="291">
        <f>B43/'- 3 -'!D43*100</f>
        <v>0</v>
      </c>
      <c r="D43" s="332" t="str">
        <f t="shared" si="0"/>
        <v/>
      </c>
      <c r="E43" s="333">
        <f>SUM('- 6 -'!E43:H43)</f>
        <v>0</v>
      </c>
      <c r="F43" s="291" t="str">
        <f>IF(E43=0,"",'- 6 -'!E43/E43*100)</f>
        <v/>
      </c>
      <c r="G43" s="291" t="str">
        <f>IF(E43=0,"",'- 6 -'!F43/E43*100)</f>
        <v/>
      </c>
      <c r="H43" s="291" t="str">
        <f>IF(E43=0,"",'- 6 -'!G43/E43*100)</f>
        <v/>
      </c>
      <c r="I43" s="291" t="str">
        <f>IF(E43=0,"",'- 6 -'!H43/E43*100)</f>
        <v/>
      </c>
    </row>
    <row r="44" spans="1:10" ht="14.1" customHeight="1" x14ac:dyDescent="0.2">
      <c r="A44" s="19" t="s">
        <v>142</v>
      </c>
      <c r="B44" s="20">
        <v>0</v>
      </c>
      <c r="C44" s="70">
        <f>B44/'- 3 -'!D44*100</f>
        <v>0</v>
      </c>
      <c r="D44" s="195" t="str">
        <f t="shared" si="0"/>
        <v/>
      </c>
      <c r="E44" s="196">
        <f>SUM('- 6 -'!E44:H44)</f>
        <v>0</v>
      </c>
      <c r="F44" s="70" t="str">
        <f>IF(E44=0,"",'- 6 -'!E44/E44*100)</f>
        <v/>
      </c>
      <c r="G44" s="70" t="str">
        <f>IF(E44=0,"",'- 6 -'!F44/E44*100)</f>
        <v/>
      </c>
      <c r="H44" s="70" t="str">
        <f>IF(E44=0,"",'- 6 -'!G44/E44*100)</f>
        <v/>
      </c>
      <c r="I44" s="70" t="str">
        <f>IF(E44=0,"",'- 6 -'!H44/E44*100)</f>
        <v/>
      </c>
    </row>
    <row r="45" spans="1:10" ht="14.1" customHeight="1" x14ac:dyDescent="0.2">
      <c r="A45" s="331" t="s">
        <v>143</v>
      </c>
      <c r="B45" s="285">
        <v>5952591</v>
      </c>
      <c r="C45" s="291">
        <f>B45/'- 3 -'!D45*100</f>
        <v>28.136176159973825</v>
      </c>
      <c r="D45" s="332">
        <f t="shared" si="0"/>
        <v>5636.923295454545</v>
      </c>
      <c r="E45" s="333">
        <f>SUM('- 6 -'!E45:H45)</f>
        <v>1056</v>
      </c>
      <c r="F45" s="291">
        <f>IF(E45=0,"",'- 6 -'!E45/E45*100)</f>
        <v>72.064393939393938</v>
      </c>
      <c r="G45" s="291">
        <f>IF(E45=0,"",'- 6 -'!F45/E45*100)</f>
        <v>0</v>
      </c>
      <c r="H45" s="291">
        <f>IF(E45=0,"",'- 6 -'!G45/E45*100)</f>
        <v>27.935606060606062</v>
      </c>
      <c r="I45" s="291">
        <f>IF(E45=0,"",'- 6 -'!H45/E45*100)</f>
        <v>0</v>
      </c>
    </row>
    <row r="46" spans="1:10" ht="14.1" customHeight="1" x14ac:dyDescent="0.2">
      <c r="A46" s="19" t="s">
        <v>144</v>
      </c>
      <c r="B46" s="20">
        <v>43680849</v>
      </c>
      <c r="C46" s="70">
        <f>B46/'- 3 -'!D46*100</f>
        <v>10.566292333524514</v>
      </c>
      <c r="D46" s="195">
        <f t="shared" si="0"/>
        <v>5319.9908655778427</v>
      </c>
      <c r="E46" s="196">
        <f>SUM('- 6 -'!E46:H46)</f>
        <v>8210.7000000000007</v>
      </c>
      <c r="F46" s="70">
        <f>IF(E46=0,"",'- 6 -'!E46/E46*100)</f>
        <v>59.513805156685784</v>
      </c>
      <c r="G46" s="70">
        <f>IF(E46=0,"",'- 6 -'!F46/E46*100)</f>
        <v>0</v>
      </c>
      <c r="H46" s="70">
        <f>IF(E46=0,"",'- 6 -'!G46/E46*100)</f>
        <v>36.138209896841921</v>
      </c>
      <c r="I46" s="70">
        <f>IF(E46=0,"",'- 6 -'!H46/E46*100)</f>
        <v>4.3479849464722857</v>
      </c>
    </row>
    <row r="47" spans="1:10" ht="5.0999999999999996" customHeight="1" x14ac:dyDescent="0.2">
      <c r="A47"/>
      <c r="B47" s="22"/>
      <c r="C47"/>
      <c r="D47"/>
      <c r="E47"/>
      <c r="F47"/>
      <c r="G47"/>
      <c r="H47"/>
      <c r="I47"/>
      <c r="J47"/>
    </row>
    <row r="48" spans="1:10" ht="14.1" customHeight="1" x14ac:dyDescent="0.2">
      <c r="A48" s="286" t="s">
        <v>145</v>
      </c>
      <c r="B48" s="287">
        <f>SUM(B11:B46)</f>
        <v>207240646</v>
      </c>
      <c r="C48" s="294">
        <f>B48/'- 3 -'!D48*100</f>
        <v>8.5929385568193322</v>
      </c>
      <c r="D48" s="334">
        <f>B48/E48</f>
        <v>5556.6453775203772</v>
      </c>
      <c r="E48" s="335">
        <f>SUM(E11:E46)</f>
        <v>37296</v>
      </c>
      <c r="F48" s="294">
        <f>IF(E48=0,"",'- 6 -'!E48/E48*100)</f>
        <v>60.99581724581725</v>
      </c>
      <c r="G48" s="294">
        <f>IF(E48=0,"",'- 6 -'!F48/E48*100)</f>
        <v>0.70785070785070792</v>
      </c>
      <c r="H48" s="294">
        <f>IF(E48=0,"",'- 6 -'!G48/E48*100)</f>
        <v>34.468843843843842</v>
      </c>
      <c r="I48" s="294">
        <f>IF(E48=0,"",'- 6 -'!H48/E48*100)</f>
        <v>3.8274882024882024</v>
      </c>
    </row>
    <row r="49" spans="1:9" ht="5.0999999999999996" customHeight="1" x14ac:dyDescent="0.2">
      <c r="A49" s="21" t="s">
        <v>7</v>
      </c>
      <c r="B49" s="22"/>
      <c r="C49"/>
      <c r="D49" s="22"/>
      <c r="E49" s="197"/>
      <c r="F49"/>
      <c r="G49"/>
      <c r="H49"/>
      <c r="I49"/>
    </row>
    <row r="50" spans="1:9" ht="14.1" customHeight="1" x14ac:dyDescent="0.2">
      <c r="A50" s="19" t="s">
        <v>146</v>
      </c>
      <c r="B50" s="20">
        <v>0</v>
      </c>
      <c r="C50" s="70">
        <f>B50/'- 3 -'!D50*100</f>
        <v>0</v>
      </c>
      <c r="D50" s="195" t="str">
        <f>IF(E50=0,"",B50/E50)</f>
        <v/>
      </c>
      <c r="E50" s="196">
        <f>SUM('- 6 -'!E50:H50)</f>
        <v>0</v>
      </c>
      <c r="F50" s="70" t="str">
        <f>IF(E50=0,"",'- 6 -'!E50/E50*100)</f>
        <v/>
      </c>
      <c r="G50" s="70" t="str">
        <f>IF(E50=0,"",'- 6 -'!F50/E50*100)</f>
        <v/>
      </c>
      <c r="H50" s="70" t="str">
        <f>IF(E50=0,"",'- 6 -'!G50/E50*100)</f>
        <v/>
      </c>
      <c r="I50" s="70" t="str">
        <f>IF(E50=0,"",'- 6 -'!H50/E50*100)</f>
        <v/>
      </c>
    </row>
    <row r="51" spans="1:9" ht="14.1" customHeight="1" x14ac:dyDescent="0.2">
      <c r="A51" s="331" t="s">
        <v>599</v>
      </c>
      <c r="B51" s="285">
        <v>0</v>
      </c>
      <c r="C51" s="291">
        <f>B51/'- 3 -'!D51*100</f>
        <v>0</v>
      </c>
      <c r="D51" s="332" t="str">
        <f>IF(E51=0,"",B51/E51)</f>
        <v/>
      </c>
      <c r="E51" s="333">
        <f>SUM('- 6 -'!E51:H51)</f>
        <v>0</v>
      </c>
      <c r="F51" s="291" t="str">
        <f>IF(E51=0,"",'- 6 -'!E51/E51*100)</f>
        <v/>
      </c>
      <c r="G51" s="291" t="str">
        <f>IF(E51=0,"",'- 6 -'!F51/E51*100)</f>
        <v/>
      </c>
      <c r="H51" s="291" t="str">
        <f>IF(E51=0,"",'- 6 -'!G51/E51*100)</f>
        <v/>
      </c>
      <c r="I51" s="291" t="str">
        <f>IF(E51=0,"",'- 6 -'!H51/E51*100)</f>
        <v/>
      </c>
    </row>
    <row r="52" spans="1:9" ht="50.1" customHeight="1" x14ac:dyDescent="0.2">
      <c r="A52" s="23"/>
      <c r="B52" s="108"/>
      <c r="C52" s="108"/>
      <c r="D52" s="108"/>
      <c r="E52" s="108"/>
      <c r="F52" s="108"/>
      <c r="G52" s="108"/>
      <c r="H52" s="108"/>
      <c r="I52" s="108"/>
    </row>
    <row r="53" spans="1:9" ht="15" customHeight="1" x14ac:dyDescent="0.2">
      <c r="A53" s="85" t="s">
        <v>344</v>
      </c>
      <c r="C53" s="85"/>
      <c r="D53" s="85"/>
      <c r="E53" s="85"/>
      <c r="F53" s="85"/>
      <c r="G53" s="85"/>
      <c r="H53" s="85"/>
      <c r="I53" s="85"/>
    </row>
  </sheetData>
  <mergeCells count="4">
    <mergeCell ref="D8:D9"/>
    <mergeCell ref="E7:E9"/>
    <mergeCell ref="F7:I7"/>
    <mergeCell ref="H8:H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I55"/>
  <sheetViews>
    <sheetView showGridLines="0" showZeros="0" workbookViewId="0"/>
  </sheetViews>
  <sheetFormatPr defaultColWidth="15.83203125" defaultRowHeight="12" x14ac:dyDescent="0.2"/>
  <cols>
    <col min="1" max="1" width="32.83203125" style="2" customWidth="1"/>
    <col min="2" max="2" width="15.83203125" style="2" customWidth="1"/>
    <col min="3" max="3" width="7.83203125" style="2" customWidth="1"/>
    <col min="4" max="4" width="9.83203125" style="2" customWidth="1"/>
    <col min="5" max="5" width="14.83203125" style="2" customWidth="1"/>
    <col min="6" max="6" width="7.83203125" style="2" customWidth="1"/>
    <col min="7" max="7" width="9.83203125" style="2" customWidth="1"/>
    <col min="8" max="8" width="15.83203125" style="2"/>
    <col min="9" max="9" width="7.83203125" style="2" customWidth="1"/>
    <col min="10" max="16384" width="15.83203125" style="2"/>
  </cols>
  <sheetData>
    <row r="1" spans="1:9" ht="6.95" customHeight="1" x14ac:dyDescent="0.2">
      <c r="A1" s="7"/>
      <c r="B1" s="8"/>
      <c r="C1" s="8"/>
      <c r="D1" s="8"/>
      <c r="E1" s="8"/>
      <c r="F1" s="8"/>
      <c r="G1" s="8"/>
      <c r="H1" s="8"/>
      <c r="I1" s="8"/>
    </row>
    <row r="2" spans="1:9" ht="15.95" customHeight="1" x14ac:dyDescent="0.2">
      <c r="A2" s="134"/>
      <c r="B2" s="9" t="s">
        <v>263</v>
      </c>
      <c r="C2" s="10"/>
      <c r="D2" s="10"/>
      <c r="E2" s="10"/>
      <c r="F2" s="10"/>
      <c r="G2" s="73"/>
      <c r="H2" s="73"/>
      <c r="I2" s="395" t="s">
        <v>399</v>
      </c>
    </row>
    <row r="3" spans="1:9" ht="15.95" customHeight="1" x14ac:dyDescent="0.2">
      <c r="A3" s="541"/>
      <c r="B3" s="11" t="str">
        <f>OPYEAR</f>
        <v>OPERATING FUND 2019/2020 ACTUAL</v>
      </c>
      <c r="C3" s="12"/>
      <c r="D3" s="12"/>
      <c r="E3" s="12"/>
      <c r="F3" s="12"/>
      <c r="G3" s="75"/>
      <c r="H3" s="75"/>
      <c r="I3" s="75"/>
    </row>
    <row r="4" spans="1:9" ht="15.95" customHeight="1" x14ac:dyDescent="0.2">
      <c r="B4" s="8"/>
      <c r="C4" s="8"/>
      <c r="D4" s="66"/>
      <c r="E4" s="8"/>
      <c r="F4" s="8"/>
      <c r="G4" s="8"/>
      <c r="H4" s="8"/>
      <c r="I4" s="8"/>
    </row>
    <row r="5" spans="1:9" ht="15.95" customHeight="1" x14ac:dyDescent="0.2">
      <c r="B5" s="393" t="s">
        <v>602</v>
      </c>
      <c r="C5" s="165"/>
      <c r="D5" s="166"/>
      <c r="E5" s="166"/>
      <c r="F5" s="166"/>
      <c r="G5" s="166"/>
      <c r="H5" s="547"/>
      <c r="I5" s="547"/>
    </row>
    <row r="6" spans="1:9" ht="15.95" customHeight="1" x14ac:dyDescent="0.2">
      <c r="B6" s="649" t="s">
        <v>475</v>
      </c>
      <c r="C6" s="657"/>
      <c r="D6" s="650"/>
      <c r="E6" s="653" t="s">
        <v>476</v>
      </c>
      <c r="F6" s="657"/>
      <c r="G6" s="674"/>
      <c r="H6" s="676" t="s">
        <v>477</v>
      </c>
      <c r="I6" s="677"/>
    </row>
    <row r="7" spans="1:9" ht="15.95" customHeight="1" x14ac:dyDescent="0.2">
      <c r="B7" s="651"/>
      <c r="C7" s="658"/>
      <c r="D7" s="652"/>
      <c r="E7" s="651"/>
      <c r="F7" s="658"/>
      <c r="G7" s="675"/>
      <c r="H7" s="678"/>
      <c r="I7" s="679"/>
    </row>
    <row r="8" spans="1:9" ht="15.95" customHeight="1" x14ac:dyDescent="0.2">
      <c r="A8" s="67"/>
      <c r="B8" s="137"/>
      <c r="C8" s="138"/>
      <c r="D8" s="602" t="s">
        <v>471</v>
      </c>
      <c r="E8" s="137"/>
      <c r="F8" s="139"/>
      <c r="G8" s="602" t="s">
        <v>471</v>
      </c>
      <c r="H8" s="137"/>
      <c r="I8" s="139"/>
    </row>
    <row r="9" spans="1:9" ht="15.95" customHeight="1" x14ac:dyDescent="0.2">
      <c r="A9" s="35" t="s">
        <v>42</v>
      </c>
      <c r="B9" s="77" t="s">
        <v>43</v>
      </c>
      <c r="C9" s="77" t="s">
        <v>44</v>
      </c>
      <c r="D9" s="604"/>
      <c r="E9" s="77" t="s">
        <v>43</v>
      </c>
      <c r="F9" s="77" t="s">
        <v>44</v>
      </c>
      <c r="G9" s="604"/>
      <c r="H9" s="77" t="s">
        <v>43</v>
      </c>
      <c r="I9" s="77" t="s">
        <v>44</v>
      </c>
    </row>
    <row r="10" spans="1:9" ht="5.0999999999999996" customHeight="1" x14ac:dyDescent="0.2">
      <c r="A10" s="6"/>
    </row>
    <row r="11" spans="1:9" ht="14.1" customHeight="1" x14ac:dyDescent="0.2">
      <c r="A11" s="284" t="s">
        <v>110</v>
      </c>
      <c r="B11" s="285">
        <v>134186</v>
      </c>
      <c r="C11" s="291">
        <f>B11/'- 3 -'!$D11*100</f>
        <v>0.63844228950069648</v>
      </c>
      <c r="D11" s="285">
        <f>B11/'- 7 -'!$E11</f>
        <v>67.770707070707076</v>
      </c>
      <c r="E11" s="285">
        <v>200958</v>
      </c>
      <c r="F11" s="291">
        <f>E11/'- 3 -'!$D11*100</f>
        <v>0.95613615141282238</v>
      </c>
      <c r="G11" s="285">
        <f>E11/'- 7 -'!$E11</f>
        <v>101.4939393939394</v>
      </c>
      <c r="H11" s="285">
        <v>232723</v>
      </c>
      <c r="I11" s="291">
        <f>H11/'- 3 -'!$D11*100</f>
        <v>1.1072705419303848</v>
      </c>
    </row>
    <row r="12" spans="1:9" ht="14.1" customHeight="1" x14ac:dyDescent="0.2">
      <c r="A12" s="19" t="s">
        <v>111</v>
      </c>
      <c r="B12" s="20">
        <v>200283</v>
      </c>
      <c r="C12" s="70">
        <f>B12/'- 3 -'!$D12*100</f>
        <v>0.59700582277634306</v>
      </c>
      <c r="D12" s="20">
        <f>B12/'- 7 -'!$E12</f>
        <v>92.068898940864955</v>
      </c>
      <c r="E12" s="20">
        <v>766320</v>
      </c>
      <c r="F12" s="70">
        <f>E12/'- 3 -'!$D12*100</f>
        <v>2.2842552893154551</v>
      </c>
      <c r="G12" s="20">
        <f>E12/'- 7 -'!$E12</f>
        <v>352.27272727272725</v>
      </c>
      <c r="H12" s="20">
        <v>0</v>
      </c>
      <c r="I12" s="70">
        <f>H12/'- 3 -'!$D12*100</f>
        <v>0</v>
      </c>
    </row>
    <row r="13" spans="1:9" ht="14.1" customHeight="1" x14ac:dyDescent="0.2">
      <c r="A13" s="284" t="s">
        <v>112</v>
      </c>
      <c r="B13" s="285">
        <v>344909</v>
      </c>
      <c r="C13" s="291">
        <f>B13/'- 3 -'!$D13*100</f>
        <v>0.32991841767565117</v>
      </c>
      <c r="D13" s="285">
        <f>B13/'- 7 -'!$E13</f>
        <v>39.827829099307159</v>
      </c>
      <c r="E13" s="285">
        <v>3056796</v>
      </c>
      <c r="F13" s="291">
        <f>E13/'- 3 -'!$D13*100</f>
        <v>2.9239402261966485</v>
      </c>
      <c r="G13" s="285">
        <f>E13/'- 7 -'!$E13</f>
        <v>352.97875288683605</v>
      </c>
      <c r="H13" s="285">
        <v>1026583</v>
      </c>
      <c r="I13" s="291">
        <f>H13/'- 3 -'!$D13*100</f>
        <v>0.98196521103457146</v>
      </c>
    </row>
    <row r="14" spans="1:9" ht="14.1" customHeight="1" x14ac:dyDescent="0.2">
      <c r="A14" s="19" t="s">
        <v>358</v>
      </c>
      <c r="B14" s="20">
        <v>436130</v>
      </c>
      <c r="C14" s="70">
        <f>B14/'- 3 -'!$D14*100</f>
        <v>0.48685549332360628</v>
      </c>
      <c r="D14" s="20">
        <f>B14/'- 7 -'!$E14</f>
        <v>78.801775041015304</v>
      </c>
      <c r="E14" s="20">
        <v>1140649</v>
      </c>
      <c r="F14" s="70">
        <f>E14/'- 3 -'!$D14*100</f>
        <v>1.2733158269416875</v>
      </c>
      <c r="G14" s="20">
        <f>E14/'- 7 -'!$E14</f>
        <v>206.09718638653399</v>
      </c>
      <c r="H14" s="20">
        <v>688008</v>
      </c>
      <c r="I14" s="70">
        <f>H14/'- 3 -'!$D14*100</f>
        <v>0.76802896900141626</v>
      </c>
    </row>
    <row r="15" spans="1:9" ht="14.1" customHeight="1" x14ac:dyDescent="0.2">
      <c r="A15" s="284" t="s">
        <v>113</v>
      </c>
      <c r="B15" s="285">
        <v>168553</v>
      </c>
      <c r="C15" s="291">
        <f>B15/'- 3 -'!$D15*100</f>
        <v>0.85452427951526555</v>
      </c>
      <c r="D15" s="285">
        <f>B15/'- 7 -'!$E15</f>
        <v>115.80419099965647</v>
      </c>
      <c r="E15" s="285">
        <v>278029</v>
      </c>
      <c r="F15" s="291">
        <f>E15/'- 3 -'!$D15*100</f>
        <v>1.4095419892220831</v>
      </c>
      <c r="G15" s="285">
        <f>E15/'- 7 -'!$E15</f>
        <v>191.01958090003436</v>
      </c>
      <c r="H15" s="285">
        <v>0</v>
      </c>
      <c r="I15" s="291">
        <f>H15/'- 3 -'!$D15*100</f>
        <v>0</v>
      </c>
    </row>
    <row r="16" spans="1:9" ht="14.1" customHeight="1" x14ac:dyDescent="0.2">
      <c r="A16" s="19" t="s">
        <v>114</v>
      </c>
      <c r="B16" s="20">
        <v>71623</v>
      </c>
      <c r="C16" s="70">
        <f>B16/'- 3 -'!$D16*100</f>
        <v>0.49830401449793837</v>
      </c>
      <c r="D16" s="20">
        <f>B16/'- 7 -'!$E16</f>
        <v>78.697945280738381</v>
      </c>
      <c r="E16" s="20">
        <v>254091</v>
      </c>
      <c r="F16" s="70">
        <f>E16/'- 3 -'!$D16*100</f>
        <v>1.7677919850857358</v>
      </c>
      <c r="G16" s="20">
        <f>E16/'- 7 -'!$E16</f>
        <v>279.19019887924401</v>
      </c>
      <c r="H16" s="20">
        <v>101388</v>
      </c>
      <c r="I16" s="70">
        <f>H16/'- 3 -'!$D16*100</f>
        <v>0.70538859614812233</v>
      </c>
    </row>
    <row r="17" spans="1:9" ht="14.1" customHeight="1" x14ac:dyDescent="0.2">
      <c r="A17" s="284" t="s">
        <v>115</v>
      </c>
      <c r="B17" s="285">
        <v>133782</v>
      </c>
      <c r="C17" s="291">
        <f>B17/'- 3 -'!$D17*100</f>
        <v>0.74322218500055837</v>
      </c>
      <c r="D17" s="285">
        <f>B17/'- 7 -'!$E17</f>
        <v>93.586568730325283</v>
      </c>
      <c r="E17" s="285">
        <v>284615</v>
      </c>
      <c r="F17" s="291">
        <f>E17/'- 3 -'!$D17*100</f>
        <v>1.5811707268835413</v>
      </c>
      <c r="G17" s="285">
        <f>E17/'- 7 -'!$E17</f>
        <v>199.10108429520812</v>
      </c>
      <c r="H17" s="285">
        <v>0</v>
      </c>
      <c r="I17" s="291">
        <f>H17/'- 3 -'!$D17*100</f>
        <v>0</v>
      </c>
    </row>
    <row r="18" spans="1:9" ht="14.1" customHeight="1" x14ac:dyDescent="0.2">
      <c r="A18" s="19" t="s">
        <v>116</v>
      </c>
      <c r="B18" s="20">
        <v>0</v>
      </c>
      <c r="C18" s="70">
        <f>B18/'- 3 -'!$D18*100</f>
        <v>0</v>
      </c>
      <c r="D18" s="20">
        <f>B18/'- 7 -'!$E18</f>
        <v>0</v>
      </c>
      <c r="E18" s="20">
        <v>1455211</v>
      </c>
      <c r="F18" s="70">
        <f>E18/'- 3 -'!$D18*100</f>
        <v>1.0926423430892196</v>
      </c>
      <c r="G18" s="20">
        <f>E18/'- 7 -'!$E18</f>
        <v>244.30638797951818</v>
      </c>
      <c r="H18" s="20">
        <v>0</v>
      </c>
      <c r="I18" s="70">
        <f>H18/'- 3 -'!$D18*100</f>
        <v>0</v>
      </c>
    </row>
    <row r="19" spans="1:9" ht="14.1" customHeight="1" x14ac:dyDescent="0.2">
      <c r="A19" s="284" t="s">
        <v>117</v>
      </c>
      <c r="B19" s="285">
        <v>156558</v>
      </c>
      <c r="C19" s="291">
        <f>B19/'- 3 -'!$D19*100</f>
        <v>0.31482238138222501</v>
      </c>
      <c r="D19" s="285">
        <f>B19/'- 7 -'!$E19</f>
        <v>35.546624889312717</v>
      </c>
      <c r="E19" s="285">
        <v>1096063</v>
      </c>
      <c r="F19" s="291">
        <f>E19/'- 3 -'!$D19*100</f>
        <v>2.2040723808744729</v>
      </c>
      <c r="G19" s="285">
        <f>E19/'- 7 -'!$E19</f>
        <v>248.86202120654815</v>
      </c>
      <c r="H19" s="285">
        <v>1224663</v>
      </c>
      <c r="I19" s="291">
        <f>H19/'- 3 -'!$D19*100</f>
        <v>2.462674038060654</v>
      </c>
    </row>
    <row r="20" spans="1:9" ht="14.1" customHeight="1" x14ac:dyDescent="0.2">
      <c r="A20" s="19" t="s">
        <v>118</v>
      </c>
      <c r="B20" s="20">
        <v>503991</v>
      </c>
      <c r="C20" s="70">
        <f>B20/'- 3 -'!$D20*100</f>
        <v>0.56936682634754077</v>
      </c>
      <c r="D20" s="20">
        <f>B20/'- 7 -'!$E20</f>
        <v>62.837853001683186</v>
      </c>
      <c r="E20" s="20">
        <v>1931367</v>
      </c>
      <c r="F20" s="70">
        <f>E20/'- 3 -'!$D20*100</f>
        <v>2.1818966991521096</v>
      </c>
      <c r="G20" s="20">
        <f>E20/'- 7 -'!$E20</f>
        <v>240.80381522348981</v>
      </c>
      <c r="H20" s="20">
        <v>750556</v>
      </c>
      <c r="I20" s="70">
        <f>H20/'- 3 -'!$D20*100</f>
        <v>0.84791531538480813</v>
      </c>
    </row>
    <row r="21" spans="1:9" ht="14.1" customHeight="1" x14ac:dyDescent="0.2">
      <c r="A21" s="284" t="s">
        <v>119</v>
      </c>
      <c r="B21" s="285">
        <v>170713</v>
      </c>
      <c r="C21" s="291">
        <f>B21/'- 3 -'!$D21*100</f>
        <v>0.45391301721270877</v>
      </c>
      <c r="D21" s="285">
        <f>B21/'- 7 -'!$E21</f>
        <v>60.472192702798438</v>
      </c>
      <c r="E21" s="285">
        <v>832167</v>
      </c>
      <c r="F21" s="291">
        <f>E21/'- 3 -'!$D21*100</f>
        <v>2.2126694147185524</v>
      </c>
      <c r="G21" s="285">
        <f>E21/'- 7 -'!$E21</f>
        <v>294.78108395324125</v>
      </c>
      <c r="H21" s="285">
        <v>98732</v>
      </c>
      <c r="I21" s="291">
        <f>H21/'- 3 -'!$D21*100</f>
        <v>0.26252095631524935</v>
      </c>
    </row>
    <row r="22" spans="1:9" ht="14.1" customHeight="1" x14ac:dyDescent="0.2">
      <c r="A22" s="19" t="s">
        <v>120</v>
      </c>
      <c r="B22" s="20">
        <v>17155</v>
      </c>
      <c r="C22" s="70">
        <f>B22/'- 3 -'!$D22*100</f>
        <v>8.3102196518698573E-2</v>
      </c>
      <c r="D22" s="20">
        <f>B22/'- 7 -'!$E22</f>
        <v>11.175895765472312</v>
      </c>
      <c r="E22" s="20">
        <v>228880</v>
      </c>
      <c r="F22" s="70">
        <f>E22/'- 3 -'!$D22*100</f>
        <v>1.1087397691168599</v>
      </c>
      <c r="G22" s="20">
        <f>E22/'- 7 -'!$E22</f>
        <v>149.10749185667751</v>
      </c>
      <c r="H22" s="20">
        <v>917653</v>
      </c>
      <c r="I22" s="70">
        <f>H22/'- 3 -'!$D22*100</f>
        <v>4.4452917482934016</v>
      </c>
    </row>
    <row r="23" spans="1:9" ht="14.1" customHeight="1" x14ac:dyDescent="0.2">
      <c r="A23" s="284" t="s">
        <v>121</v>
      </c>
      <c r="B23" s="285">
        <v>135396</v>
      </c>
      <c r="C23" s="291">
        <f>B23/'- 3 -'!$D23*100</f>
        <v>0.87239364698250488</v>
      </c>
      <c r="D23" s="285">
        <f>B23/'- 7 -'!$E23</f>
        <v>144.22241158926289</v>
      </c>
      <c r="E23" s="285">
        <v>272190</v>
      </c>
      <c r="F23" s="291">
        <f>E23/'- 3 -'!$D23*100</f>
        <v>1.7537949922609826</v>
      </c>
      <c r="G23" s="285">
        <f>E23/'- 7 -'!$E23</f>
        <v>289.93395824456752</v>
      </c>
      <c r="H23" s="285">
        <v>0</v>
      </c>
      <c r="I23" s="291">
        <f>H23/'- 3 -'!$D23*100</f>
        <v>0</v>
      </c>
    </row>
    <row r="24" spans="1:9" ht="14.1" customHeight="1" x14ac:dyDescent="0.2">
      <c r="A24" s="19" t="s">
        <v>122</v>
      </c>
      <c r="B24" s="20">
        <v>392545</v>
      </c>
      <c r="C24" s="70">
        <f>B24/'- 3 -'!$D24*100</f>
        <v>0.67168064560462881</v>
      </c>
      <c r="D24" s="20">
        <f>B24/'- 7 -'!$E24</f>
        <v>104.83242088396315</v>
      </c>
      <c r="E24" s="20">
        <v>1767678</v>
      </c>
      <c r="F24" s="70">
        <f>E24/'- 3 -'!$D24*100</f>
        <v>3.0246598485806695</v>
      </c>
      <c r="G24" s="20">
        <f>E24/'- 7 -'!$E24</f>
        <v>472.07317398851649</v>
      </c>
      <c r="H24" s="20">
        <v>296099</v>
      </c>
      <c r="I24" s="70">
        <f>H24/'- 3 -'!$D24*100</f>
        <v>0.50665265761348377</v>
      </c>
    </row>
    <row r="25" spans="1:9" ht="14.1" customHeight="1" x14ac:dyDescent="0.2">
      <c r="A25" s="284" t="s">
        <v>123</v>
      </c>
      <c r="B25" s="285">
        <v>1143714</v>
      </c>
      <c r="C25" s="291">
        <f>B25/'- 3 -'!$D25*100</f>
        <v>0.58929156211897393</v>
      </c>
      <c r="D25" s="285">
        <f>B25/'- 7 -'!$E25</f>
        <v>76.191218498311258</v>
      </c>
      <c r="E25" s="285">
        <v>4438275</v>
      </c>
      <c r="F25" s="291">
        <f>E25/'- 3 -'!$D25*100</f>
        <v>2.2867937332791146</v>
      </c>
      <c r="G25" s="285">
        <f>E25/'- 7 -'!$E25</f>
        <v>295.666207006815</v>
      </c>
      <c r="H25" s="285">
        <v>8663481</v>
      </c>
      <c r="I25" s="291">
        <f>H25/'- 3 -'!$D25*100</f>
        <v>4.4638049826075843</v>
      </c>
    </row>
    <row r="26" spans="1:9" ht="14.1" customHeight="1" x14ac:dyDescent="0.2">
      <c r="A26" s="19" t="s">
        <v>124</v>
      </c>
      <c r="B26" s="20">
        <v>150338</v>
      </c>
      <c r="C26" s="70">
        <f>B26/'- 3 -'!$D26*100</f>
        <v>0.36749105551684524</v>
      </c>
      <c r="D26" s="20">
        <f>B26/'- 7 -'!$E26</f>
        <v>49.089959183673471</v>
      </c>
      <c r="E26" s="20">
        <v>776346</v>
      </c>
      <c r="F26" s="70">
        <f>E26/'- 3 -'!$D26*100</f>
        <v>1.8977251991265067</v>
      </c>
      <c r="G26" s="20">
        <f>E26/'- 7 -'!$E26</f>
        <v>253.50073469387755</v>
      </c>
      <c r="H26" s="20">
        <v>219513</v>
      </c>
      <c r="I26" s="70">
        <f>H26/'- 3 -'!$D26*100</f>
        <v>0.53658465637210317</v>
      </c>
    </row>
    <row r="27" spans="1:9" ht="14.1" customHeight="1" x14ac:dyDescent="0.2">
      <c r="A27" s="284" t="s">
        <v>125</v>
      </c>
      <c r="B27" s="285">
        <v>206760</v>
      </c>
      <c r="C27" s="291">
        <f>B27/'- 3 -'!$D27*100</f>
        <v>0.49653551446492294</v>
      </c>
      <c r="D27" s="285">
        <f>B27/'- 7 -'!$E27</f>
        <v>68.403326871034125</v>
      </c>
      <c r="E27" s="285">
        <v>450462</v>
      </c>
      <c r="F27" s="291">
        <f>E27/'- 3 -'!$D27*100</f>
        <v>1.0817874875067621</v>
      </c>
      <c r="G27" s="285">
        <f>E27/'- 7 -'!$E27</f>
        <v>149.02833927732527</v>
      </c>
      <c r="H27" s="285">
        <v>2513796</v>
      </c>
      <c r="I27" s="291">
        <f>H27/'- 3 -'!$D27*100</f>
        <v>6.0368978047971824</v>
      </c>
    </row>
    <row r="28" spans="1:9" ht="14.1" customHeight="1" x14ac:dyDescent="0.2">
      <c r="A28" s="19" t="s">
        <v>126</v>
      </c>
      <c r="B28" s="20">
        <v>120172</v>
      </c>
      <c r="C28" s="70">
        <f>B28/'- 3 -'!$D28*100</f>
        <v>0.42563699623227036</v>
      </c>
      <c r="D28" s="20">
        <f>B28/'- 7 -'!$E28</f>
        <v>60.448692152917502</v>
      </c>
      <c r="E28" s="20">
        <v>446849</v>
      </c>
      <c r="F28" s="70">
        <f>E28/'- 3 -'!$D28*100</f>
        <v>1.5826936901224391</v>
      </c>
      <c r="G28" s="20">
        <f>E28/'- 7 -'!$E28</f>
        <v>224.773138832998</v>
      </c>
      <c r="H28" s="20">
        <v>0</v>
      </c>
      <c r="I28" s="70">
        <f>H28/'- 3 -'!$D28*100</f>
        <v>0</v>
      </c>
    </row>
    <row r="29" spans="1:9" ht="14.1" customHeight="1" x14ac:dyDescent="0.2">
      <c r="A29" s="284" t="s">
        <v>127</v>
      </c>
      <c r="B29" s="285">
        <v>577884</v>
      </c>
      <c r="C29" s="291">
        <f>B29/'- 3 -'!$D29*100</f>
        <v>0.34154084802159218</v>
      </c>
      <c r="D29" s="285">
        <f>B29/'- 7 -'!$E29</f>
        <v>40.36771331773253</v>
      </c>
      <c r="E29" s="285">
        <v>3224626</v>
      </c>
      <c r="F29" s="291">
        <f>E29/'- 3 -'!$D29*100</f>
        <v>1.9058176010972352</v>
      </c>
      <c r="G29" s="285">
        <f>E29/'- 7 -'!$E29</f>
        <v>225.25416506583773</v>
      </c>
      <c r="H29" s="285">
        <v>690338</v>
      </c>
      <c r="I29" s="291">
        <f>H29/'- 3 -'!$D29*100</f>
        <v>0.40800338120025803</v>
      </c>
    </row>
    <row r="30" spans="1:9" ht="14.1" customHeight="1" x14ac:dyDescent="0.2">
      <c r="A30" s="19" t="s">
        <v>128</v>
      </c>
      <c r="B30" s="20">
        <v>146119</v>
      </c>
      <c r="C30" s="70">
        <f>B30/'- 3 -'!$D30*100</f>
        <v>0.93923677554954266</v>
      </c>
      <c r="D30" s="20">
        <f>B30/'- 7 -'!$E30</f>
        <v>142.4856167723062</v>
      </c>
      <c r="E30" s="20">
        <v>221747</v>
      </c>
      <c r="F30" s="70">
        <f>E30/'- 3 -'!$D30*100</f>
        <v>1.4253651973239925</v>
      </c>
      <c r="G30" s="20">
        <f>E30/'- 7 -'!$E30</f>
        <v>216.23305704534374</v>
      </c>
      <c r="H30" s="20">
        <v>0</v>
      </c>
      <c r="I30" s="70">
        <f>H30/'- 3 -'!$D30*100</f>
        <v>0</v>
      </c>
    </row>
    <row r="31" spans="1:9" ht="14.1" customHeight="1" x14ac:dyDescent="0.2">
      <c r="A31" s="284" t="s">
        <v>129</v>
      </c>
      <c r="B31" s="285">
        <v>162286</v>
      </c>
      <c r="C31" s="291">
        <f>B31/'- 3 -'!$D31*100</f>
        <v>0.40617629441757003</v>
      </c>
      <c r="D31" s="285">
        <f>B31/'- 7 -'!$E31</f>
        <v>48.676064787042591</v>
      </c>
      <c r="E31" s="285">
        <v>662777</v>
      </c>
      <c r="F31" s="291">
        <f>E31/'- 3 -'!$D31*100</f>
        <v>1.658826429175615</v>
      </c>
      <c r="G31" s="285">
        <f>E31/'- 7 -'!$E31</f>
        <v>198.79334133173364</v>
      </c>
      <c r="H31" s="285">
        <v>1442227</v>
      </c>
      <c r="I31" s="291">
        <f>H31/'- 3 -'!$D31*100</f>
        <v>3.6096669988105492</v>
      </c>
    </row>
    <row r="32" spans="1:9" ht="14.1" customHeight="1" x14ac:dyDescent="0.2">
      <c r="A32" s="19" t="s">
        <v>130</v>
      </c>
      <c r="B32" s="20">
        <v>149900</v>
      </c>
      <c r="C32" s="70">
        <f>B32/'- 3 -'!$D32*100</f>
        <v>0.49413946962913008</v>
      </c>
      <c r="D32" s="20">
        <f>B32/'- 7 -'!$E32</f>
        <v>65.86115992970123</v>
      </c>
      <c r="E32" s="20">
        <v>317701</v>
      </c>
      <c r="F32" s="70">
        <f>E32/'- 3 -'!$D32*100</f>
        <v>1.0472888835266461</v>
      </c>
      <c r="G32" s="20">
        <f>E32/'- 7 -'!$E32</f>
        <v>139.58743409490333</v>
      </c>
      <c r="H32" s="20">
        <v>0</v>
      </c>
      <c r="I32" s="70">
        <f>H32/'- 3 -'!$D32*100</f>
        <v>0</v>
      </c>
    </row>
    <row r="33" spans="1:9" ht="14.1" customHeight="1" x14ac:dyDescent="0.2">
      <c r="A33" s="284" t="s">
        <v>131</v>
      </c>
      <c r="B33" s="285">
        <v>212877</v>
      </c>
      <c r="C33" s="291">
        <f>B33/'- 3 -'!$D33*100</f>
        <v>0.75837410821297468</v>
      </c>
      <c r="D33" s="285">
        <f>B33/'- 7 -'!$E33</f>
        <v>103.68059614260667</v>
      </c>
      <c r="E33" s="285">
        <v>467885</v>
      </c>
      <c r="F33" s="291">
        <f>E33/'- 3 -'!$D33*100</f>
        <v>1.6668398634950117</v>
      </c>
      <c r="G33" s="285">
        <f>E33/'- 7 -'!$E33</f>
        <v>227.88086888759011</v>
      </c>
      <c r="H33" s="285">
        <v>0</v>
      </c>
      <c r="I33" s="291">
        <f>H33/'- 3 -'!$D33*100</f>
        <v>0</v>
      </c>
    </row>
    <row r="34" spans="1:9" ht="14.1" customHeight="1" x14ac:dyDescent="0.2">
      <c r="A34" s="19" t="s">
        <v>132</v>
      </c>
      <c r="B34" s="20">
        <v>245676</v>
      </c>
      <c r="C34" s="70">
        <f>B34/'- 3 -'!$D34*100</f>
        <v>0.8070367603214218</v>
      </c>
      <c r="D34" s="20">
        <f>B34/'- 7 -'!$E34</f>
        <v>110.47576220883174</v>
      </c>
      <c r="E34" s="20">
        <v>492769</v>
      </c>
      <c r="F34" s="70">
        <f>E34/'- 3 -'!$D34*100</f>
        <v>1.6187283143116411</v>
      </c>
      <c r="G34" s="20">
        <f>E34/'- 7 -'!$E34</f>
        <v>221.5887220073748</v>
      </c>
      <c r="H34" s="20">
        <v>713378</v>
      </c>
      <c r="I34" s="70">
        <f>H34/'- 3 -'!$D34*100</f>
        <v>2.3434208876918188</v>
      </c>
    </row>
    <row r="35" spans="1:9" ht="14.1" customHeight="1" x14ac:dyDescent="0.2">
      <c r="A35" s="284" t="s">
        <v>133</v>
      </c>
      <c r="B35" s="285">
        <v>1116207</v>
      </c>
      <c r="C35" s="291">
        <f>B35/'- 3 -'!$D35*100</f>
        <v>0.58264891393921314</v>
      </c>
      <c r="D35" s="285">
        <f>B35/'- 7 -'!$E35</f>
        <v>68.840050572018868</v>
      </c>
      <c r="E35" s="285">
        <v>3546563</v>
      </c>
      <c r="F35" s="291">
        <f>E35/'- 3 -'!$D35*100</f>
        <v>1.8512704903006321</v>
      </c>
      <c r="G35" s="285">
        <f>E35/'- 7 -'!$E35</f>
        <v>218.72786703259428</v>
      </c>
      <c r="H35" s="285">
        <v>2293841</v>
      </c>
      <c r="I35" s="291">
        <f>H35/'- 3 -'!$D35*100</f>
        <v>1.1973621088196353</v>
      </c>
    </row>
    <row r="36" spans="1:9" ht="14.1" customHeight="1" x14ac:dyDescent="0.2">
      <c r="A36" s="19" t="s">
        <v>134</v>
      </c>
      <c r="B36" s="20">
        <v>204817</v>
      </c>
      <c r="C36" s="70">
        <f>B36/'- 3 -'!$D36*100</f>
        <v>0.86610791274027377</v>
      </c>
      <c r="D36" s="20">
        <f>B36/'- 7 -'!$E36</f>
        <v>119.32245849111564</v>
      </c>
      <c r="E36" s="20">
        <v>440803</v>
      </c>
      <c r="F36" s="70">
        <f>E36/'- 3 -'!$D36*100</f>
        <v>1.8640199117243728</v>
      </c>
      <c r="G36" s="20">
        <f>E36/'- 7 -'!$E36</f>
        <v>256.80337896883191</v>
      </c>
      <c r="H36" s="20">
        <v>0</v>
      </c>
      <c r="I36" s="70">
        <f>H36/'- 3 -'!$D36*100</f>
        <v>0</v>
      </c>
    </row>
    <row r="37" spans="1:9" ht="14.1" customHeight="1" x14ac:dyDescent="0.2">
      <c r="A37" s="284" t="s">
        <v>135</v>
      </c>
      <c r="B37" s="285">
        <v>248751</v>
      </c>
      <c r="C37" s="291">
        <f>B37/'- 3 -'!$D37*100</f>
        <v>0.45326879467629333</v>
      </c>
      <c r="D37" s="285">
        <f>B37/'- 7 -'!$E37</f>
        <v>58.154720157104791</v>
      </c>
      <c r="E37" s="285">
        <v>975973</v>
      </c>
      <c r="F37" s="291">
        <f>E37/'- 3 -'!$D37*100</f>
        <v>1.7783972942685899</v>
      </c>
      <c r="G37" s="285">
        <f>E37/'- 7 -'!$E37</f>
        <v>228.16968251741713</v>
      </c>
      <c r="H37" s="285">
        <v>0</v>
      </c>
      <c r="I37" s="291">
        <f>H37/'- 3 -'!$D37*100</f>
        <v>0</v>
      </c>
    </row>
    <row r="38" spans="1:9" ht="14.1" customHeight="1" x14ac:dyDescent="0.2">
      <c r="A38" s="19" t="s">
        <v>136</v>
      </c>
      <c r="B38" s="20">
        <v>544929</v>
      </c>
      <c r="C38" s="70">
        <f>B38/'- 3 -'!$D38*100</f>
        <v>0.36948586442248915</v>
      </c>
      <c r="D38" s="20">
        <f>B38/'- 7 -'!$E38</f>
        <v>47.54222648752399</v>
      </c>
      <c r="E38" s="20">
        <v>1995245</v>
      </c>
      <c r="F38" s="70">
        <f>E38/'- 3 -'!$D38*100</f>
        <v>1.3528639943178824</v>
      </c>
      <c r="G38" s="20">
        <f>E38/'- 7 -'!$E38</f>
        <v>174.07476880125631</v>
      </c>
      <c r="H38" s="20">
        <v>443084</v>
      </c>
      <c r="I38" s="70">
        <f>H38/'- 3 -'!$D38*100</f>
        <v>0.30043046846795485</v>
      </c>
    </row>
    <row r="39" spans="1:9" ht="14.1" customHeight="1" x14ac:dyDescent="0.2">
      <c r="A39" s="284" t="s">
        <v>137</v>
      </c>
      <c r="B39" s="285">
        <v>241835</v>
      </c>
      <c r="C39" s="291">
        <f>B39/'- 3 -'!$D39*100</f>
        <v>1.1116948170984258</v>
      </c>
      <c r="D39" s="285">
        <f>B39/'- 7 -'!$E39</f>
        <v>161.54642618570475</v>
      </c>
      <c r="E39" s="285">
        <v>326959</v>
      </c>
      <c r="F39" s="291">
        <f>E39/'- 3 -'!$D39*100</f>
        <v>1.5030025666412397</v>
      </c>
      <c r="G39" s="285">
        <f>E39/'- 7 -'!$E39</f>
        <v>218.40948563794254</v>
      </c>
      <c r="H39" s="285">
        <v>0</v>
      </c>
      <c r="I39" s="291">
        <f>H39/'- 3 -'!$D39*100</f>
        <v>0</v>
      </c>
    </row>
    <row r="40" spans="1:9" ht="14.1" customHeight="1" x14ac:dyDescent="0.2">
      <c r="A40" s="19" t="s">
        <v>138</v>
      </c>
      <c r="B40" s="20">
        <v>341651</v>
      </c>
      <c r="C40" s="70">
        <f>B40/'- 3 -'!$D40*100</f>
        <v>0.32100545397615976</v>
      </c>
      <c r="D40" s="20">
        <f>B40/'- 7 -'!$E40</f>
        <v>41.868635930819217</v>
      </c>
      <c r="E40" s="20">
        <v>2900622</v>
      </c>
      <c r="F40" s="70">
        <f>E40/'- 3 -'!$D40*100</f>
        <v>2.7253410115095127</v>
      </c>
      <c r="G40" s="20">
        <f>E40/'- 7 -'!$E40</f>
        <v>355.46533301797655</v>
      </c>
      <c r="H40" s="20">
        <v>425545</v>
      </c>
      <c r="I40" s="70">
        <f>H40/'- 3 -'!$D40*100</f>
        <v>0.39982984364829877</v>
      </c>
    </row>
    <row r="41" spans="1:9" ht="14.1" customHeight="1" x14ac:dyDescent="0.2">
      <c r="A41" s="284" t="s">
        <v>139</v>
      </c>
      <c r="B41" s="285">
        <v>389950</v>
      </c>
      <c r="C41" s="291">
        <f>B41/'- 3 -'!$D41*100</f>
        <v>0.6050723168095653</v>
      </c>
      <c r="D41" s="285">
        <f>B41/'- 7 -'!$E41</f>
        <v>86.694086260560255</v>
      </c>
      <c r="E41" s="285">
        <v>1913970</v>
      </c>
      <c r="F41" s="291">
        <f>E41/'- 3 -'!$D41*100</f>
        <v>2.9698429598769169</v>
      </c>
      <c r="G41" s="285">
        <f>E41/'- 7 -'!$E41</f>
        <v>425.51578479324144</v>
      </c>
      <c r="H41" s="285">
        <v>643319</v>
      </c>
      <c r="I41" s="291">
        <f>H41/'- 3 -'!$D41*100</f>
        <v>0.99821648359433957</v>
      </c>
    </row>
    <row r="42" spans="1:9" ht="14.1" customHeight="1" x14ac:dyDescent="0.2">
      <c r="A42" s="19" t="s">
        <v>140</v>
      </c>
      <c r="B42" s="20">
        <v>185635</v>
      </c>
      <c r="C42" s="70">
        <f>B42/'- 3 -'!$D42*100</f>
        <v>0.90822710849129595</v>
      </c>
      <c r="D42" s="20">
        <f>B42/'- 7 -'!$E42</f>
        <v>135.49011021093349</v>
      </c>
      <c r="E42" s="20">
        <v>312893</v>
      </c>
      <c r="F42" s="70">
        <f>E42/'- 3 -'!$D42*100</f>
        <v>1.5308422692766293</v>
      </c>
      <c r="G42" s="20">
        <f>E42/'- 7 -'!$E42</f>
        <v>228.372381577987</v>
      </c>
      <c r="H42" s="20">
        <v>0</v>
      </c>
      <c r="I42" s="70">
        <f>H42/'- 3 -'!$D42*100</f>
        <v>0</v>
      </c>
    </row>
    <row r="43" spans="1:9" ht="14.1" customHeight="1" x14ac:dyDescent="0.2">
      <c r="A43" s="284" t="s">
        <v>141</v>
      </c>
      <c r="B43" s="285">
        <v>125491</v>
      </c>
      <c r="C43" s="291">
        <f>B43/'- 3 -'!$D43*100</f>
        <v>0.9614798934006259</v>
      </c>
      <c r="D43" s="285">
        <f>B43/'- 7 -'!$E43</f>
        <v>125.1780548628429</v>
      </c>
      <c r="E43" s="285">
        <v>298246</v>
      </c>
      <c r="F43" s="291">
        <f>E43/'- 3 -'!$D43*100</f>
        <v>2.2850844465910947</v>
      </c>
      <c r="G43" s="285">
        <f>E43/'- 7 -'!$E43</f>
        <v>297.50224438902745</v>
      </c>
      <c r="H43" s="285">
        <v>0</v>
      </c>
      <c r="I43" s="291">
        <f>H43/'- 3 -'!$D43*100</f>
        <v>0</v>
      </c>
    </row>
    <row r="44" spans="1:9" ht="14.1" customHeight="1" x14ac:dyDescent="0.2">
      <c r="A44" s="19" t="s">
        <v>142</v>
      </c>
      <c r="B44" s="20">
        <v>86831</v>
      </c>
      <c r="C44" s="70">
        <f>B44/'- 3 -'!$D44*100</f>
        <v>0.81645106921136701</v>
      </c>
      <c r="D44" s="20">
        <f>B44/'- 7 -'!$E44</f>
        <v>125.47832369942196</v>
      </c>
      <c r="E44" s="20">
        <v>152188</v>
      </c>
      <c r="F44" s="70">
        <f>E44/'- 3 -'!$D44*100</f>
        <v>1.430987266312026</v>
      </c>
      <c r="G44" s="20">
        <f>E44/'- 7 -'!$E44</f>
        <v>219.92485549132948</v>
      </c>
      <c r="H44" s="20">
        <v>0</v>
      </c>
      <c r="I44" s="70">
        <f>H44/'- 3 -'!$D44*100</f>
        <v>0</v>
      </c>
    </row>
    <row r="45" spans="1:9" ht="14.1" customHeight="1" x14ac:dyDescent="0.2">
      <c r="A45" s="284" t="s">
        <v>143</v>
      </c>
      <c r="B45" s="285">
        <v>150726</v>
      </c>
      <c r="C45" s="291">
        <f>B45/'- 3 -'!$D45*100</f>
        <v>0.71243821184560052</v>
      </c>
      <c r="D45" s="285">
        <f>B45/'- 7 -'!$E45</f>
        <v>78.708093994778068</v>
      </c>
      <c r="E45" s="285">
        <v>293496</v>
      </c>
      <c r="F45" s="291">
        <f>E45/'- 3 -'!$D45*100</f>
        <v>1.3872707125767043</v>
      </c>
      <c r="G45" s="285">
        <f>E45/'- 7 -'!$E45</f>
        <v>153.26161879895562</v>
      </c>
      <c r="H45" s="285">
        <v>202827</v>
      </c>
      <c r="I45" s="291">
        <f>H45/'- 3 -'!$D45*100</f>
        <v>0.95870457116892638</v>
      </c>
    </row>
    <row r="46" spans="1:9" ht="14.1" customHeight="1" x14ac:dyDescent="0.2">
      <c r="A46" s="19" t="s">
        <v>144</v>
      </c>
      <c r="B46" s="20">
        <v>776178</v>
      </c>
      <c r="C46" s="70">
        <f>B46/'- 3 -'!$D46*100</f>
        <v>0.18775559172053619</v>
      </c>
      <c r="D46" s="20">
        <f>B46/'- 7 -'!$E46</f>
        <v>26.275757709116881</v>
      </c>
      <c r="E46" s="20">
        <v>14378477</v>
      </c>
      <c r="F46" s="70">
        <f>E46/'- 3 -'!$D46*100</f>
        <v>3.4781190102980495</v>
      </c>
      <c r="G46" s="20">
        <f>E46/'- 7 -'!$E46</f>
        <v>486.7509487232436</v>
      </c>
      <c r="H46" s="20">
        <v>33186549</v>
      </c>
      <c r="I46" s="70">
        <f>H46/'- 3 -'!$D46*100</f>
        <v>8.0277463992248794</v>
      </c>
    </row>
    <row r="47" spans="1:9" ht="5.0999999999999996" customHeight="1" x14ac:dyDescent="0.2">
      <c r="A47" s="21"/>
      <c r="B47" s="22"/>
      <c r="C47"/>
      <c r="D47" s="22"/>
      <c r="E47" s="22"/>
      <c r="F47"/>
      <c r="G47" s="22"/>
      <c r="H47"/>
      <c r="I47"/>
    </row>
    <row r="48" spans="1:9" ht="14.1" customHeight="1" x14ac:dyDescent="0.2">
      <c r="A48" s="286" t="s">
        <v>145</v>
      </c>
      <c r="B48" s="287">
        <f>SUM(B11:B46)</f>
        <v>10394551</v>
      </c>
      <c r="C48" s="294">
        <f>B48/'- 3 -'!$D48*100</f>
        <v>0.4309952694739474</v>
      </c>
      <c r="D48" s="287">
        <f>B48/'- 7 -'!$E48</f>
        <v>57.675536099093229</v>
      </c>
      <c r="E48" s="287">
        <f>SUM(E11:E46)</f>
        <v>52599886</v>
      </c>
      <c r="F48" s="294">
        <f>E48/'- 3 -'!$D48*100</f>
        <v>2.1809794421008579</v>
      </c>
      <c r="G48" s="287">
        <f>E48/'- 7 -'!$E48</f>
        <v>291.85739949721625</v>
      </c>
      <c r="H48" s="287">
        <f>SUM(H11:H46)</f>
        <v>56774303</v>
      </c>
      <c r="I48" s="294">
        <f>H48/'- 3 -'!$D48*100</f>
        <v>2.3540657042983906</v>
      </c>
    </row>
    <row r="49" spans="1:9" ht="5.0999999999999996" customHeight="1" x14ac:dyDescent="0.2">
      <c r="A49" s="21" t="s">
        <v>7</v>
      </c>
      <c r="B49" s="22"/>
      <c r="C49"/>
      <c r="D49" s="22"/>
      <c r="E49" s="22"/>
      <c r="F49"/>
      <c r="H49"/>
      <c r="I49"/>
    </row>
    <row r="50" spans="1:9" ht="14.1" customHeight="1" x14ac:dyDescent="0.2">
      <c r="A50" s="19" t="s">
        <v>146</v>
      </c>
      <c r="B50" s="20">
        <v>26099</v>
      </c>
      <c r="C50" s="70">
        <f>B50/'- 3 -'!$D50*100</f>
        <v>0.82180453779438101</v>
      </c>
      <c r="D50" s="20">
        <f>B50/'- 7 -'!$E50</f>
        <v>137.36315789473684</v>
      </c>
      <c r="E50" s="20">
        <v>55811</v>
      </c>
      <c r="F50" s="70">
        <f>E50/'- 3 -'!$D50*100</f>
        <v>1.7573751124120542</v>
      </c>
      <c r="G50" s="20">
        <f>E50/'- 7 -'!$E50</f>
        <v>293.7421052631579</v>
      </c>
      <c r="H50" s="20">
        <v>46600</v>
      </c>
      <c r="I50" s="70">
        <f>H50/'- 3 -'!$D50*100</f>
        <v>1.4673394176488814</v>
      </c>
    </row>
    <row r="51" spans="1:9" ht="14.1" customHeight="1" x14ac:dyDescent="0.2">
      <c r="A51" s="284" t="s">
        <v>599</v>
      </c>
      <c r="B51" s="285">
        <v>0</v>
      </c>
      <c r="C51" s="291">
        <f>B51/'- 3 -'!$D51*100</f>
        <v>0</v>
      </c>
      <c r="D51" s="285">
        <f>B51/'- 7 -'!$E51</f>
        <v>0</v>
      </c>
      <c r="E51" s="285">
        <v>0</v>
      </c>
      <c r="F51" s="291">
        <f>E51/'- 3 -'!$D51*100</f>
        <v>0</v>
      </c>
      <c r="G51" s="285">
        <f>E51/'- 7 -'!$E51</f>
        <v>0</v>
      </c>
      <c r="H51" s="285">
        <v>0</v>
      </c>
      <c r="I51" s="291">
        <f>H51/'- 3 -'!$D51*100</f>
        <v>0</v>
      </c>
    </row>
    <row r="52" spans="1:9" ht="50.1" customHeight="1" x14ac:dyDescent="0.2">
      <c r="A52" s="23"/>
      <c r="B52" s="23"/>
      <c r="C52" s="23"/>
      <c r="D52" s="23"/>
      <c r="E52" s="23"/>
      <c r="F52" s="23"/>
      <c r="G52" s="23"/>
      <c r="H52" s="23"/>
      <c r="I52" s="23"/>
    </row>
    <row r="53" spans="1:9" ht="15" customHeight="1" x14ac:dyDescent="0.2">
      <c r="A53" s="672" t="s">
        <v>603</v>
      </c>
      <c r="B53" s="672"/>
      <c r="C53" s="672"/>
      <c r="D53" s="672"/>
      <c r="E53" s="672"/>
      <c r="F53" s="672"/>
      <c r="G53" s="672"/>
      <c r="H53" s="672"/>
      <c r="I53" s="672"/>
    </row>
    <row r="54" spans="1:9" x14ac:dyDescent="0.2">
      <c r="A54" s="673"/>
      <c r="B54" s="673"/>
      <c r="C54" s="673"/>
      <c r="D54" s="673"/>
      <c r="E54" s="673"/>
      <c r="F54" s="673"/>
      <c r="G54" s="673"/>
      <c r="H54" s="673"/>
      <c r="I54" s="673"/>
    </row>
    <row r="55" spans="1:9" x14ac:dyDescent="0.2">
      <c r="A55" s="673"/>
      <c r="B55" s="673"/>
      <c r="C55" s="673"/>
      <c r="D55" s="673"/>
      <c r="E55" s="673"/>
      <c r="F55" s="673"/>
      <c r="G55" s="673"/>
      <c r="H55" s="673"/>
      <c r="I55" s="673"/>
    </row>
  </sheetData>
  <mergeCells count="6">
    <mergeCell ref="A53:I55"/>
    <mergeCell ref="D8:D9"/>
    <mergeCell ref="G8:G9"/>
    <mergeCell ref="B6:D7"/>
    <mergeCell ref="E6:G7"/>
    <mergeCell ref="H6:I7"/>
  </mergeCells>
  <phoneticPr fontId="6" type="noConversion"/>
  <pageMargins left="0.5" right="0.5" top="0.6" bottom="0.2" header="0.3" footer="0.5"/>
  <pageSetup scale="96" orientation="portrait" r:id="rId1"/>
  <headerFooter alignWithMargins="0">
    <oddHeader>&amp;C&amp;"Arial,Regular"&amp;11&amp;A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J54"/>
  <sheetViews>
    <sheetView showGridLines="0" showZeros="0" workbookViewId="0"/>
  </sheetViews>
  <sheetFormatPr defaultColWidth="15.83203125" defaultRowHeight="12" x14ac:dyDescent="0.2"/>
  <cols>
    <col min="1" max="1" width="32.83203125" style="2" customWidth="1"/>
    <col min="2" max="2" width="15.5" style="2" customWidth="1"/>
    <col min="3" max="4" width="8" style="2" customWidth="1"/>
    <col min="5" max="5" width="17.33203125" style="2" customWidth="1"/>
    <col min="6" max="6" width="7.83203125" style="2" customWidth="1"/>
    <col min="7" max="7" width="10" style="2" customWidth="1"/>
    <col min="8" max="8" width="17.1640625" style="2" customWidth="1"/>
    <col min="9" max="9" width="8.5" style="2" customWidth="1"/>
    <col min="10" max="10" width="10" style="2" customWidth="1"/>
    <col min="11" max="16384" width="15.83203125" style="2"/>
  </cols>
  <sheetData>
    <row r="1" spans="1:10" ht="6.95" customHeight="1" x14ac:dyDescent="0.2">
      <c r="A1" s="7"/>
      <c r="B1" s="7"/>
      <c r="C1" s="8"/>
      <c r="D1" s="8"/>
      <c r="E1" s="8"/>
      <c r="F1" s="8"/>
      <c r="G1" s="8"/>
      <c r="H1" s="8"/>
      <c r="I1" s="8"/>
      <c r="J1" s="8"/>
    </row>
    <row r="2" spans="1:10" ht="15.95" customHeight="1" x14ac:dyDescent="0.2">
      <c r="A2" s="134"/>
      <c r="B2" s="134"/>
      <c r="C2" s="9" t="s">
        <v>263</v>
      </c>
      <c r="D2" s="9"/>
      <c r="E2" s="10"/>
      <c r="F2" s="10"/>
      <c r="G2" s="10"/>
      <c r="H2" s="73"/>
      <c r="I2" s="73"/>
      <c r="J2" s="395" t="s">
        <v>400</v>
      </c>
    </row>
    <row r="3" spans="1:10" ht="15.95" customHeight="1" x14ac:dyDescent="0.2">
      <c r="A3" s="541"/>
      <c r="B3" s="136"/>
      <c r="C3" s="11" t="str">
        <f>OPYEAR</f>
        <v>OPERATING FUND 2019/2020 ACTUAL</v>
      </c>
      <c r="D3" s="11"/>
      <c r="E3" s="12"/>
      <c r="F3" s="12"/>
      <c r="G3" s="12"/>
      <c r="H3" s="75"/>
      <c r="I3" s="75"/>
      <c r="J3" s="66"/>
    </row>
    <row r="4" spans="1:10" ht="15.95" customHeight="1" x14ac:dyDescent="0.2">
      <c r="C4" s="8"/>
      <c r="D4" s="8"/>
      <c r="E4" s="8"/>
      <c r="F4" s="8"/>
      <c r="G4" s="8"/>
      <c r="H4" s="8"/>
      <c r="I4" s="8"/>
      <c r="J4" s="8"/>
    </row>
    <row r="5" spans="1:10" ht="15.95" customHeight="1" x14ac:dyDescent="0.2">
      <c r="B5" s="488" t="s">
        <v>248</v>
      </c>
      <c r="C5" s="272"/>
      <c r="D5" s="272"/>
      <c r="E5" s="435"/>
      <c r="F5" s="435"/>
      <c r="G5" s="435"/>
      <c r="H5" s="435"/>
      <c r="I5" s="435"/>
      <c r="J5" s="436"/>
    </row>
    <row r="6" spans="1:10" ht="15.95" customHeight="1" x14ac:dyDescent="0.2">
      <c r="B6" s="676" t="s">
        <v>478</v>
      </c>
      <c r="C6" s="680"/>
      <c r="D6" s="677"/>
      <c r="E6" s="676" t="s">
        <v>479</v>
      </c>
      <c r="F6" s="680"/>
      <c r="G6" s="682"/>
      <c r="H6" s="684" t="s">
        <v>480</v>
      </c>
      <c r="I6" s="685"/>
      <c r="J6" s="686"/>
    </row>
    <row r="7" spans="1:10" ht="15.95" customHeight="1" x14ac:dyDescent="0.2">
      <c r="B7" s="678"/>
      <c r="C7" s="681"/>
      <c r="D7" s="679"/>
      <c r="E7" s="683"/>
      <c r="F7" s="658"/>
      <c r="G7" s="652"/>
      <c r="H7" s="687"/>
      <c r="I7" s="688"/>
      <c r="J7" s="689"/>
    </row>
    <row r="8" spans="1:10" ht="15.95" customHeight="1" x14ac:dyDescent="0.2">
      <c r="A8" s="67"/>
      <c r="B8" s="137"/>
      <c r="C8" s="139"/>
      <c r="D8" s="608" t="s">
        <v>471</v>
      </c>
      <c r="E8" s="137"/>
      <c r="F8" s="139"/>
      <c r="G8" s="602" t="s">
        <v>471</v>
      </c>
      <c r="H8" s="137"/>
      <c r="I8" s="139"/>
      <c r="J8" s="602" t="s">
        <v>471</v>
      </c>
    </row>
    <row r="9" spans="1:10" ht="15.95" customHeight="1" x14ac:dyDescent="0.2">
      <c r="A9" s="35" t="s">
        <v>42</v>
      </c>
      <c r="B9" s="77" t="s">
        <v>43</v>
      </c>
      <c r="C9" s="77" t="s">
        <v>44</v>
      </c>
      <c r="D9" s="604"/>
      <c r="E9" s="77" t="s">
        <v>43</v>
      </c>
      <c r="F9" s="77" t="s">
        <v>44</v>
      </c>
      <c r="G9" s="604"/>
      <c r="H9" s="77" t="s">
        <v>43</v>
      </c>
      <c r="I9" s="77" t="s">
        <v>44</v>
      </c>
      <c r="J9" s="604"/>
    </row>
    <row r="10" spans="1:10" ht="5.0999999999999996" customHeight="1" x14ac:dyDescent="0.2">
      <c r="A10" s="6"/>
    </row>
    <row r="11" spans="1:10" ht="14.1" customHeight="1" x14ac:dyDescent="0.2">
      <c r="A11" s="284" t="s">
        <v>110</v>
      </c>
      <c r="B11" s="285">
        <v>738986</v>
      </c>
      <c r="C11" s="291">
        <f>B11/'- 3 -'!$D11*100</f>
        <v>3.5160144407684979</v>
      </c>
      <c r="D11" s="285">
        <f>B11/'- 7 -'!$E11</f>
        <v>373.22525252525253</v>
      </c>
      <c r="E11" s="285">
        <v>1001006</v>
      </c>
      <c r="F11" s="291">
        <f>E11/'- 3 -'!$D11*100</f>
        <v>4.7626768995568405</v>
      </c>
      <c r="G11" s="285">
        <f>E11/'- 7 -'!$E11</f>
        <v>505.55858585858584</v>
      </c>
      <c r="H11" s="285">
        <v>346992</v>
      </c>
      <c r="I11" s="291">
        <f>H11/'- 3 -'!$D11*100</f>
        <v>1.6509499271043602</v>
      </c>
      <c r="J11" s="285">
        <f>H11/'- 7 -'!$E11</f>
        <v>175.24848484848485</v>
      </c>
    </row>
    <row r="12" spans="1:10" ht="14.1" customHeight="1" x14ac:dyDescent="0.2">
      <c r="A12" s="19" t="s">
        <v>111</v>
      </c>
      <c r="B12" s="20">
        <v>2492520</v>
      </c>
      <c r="C12" s="70">
        <f>B12/'- 3 -'!$D12*100</f>
        <v>7.4297316965817899</v>
      </c>
      <c r="D12" s="20">
        <f>B12/'- 7 -'!$E12</f>
        <v>1145.7965578111209</v>
      </c>
      <c r="E12" s="20">
        <v>1407908</v>
      </c>
      <c r="F12" s="70">
        <f>E12/'- 3 -'!$D12*100</f>
        <v>4.196708027807631</v>
      </c>
      <c r="G12" s="20">
        <f>E12/'- 7 -'!$E12</f>
        <v>647.20689908796703</v>
      </c>
      <c r="H12" s="20">
        <v>569843</v>
      </c>
      <c r="I12" s="70">
        <f>H12/'- 3 -'!$D12*100</f>
        <v>1.698594434217281</v>
      </c>
      <c r="J12" s="20">
        <f>H12/'- 7 -'!$E12</f>
        <v>261.95342380111794</v>
      </c>
    </row>
    <row r="13" spans="1:10" ht="14.1" customHeight="1" x14ac:dyDescent="0.2">
      <c r="A13" s="284" t="s">
        <v>112</v>
      </c>
      <c r="B13" s="285">
        <v>9641595</v>
      </c>
      <c r="C13" s="291">
        <f>B13/'- 3 -'!$D13*100</f>
        <v>9.2225478786273207</v>
      </c>
      <c r="D13" s="285">
        <f>B13/'- 7 -'!$E13</f>
        <v>1113.3481524249423</v>
      </c>
      <c r="E13" s="285">
        <v>4842754</v>
      </c>
      <c r="F13" s="291">
        <f>E13/'- 3 -'!$D13*100</f>
        <v>4.6322761565294917</v>
      </c>
      <c r="G13" s="285">
        <f>E13/'- 7 -'!$E13</f>
        <v>559.20946882217095</v>
      </c>
      <c r="H13" s="285">
        <v>2658370</v>
      </c>
      <c r="I13" s="291">
        <f>H13/'- 3 -'!$D13*100</f>
        <v>2.542830787240753</v>
      </c>
      <c r="J13" s="285">
        <f>H13/'- 7 -'!$E13</f>
        <v>306.97113163972284</v>
      </c>
    </row>
    <row r="14" spans="1:10" ht="14.1" customHeight="1" x14ac:dyDescent="0.2">
      <c r="A14" s="19" t="s">
        <v>358</v>
      </c>
      <c r="B14" s="20">
        <v>3879143</v>
      </c>
      <c r="C14" s="70">
        <f>B14/'- 3 -'!$D14*100</f>
        <v>4.3303191225960473</v>
      </c>
      <c r="D14" s="20">
        <f>B14/'- 7 -'!$E14</f>
        <v>700.8996263451935</v>
      </c>
      <c r="E14" s="20">
        <v>3248650</v>
      </c>
      <c r="F14" s="70">
        <f>E14/'- 3 -'!$D14*100</f>
        <v>3.626494619461476</v>
      </c>
      <c r="G14" s="20">
        <f>E14/'- 7 -'!$E14</f>
        <v>586.97953932771054</v>
      </c>
      <c r="H14" s="20">
        <v>2063974</v>
      </c>
      <c r="I14" s="70">
        <f>H14/'- 3 -'!$D14*100</f>
        <v>2.3040310915944717</v>
      </c>
      <c r="J14" s="20">
        <f>H14/'- 7 -'!$E14</f>
        <v>372.92737220210608</v>
      </c>
    </row>
    <row r="15" spans="1:10" ht="14.1" customHeight="1" x14ac:dyDescent="0.2">
      <c r="A15" s="284" t="s">
        <v>113</v>
      </c>
      <c r="B15" s="285">
        <v>1178542</v>
      </c>
      <c r="C15" s="291">
        <f>B15/'- 3 -'!$D15*100</f>
        <v>5.9749322375067786</v>
      </c>
      <c r="D15" s="285">
        <f>B15/'- 7 -'!$E15</f>
        <v>809.7162487117829</v>
      </c>
      <c r="E15" s="285">
        <v>1026401</v>
      </c>
      <c r="F15" s="291">
        <f>E15/'- 3 -'!$D15*100</f>
        <v>5.2036129586465263</v>
      </c>
      <c r="G15" s="285">
        <f>E15/'- 7 -'!$E15</f>
        <v>705.18790793541734</v>
      </c>
      <c r="H15" s="285">
        <v>546433</v>
      </c>
      <c r="I15" s="291">
        <f>H15/'- 3 -'!$D15*100</f>
        <v>2.7702874800707495</v>
      </c>
      <c r="J15" s="285">
        <f>H15/'- 7 -'!$E15</f>
        <v>375.42631398144965</v>
      </c>
    </row>
    <row r="16" spans="1:10" ht="14.1" customHeight="1" x14ac:dyDescent="0.2">
      <c r="A16" s="19" t="s">
        <v>114</v>
      </c>
      <c r="B16" s="20">
        <v>910685</v>
      </c>
      <c r="C16" s="70">
        <f>B16/'- 3 -'!$D16*100</f>
        <v>6.3359254910162237</v>
      </c>
      <c r="D16" s="20">
        <f>B16/'- 7 -'!$E16</f>
        <v>1000.6427865069772</v>
      </c>
      <c r="E16" s="20">
        <v>918842</v>
      </c>
      <c r="F16" s="70">
        <f>E16/'- 3 -'!$D16*100</f>
        <v>6.3926763370609248</v>
      </c>
      <c r="G16" s="20">
        <f>E16/'- 7 -'!$E16</f>
        <v>1009.6055378529832</v>
      </c>
      <c r="H16" s="20">
        <v>327595</v>
      </c>
      <c r="I16" s="70">
        <f>H16/'- 3 -'!$D16*100</f>
        <v>2.2791827154608453</v>
      </c>
      <c r="J16" s="20">
        <f>H16/'- 7 -'!$E16</f>
        <v>359.95495000549391</v>
      </c>
    </row>
    <row r="17" spans="1:10" ht="14.1" customHeight="1" x14ac:dyDescent="0.2">
      <c r="A17" s="284" t="s">
        <v>115</v>
      </c>
      <c r="B17" s="285">
        <v>866631</v>
      </c>
      <c r="C17" s="291">
        <f>B17/'- 3 -'!$D17*100</f>
        <v>4.8145444484999391</v>
      </c>
      <c r="D17" s="285">
        <f>B17/'- 7 -'!$E17</f>
        <v>606.24763903462747</v>
      </c>
      <c r="E17" s="285">
        <v>705795</v>
      </c>
      <c r="F17" s="291">
        <f>E17/'- 3 -'!$D17*100</f>
        <v>3.9210245179655634</v>
      </c>
      <c r="G17" s="285">
        <f>E17/'- 7 -'!$E17</f>
        <v>493.73557187827913</v>
      </c>
      <c r="H17" s="285">
        <v>164636</v>
      </c>
      <c r="I17" s="291">
        <f>H17/'- 3 -'!$D17*100</f>
        <v>0.91463072498356968</v>
      </c>
      <c r="J17" s="285">
        <f>H17/'- 7 -'!$E17</f>
        <v>115.17033927946835</v>
      </c>
    </row>
    <row r="18" spans="1:10" ht="14.1" customHeight="1" x14ac:dyDescent="0.2">
      <c r="A18" s="19" t="s">
        <v>116</v>
      </c>
      <c r="B18" s="20">
        <v>9842100</v>
      </c>
      <c r="C18" s="70">
        <f>B18/'- 3 -'!$D18*100</f>
        <v>7.3899216023782177</v>
      </c>
      <c r="D18" s="20">
        <f>B18/'- 7 -'!$E18</f>
        <v>1652.3293880634601</v>
      </c>
      <c r="E18" s="20">
        <v>3910202</v>
      </c>
      <c r="F18" s="70">
        <f>E18/'- 3 -'!$D18*100</f>
        <v>2.9359675505697473</v>
      </c>
      <c r="G18" s="20">
        <f>E18/'- 7 -'!$E18</f>
        <v>656.4596659111894</v>
      </c>
      <c r="H18" s="20">
        <v>4550674</v>
      </c>
      <c r="I18" s="70">
        <f>H18/'- 3 -'!$D18*100</f>
        <v>3.4168647034658148</v>
      </c>
      <c r="J18" s="20">
        <f>H18/'- 7 -'!$E18</f>
        <v>763.98455468815575</v>
      </c>
    </row>
    <row r="19" spans="1:10" ht="14.1" customHeight="1" x14ac:dyDescent="0.2">
      <c r="A19" s="284" t="s">
        <v>117</v>
      </c>
      <c r="B19" s="285">
        <v>3135268</v>
      </c>
      <c r="C19" s="291">
        <f>B19/'- 3 -'!$D19*100</f>
        <v>6.3047084021990951</v>
      </c>
      <c r="D19" s="285">
        <f>B19/'- 7 -'!$E19</f>
        <v>711.86522262334529</v>
      </c>
      <c r="E19" s="285">
        <v>2656123</v>
      </c>
      <c r="F19" s="291">
        <f>E19/'- 3 -'!$D19*100</f>
        <v>5.3411960302514068</v>
      </c>
      <c r="G19" s="285">
        <f>E19/'- 7 -'!$E19</f>
        <v>603.07494948118881</v>
      </c>
      <c r="H19" s="285">
        <v>1122445</v>
      </c>
      <c r="I19" s="291">
        <f>H19/'- 3 -'!$D19*100</f>
        <v>2.2571239276854045</v>
      </c>
      <c r="J19" s="285">
        <f>H19/'- 7 -'!$E19</f>
        <v>254.85207637990146</v>
      </c>
    </row>
    <row r="20" spans="1:10" ht="14.1" customHeight="1" x14ac:dyDescent="0.2">
      <c r="A20" s="19" t="s">
        <v>118</v>
      </c>
      <c r="B20" s="20">
        <v>4329576</v>
      </c>
      <c r="C20" s="70">
        <f>B20/'- 3 -'!$D20*100</f>
        <v>4.8911923954008705</v>
      </c>
      <c r="D20" s="20">
        <f>B20/'- 7 -'!$E20</f>
        <v>539.81372732373291</v>
      </c>
      <c r="E20" s="20">
        <v>3835401</v>
      </c>
      <c r="F20" s="70">
        <f>E20/'- 3 -'!$D20*100</f>
        <v>4.3329148638372201</v>
      </c>
      <c r="G20" s="20">
        <f>E20/'- 7 -'!$E20</f>
        <v>478.199738170937</v>
      </c>
      <c r="H20" s="20">
        <v>1964298</v>
      </c>
      <c r="I20" s="70">
        <f>H20/'- 3 -'!$D20*100</f>
        <v>2.2190993852287475</v>
      </c>
      <c r="J20" s="20">
        <f>H20/'- 7 -'!$E20</f>
        <v>244.90966897325603</v>
      </c>
    </row>
    <row r="21" spans="1:10" ht="14.1" customHeight="1" x14ac:dyDescent="0.2">
      <c r="A21" s="284" t="s">
        <v>119</v>
      </c>
      <c r="B21" s="285">
        <v>2053256</v>
      </c>
      <c r="C21" s="291">
        <f>B21/'- 3 -'!$D21*100</f>
        <v>5.4594531527774537</v>
      </c>
      <c r="D21" s="285">
        <f>B21/'- 7 -'!$E21</f>
        <v>727.33120793482112</v>
      </c>
      <c r="E21" s="285">
        <v>2337032</v>
      </c>
      <c r="F21" s="291">
        <f>E21/'- 3 -'!$D21*100</f>
        <v>6.2139921765925923</v>
      </c>
      <c r="G21" s="285">
        <f>E21/'- 7 -'!$E21</f>
        <v>827.85405596882754</v>
      </c>
      <c r="H21" s="285">
        <v>1150266</v>
      </c>
      <c r="I21" s="291">
        <f>H21/'- 3 -'!$D21*100</f>
        <v>3.0584707119972916</v>
      </c>
      <c r="J21" s="285">
        <f>H21/'- 7 -'!$E21</f>
        <v>407.46227417640807</v>
      </c>
    </row>
    <row r="22" spans="1:10" ht="14.1" customHeight="1" x14ac:dyDescent="0.2">
      <c r="A22" s="19" t="s">
        <v>120</v>
      </c>
      <c r="B22" s="20">
        <v>999353</v>
      </c>
      <c r="C22" s="70">
        <f>B22/'- 3 -'!$D22*100</f>
        <v>4.8410626288283867</v>
      </c>
      <c r="D22" s="20">
        <f>B22/'- 7 -'!$E22</f>
        <v>651.04429967426711</v>
      </c>
      <c r="E22" s="20">
        <v>1489182</v>
      </c>
      <c r="F22" s="70">
        <f>E22/'- 3 -'!$D22*100</f>
        <v>7.2138907150165297</v>
      </c>
      <c r="G22" s="20">
        <f>E22/'- 7 -'!$E22</f>
        <v>970.15114006514659</v>
      </c>
      <c r="H22" s="20">
        <v>652766</v>
      </c>
      <c r="I22" s="70">
        <f>H22/'- 3 -'!$D22*100</f>
        <v>3.1621269841285224</v>
      </c>
      <c r="J22" s="20">
        <f>H22/'- 7 -'!$E22</f>
        <v>425.25472312703585</v>
      </c>
    </row>
    <row r="23" spans="1:10" ht="14.1" customHeight="1" x14ac:dyDescent="0.2">
      <c r="A23" s="284" t="s">
        <v>121</v>
      </c>
      <c r="B23" s="285">
        <v>1163766</v>
      </c>
      <c r="C23" s="291">
        <f>B23/'- 3 -'!$D23*100</f>
        <v>7.4984642454300099</v>
      </c>
      <c r="D23" s="285">
        <f>B23/'- 7 -'!$E23</f>
        <v>1239.6314443971028</v>
      </c>
      <c r="E23" s="285">
        <v>611623</v>
      </c>
      <c r="F23" s="291">
        <f>E23/'- 3 -'!$D23*100</f>
        <v>3.940855117938348</v>
      </c>
      <c r="G23" s="285">
        <f>E23/'- 7 -'!$E23</f>
        <v>651.49446101406056</v>
      </c>
      <c r="H23" s="285">
        <v>288743</v>
      </c>
      <c r="I23" s="291">
        <f>H23/'- 3 -'!$D23*100</f>
        <v>1.8604505215122265</v>
      </c>
      <c r="J23" s="285">
        <f>H23/'- 7 -'!$E23</f>
        <v>307.56604175543248</v>
      </c>
    </row>
    <row r="24" spans="1:10" ht="14.1" customHeight="1" x14ac:dyDescent="0.2">
      <c r="A24" s="19" t="s">
        <v>122</v>
      </c>
      <c r="B24" s="20">
        <v>3136549</v>
      </c>
      <c r="C24" s="70">
        <f>B24/'- 3 -'!$D24*100</f>
        <v>5.3669241928710161</v>
      </c>
      <c r="D24" s="20">
        <f>B24/'- 7 -'!$E24</f>
        <v>837.64160769128057</v>
      </c>
      <c r="E24" s="20">
        <v>2602995</v>
      </c>
      <c r="F24" s="70">
        <f>E24/'- 3 -'!$D24*100</f>
        <v>4.4539641623396564</v>
      </c>
      <c r="G24" s="20">
        <f>E24/'- 7 -'!$E24</f>
        <v>695.15155561490189</v>
      </c>
      <c r="H24" s="20">
        <v>1615666</v>
      </c>
      <c r="I24" s="70">
        <f>H24/'- 3 -'!$D24*100</f>
        <v>2.7645533173558396</v>
      </c>
      <c r="J24" s="20">
        <f>H24/'- 7 -'!$E24</f>
        <v>431.47709974629458</v>
      </c>
    </row>
    <row r="25" spans="1:10" ht="14.1" customHeight="1" x14ac:dyDescent="0.2">
      <c r="A25" s="284" t="s">
        <v>123</v>
      </c>
      <c r="B25" s="285">
        <v>11710770</v>
      </c>
      <c r="C25" s="291">
        <f>B25/'- 3 -'!$D25*100</f>
        <v>6.0339017856876955</v>
      </c>
      <c r="D25" s="285">
        <f>B25/'- 7 -'!$E25</f>
        <v>780.14069588504515</v>
      </c>
      <c r="E25" s="285">
        <v>9403391</v>
      </c>
      <c r="F25" s="291">
        <f>E25/'- 3 -'!$D25*100</f>
        <v>4.8450390321404662</v>
      </c>
      <c r="G25" s="285">
        <f>E25/'- 7 -'!$E25</f>
        <v>626.42917574328339</v>
      </c>
      <c r="H25" s="285">
        <v>4078616</v>
      </c>
      <c r="I25" s="291">
        <f>H25/'- 3 -'!$D25*100</f>
        <v>2.1014816588093188</v>
      </c>
      <c r="J25" s="285">
        <f>H25/'- 7 -'!$E25</f>
        <v>271.70667039723941</v>
      </c>
    </row>
    <row r="26" spans="1:10" ht="14.1" customHeight="1" x14ac:dyDescent="0.2">
      <c r="A26" s="19" t="s">
        <v>124</v>
      </c>
      <c r="B26" s="20">
        <v>1748979</v>
      </c>
      <c r="C26" s="70">
        <f>B26/'- 3 -'!$D26*100</f>
        <v>4.2752606711995407</v>
      </c>
      <c r="D26" s="20">
        <f>B26/'- 7 -'!$E26</f>
        <v>571.09518367346936</v>
      </c>
      <c r="E26" s="20">
        <v>1865610</v>
      </c>
      <c r="F26" s="70">
        <f>E26/'- 3 -'!$D26*100</f>
        <v>4.560357248884392</v>
      </c>
      <c r="G26" s="20">
        <f>E26/'- 7 -'!$E26</f>
        <v>609.1787755102041</v>
      </c>
      <c r="H26" s="20">
        <v>1293675</v>
      </c>
      <c r="I26" s="70">
        <f>H26/'- 3 -'!$D26*100</f>
        <v>3.1623008902988916</v>
      </c>
      <c r="J26" s="20">
        <f>H26/'- 7 -'!$E26</f>
        <v>422.42448979591836</v>
      </c>
    </row>
    <row r="27" spans="1:10" ht="14.1" customHeight="1" x14ac:dyDescent="0.2">
      <c r="A27" s="284" t="s">
        <v>125</v>
      </c>
      <c r="B27" s="285">
        <v>1623487</v>
      </c>
      <c r="C27" s="291">
        <f>B27/'- 3 -'!$D27*100</f>
        <v>3.8988148228482991</v>
      </c>
      <c r="D27" s="285">
        <f>B27/'- 7 -'!$E27</f>
        <v>537.10539723290083</v>
      </c>
      <c r="E27" s="285">
        <v>2361168</v>
      </c>
      <c r="F27" s="291">
        <f>E27/'- 3 -'!$D27*100</f>
        <v>5.6703606481820135</v>
      </c>
      <c r="G27" s="285">
        <f>E27/'- 7 -'!$E27</f>
        <v>781.15567083297492</v>
      </c>
      <c r="H27" s="285">
        <v>1202867</v>
      </c>
      <c r="I27" s="291">
        <f>H27/'- 3 -'!$D27*100</f>
        <v>2.8886930967202478</v>
      </c>
      <c r="J27" s="285">
        <f>H27/'- 7 -'!$E27</f>
        <v>397.94981903356648</v>
      </c>
    </row>
    <row r="28" spans="1:10" ht="14.1" customHeight="1" x14ac:dyDescent="0.2">
      <c r="A28" s="19" t="s">
        <v>126</v>
      </c>
      <c r="B28" s="20">
        <v>1108268</v>
      </c>
      <c r="C28" s="70">
        <f>B28/'- 3 -'!$D28*100</f>
        <v>3.925372487271126</v>
      </c>
      <c r="D28" s="20">
        <f>B28/'- 7 -'!$E28</f>
        <v>557.47887323943667</v>
      </c>
      <c r="E28" s="20">
        <v>1372034.3333333335</v>
      </c>
      <c r="F28" s="70">
        <f>E28/'- 3 -'!$D28*100</f>
        <v>4.8596060011279301</v>
      </c>
      <c r="G28" s="20">
        <f>E28/'- 7 -'!$E28</f>
        <v>690.15811535881971</v>
      </c>
      <c r="H28" s="20">
        <v>513706.66666666669</v>
      </c>
      <c r="I28" s="70">
        <f>H28/'- 3 -'!$D28*100</f>
        <v>1.8194967425397941</v>
      </c>
      <c r="J28" s="20">
        <f>H28/'- 7 -'!$E28</f>
        <v>258.40375586854464</v>
      </c>
    </row>
    <row r="29" spans="1:10" ht="14.1" customHeight="1" x14ac:dyDescent="0.2">
      <c r="A29" s="284" t="s">
        <v>127</v>
      </c>
      <c r="B29" s="285">
        <v>9984319</v>
      </c>
      <c r="C29" s="291">
        <f>B29/'- 3 -'!$D29*100</f>
        <v>5.9009295605659533</v>
      </c>
      <c r="D29" s="285">
        <f>B29/'- 7 -'!$E29</f>
        <v>697.44815060598648</v>
      </c>
      <c r="E29" s="285">
        <v>12959358</v>
      </c>
      <c r="F29" s="291">
        <f>E29/'- 3 -'!$D29*100</f>
        <v>7.6592363192879622</v>
      </c>
      <c r="G29" s="285">
        <f>E29/'- 7 -'!$E29</f>
        <v>905.26757710174286</v>
      </c>
      <c r="H29" s="285">
        <v>4232391</v>
      </c>
      <c r="I29" s="291">
        <f>H29/'- 3 -'!$D29*100</f>
        <v>2.5014266034341746</v>
      </c>
      <c r="J29" s="285">
        <f>H29/'- 7 -'!$E29</f>
        <v>295.65093779469805</v>
      </c>
    </row>
    <row r="30" spans="1:10" ht="14.1" customHeight="1" x14ac:dyDescent="0.2">
      <c r="A30" s="19" t="s">
        <v>128</v>
      </c>
      <c r="B30" s="20">
        <v>524579</v>
      </c>
      <c r="C30" s="70">
        <f>B30/'- 3 -'!$D30*100</f>
        <v>3.3719358090392322</v>
      </c>
      <c r="D30" s="20">
        <f>B30/'- 7 -'!$E30</f>
        <v>511.53486104339345</v>
      </c>
      <c r="E30" s="20">
        <v>751525</v>
      </c>
      <c r="F30" s="70">
        <f>E30/'- 3 -'!$D30*100</f>
        <v>4.8307196035072106</v>
      </c>
      <c r="G30" s="20">
        <f>E30/'- 7 -'!$E30</f>
        <v>732.83764017552414</v>
      </c>
      <c r="H30" s="20">
        <v>343326</v>
      </c>
      <c r="I30" s="70">
        <f>H30/'- 3 -'!$D30*100</f>
        <v>2.2068615662735329</v>
      </c>
      <c r="J30" s="20">
        <f>H30/'- 7 -'!$E30</f>
        <v>334.78888347147733</v>
      </c>
    </row>
    <row r="31" spans="1:10" ht="14.1" customHeight="1" x14ac:dyDescent="0.2">
      <c r="A31" s="284" t="s">
        <v>129</v>
      </c>
      <c r="B31" s="285">
        <v>1998027</v>
      </c>
      <c r="C31" s="291">
        <f>B31/'- 3 -'!$D31*100</f>
        <v>5.0007468481954955</v>
      </c>
      <c r="D31" s="285">
        <f>B31/'- 7 -'!$E31</f>
        <v>599.28824235152968</v>
      </c>
      <c r="E31" s="285">
        <v>1528490</v>
      </c>
      <c r="F31" s="291">
        <f>E31/'- 3 -'!$D31*100</f>
        <v>3.8255696995077311</v>
      </c>
      <c r="G31" s="285">
        <f>E31/'- 7 -'!$E31</f>
        <v>458.45530893821234</v>
      </c>
      <c r="H31" s="285">
        <v>1204854</v>
      </c>
      <c r="I31" s="291">
        <f>H31/'- 3 -'!$D31*100</f>
        <v>3.0155597712321884</v>
      </c>
      <c r="J31" s="285">
        <f>H31/'- 7 -'!$E31</f>
        <v>361.3839232153569</v>
      </c>
    </row>
    <row r="32" spans="1:10" ht="14.1" customHeight="1" x14ac:dyDescent="0.2">
      <c r="A32" s="19" t="s">
        <v>130</v>
      </c>
      <c r="B32" s="20">
        <v>947616</v>
      </c>
      <c r="C32" s="70">
        <f>B32/'- 3 -'!$D32*100</f>
        <v>3.1237789703274026</v>
      </c>
      <c r="D32" s="20">
        <f>B32/'- 7 -'!$E32</f>
        <v>416.35149384885767</v>
      </c>
      <c r="E32" s="20">
        <v>2078995</v>
      </c>
      <c r="F32" s="70">
        <f>E32/'- 3 -'!$D32*100</f>
        <v>6.853325461385011</v>
      </c>
      <c r="G32" s="20">
        <f>E32/'- 7 -'!$E32</f>
        <v>913.44244288224957</v>
      </c>
      <c r="H32" s="20">
        <v>713966</v>
      </c>
      <c r="I32" s="70">
        <f>H32/'- 3 -'!$D32*100</f>
        <v>2.3535609110956068</v>
      </c>
      <c r="J32" s="20">
        <f>H32/'- 7 -'!$E32</f>
        <v>313.69332161687169</v>
      </c>
    </row>
    <row r="33" spans="1:10" ht="14.1" customHeight="1" x14ac:dyDescent="0.2">
      <c r="A33" s="284" t="s">
        <v>131</v>
      </c>
      <c r="B33" s="285">
        <v>1544298.4301</v>
      </c>
      <c r="C33" s="291">
        <f>B33/'- 3 -'!$D33*100</f>
        <v>5.5015616752480732</v>
      </c>
      <c r="D33" s="285">
        <f>B33/'- 7 -'!$E33</f>
        <v>752.1422316871226</v>
      </c>
      <c r="E33" s="285">
        <v>1102997.5699</v>
      </c>
      <c r="F33" s="291">
        <f>E33/'- 3 -'!$D33*100</f>
        <v>3.9294277842791407</v>
      </c>
      <c r="G33" s="285">
        <f>E33/'- 7 -'!$E33</f>
        <v>537.20902488797981</v>
      </c>
      <c r="H33" s="285">
        <v>453584</v>
      </c>
      <c r="I33" s="291">
        <f>H33/'- 3 -'!$D33*100</f>
        <v>1.6158925647189404</v>
      </c>
      <c r="J33" s="285">
        <f>H33/'- 7 -'!$E33</f>
        <v>220.91564387297879</v>
      </c>
    </row>
    <row r="34" spans="1:10" ht="14.1" customHeight="1" x14ac:dyDescent="0.2">
      <c r="A34" s="19" t="s">
        <v>132</v>
      </c>
      <c r="B34" s="20">
        <v>1218160</v>
      </c>
      <c r="C34" s="70">
        <f>B34/'- 3 -'!$D34*100</f>
        <v>4.0016114718293334</v>
      </c>
      <c r="D34" s="20">
        <f>B34/'- 7 -'!$E34</f>
        <v>547.78307401744769</v>
      </c>
      <c r="E34" s="20">
        <v>1620649</v>
      </c>
      <c r="F34" s="70">
        <f>E34/'- 3 -'!$D34*100</f>
        <v>5.3237732565580362</v>
      </c>
      <c r="G34" s="20">
        <f>E34/'- 7 -'!$E34</f>
        <v>728.77462001978608</v>
      </c>
      <c r="H34" s="20">
        <v>923434</v>
      </c>
      <c r="I34" s="70">
        <f>H34/'- 3 -'!$D34*100</f>
        <v>3.0334472383572342</v>
      </c>
      <c r="J34" s="20">
        <f>H34/'- 7 -'!$E34</f>
        <v>415.2504721647631</v>
      </c>
    </row>
    <row r="35" spans="1:10" ht="14.1" customHeight="1" x14ac:dyDescent="0.2">
      <c r="A35" s="284" t="s">
        <v>133</v>
      </c>
      <c r="B35" s="285">
        <v>14300705</v>
      </c>
      <c r="C35" s="291">
        <f>B35/'- 3 -'!$D35*100</f>
        <v>7.4648252849292964</v>
      </c>
      <c r="D35" s="285">
        <f>B35/'- 7 -'!$E35</f>
        <v>881.97015017422677</v>
      </c>
      <c r="E35" s="285">
        <v>10517251</v>
      </c>
      <c r="F35" s="291">
        <f>E35/'- 3 -'!$D35*100</f>
        <v>5.4899000568676808</v>
      </c>
      <c r="G35" s="285">
        <f>E35/'- 7 -'!$E35</f>
        <v>648.63245860186873</v>
      </c>
      <c r="H35" s="285">
        <v>4022298</v>
      </c>
      <c r="I35" s="291">
        <f>H35/'- 3 -'!$D35*100</f>
        <v>2.0995994123311079</v>
      </c>
      <c r="J35" s="285">
        <f>H35/'- 7 -'!$E35</f>
        <v>248.06796385950847</v>
      </c>
    </row>
    <row r="36" spans="1:10" ht="14.1" customHeight="1" x14ac:dyDescent="0.2">
      <c r="A36" s="19" t="s">
        <v>134</v>
      </c>
      <c r="B36" s="20">
        <v>749357</v>
      </c>
      <c r="C36" s="70">
        <f>B36/'- 3 -'!$D36*100</f>
        <v>3.1687995975300551</v>
      </c>
      <c r="D36" s="20">
        <f>B36/'- 7 -'!$E36</f>
        <v>436.56102534226625</v>
      </c>
      <c r="E36" s="20">
        <v>1139620</v>
      </c>
      <c r="F36" s="70">
        <f>E36/'- 3 -'!$D36*100</f>
        <v>4.8191014394169951</v>
      </c>
      <c r="G36" s="20">
        <f>E36/'- 7 -'!$E36</f>
        <v>663.92076900669963</v>
      </c>
      <c r="H36" s="20">
        <v>445879</v>
      </c>
      <c r="I36" s="70">
        <f>H36/'- 3 -'!$D36*100</f>
        <v>1.8854847499217373</v>
      </c>
      <c r="J36" s="20">
        <f>H36/'- 7 -'!$E36</f>
        <v>259.76055927759978</v>
      </c>
    </row>
    <row r="37" spans="1:10" ht="14.1" customHeight="1" x14ac:dyDescent="0.2">
      <c r="A37" s="284" t="s">
        <v>135</v>
      </c>
      <c r="B37" s="285">
        <v>4316749</v>
      </c>
      <c r="C37" s="291">
        <f>B37/'- 3 -'!$D37*100</f>
        <v>7.8658884432629197</v>
      </c>
      <c r="D37" s="285">
        <f>B37/'- 7 -'!$E37</f>
        <v>1009.1992799364101</v>
      </c>
      <c r="E37" s="285">
        <v>2986076</v>
      </c>
      <c r="F37" s="291">
        <f>E37/'- 3 -'!$D37*100</f>
        <v>5.4411643343415994</v>
      </c>
      <c r="G37" s="285">
        <f>E37/'- 7 -'!$E37</f>
        <v>698.10539112545007</v>
      </c>
      <c r="H37" s="285">
        <v>1838244</v>
      </c>
      <c r="I37" s="291">
        <f>H37/'- 3 -'!$D37*100</f>
        <v>3.349609216449092</v>
      </c>
      <c r="J37" s="285">
        <f>H37/'- 7 -'!$E37</f>
        <v>429.75732921868428</v>
      </c>
    </row>
    <row r="38" spans="1:10" ht="14.1" customHeight="1" x14ac:dyDescent="0.2">
      <c r="A38" s="19" t="s">
        <v>136</v>
      </c>
      <c r="B38" s="20">
        <v>14075071</v>
      </c>
      <c r="C38" s="70">
        <f>B38/'- 3 -'!$D38*100</f>
        <v>9.5435181009689494</v>
      </c>
      <c r="D38" s="20">
        <f>B38/'- 7 -'!$E38</f>
        <v>1227.9768801256325</v>
      </c>
      <c r="E38" s="20">
        <v>5811690</v>
      </c>
      <c r="F38" s="70">
        <f>E38/'- 3 -'!$D38*100</f>
        <v>3.9405818068143481</v>
      </c>
      <c r="G38" s="20">
        <f>E38/'- 7 -'!$E38</f>
        <v>507.03978363287382</v>
      </c>
      <c r="H38" s="20">
        <v>3590193</v>
      </c>
      <c r="I38" s="70">
        <f>H38/'- 3 -'!$D38*100</f>
        <v>2.4343089908016817</v>
      </c>
      <c r="J38" s="20">
        <f>H38/'- 7 -'!$E38</f>
        <v>313.22570232071195</v>
      </c>
    </row>
    <row r="39" spans="1:10" ht="14.1" customHeight="1" x14ac:dyDescent="0.2">
      <c r="A39" s="284" t="s">
        <v>137</v>
      </c>
      <c r="B39" s="285">
        <v>1271718</v>
      </c>
      <c r="C39" s="291">
        <f>B39/'- 3 -'!$D39*100</f>
        <v>5.8459789088046632</v>
      </c>
      <c r="D39" s="285">
        <f>B39/'- 7 -'!$E39</f>
        <v>849.51102204408812</v>
      </c>
      <c r="E39" s="285">
        <v>678634</v>
      </c>
      <c r="F39" s="291">
        <f>E39/'- 3 -'!$D39*100</f>
        <v>3.1196224719613497</v>
      </c>
      <c r="G39" s="285">
        <f>E39/'- 7 -'!$E39</f>
        <v>453.32932531730125</v>
      </c>
      <c r="H39" s="285">
        <v>401008</v>
      </c>
      <c r="I39" s="291">
        <f>H39/'- 3 -'!$D39*100</f>
        <v>1.8433994881427649</v>
      </c>
      <c r="J39" s="285">
        <f>H39/'- 7 -'!$E39</f>
        <v>267.87441549766197</v>
      </c>
    </row>
    <row r="40" spans="1:10" ht="14.1" customHeight="1" x14ac:dyDescent="0.2">
      <c r="A40" s="19" t="s">
        <v>138</v>
      </c>
      <c r="B40" s="20">
        <v>10320620</v>
      </c>
      <c r="C40" s="70">
        <f>B40/'- 3 -'!$D40*100</f>
        <v>9.6969577387902692</v>
      </c>
      <c r="D40" s="20">
        <f>B40/'- 7 -'!$E40</f>
        <v>1264.7710129937609</v>
      </c>
      <c r="E40" s="20">
        <v>6394527</v>
      </c>
      <c r="F40" s="70">
        <f>E40/'- 3 -'!$D40*100</f>
        <v>6.0081136674495648</v>
      </c>
      <c r="G40" s="20">
        <f>E40/'- 7 -'!$E40</f>
        <v>783.63629233572749</v>
      </c>
      <c r="H40" s="20">
        <v>2992384</v>
      </c>
      <c r="I40" s="70">
        <f>H40/'- 3 -'!$D40*100</f>
        <v>2.8115579477039345</v>
      </c>
      <c r="J40" s="20">
        <f>H40/'- 7 -'!$E40</f>
        <v>366.7105796886546</v>
      </c>
    </row>
    <row r="41" spans="1:10" ht="14.1" customHeight="1" x14ac:dyDescent="0.2">
      <c r="A41" s="284" t="s">
        <v>139</v>
      </c>
      <c r="B41" s="285">
        <v>4287777</v>
      </c>
      <c r="C41" s="291">
        <f>B41/'- 3 -'!$D41*100</f>
        <v>6.6531995470003018</v>
      </c>
      <c r="D41" s="285">
        <f>B41/'- 7 -'!$E41</f>
        <v>953.26300578034682</v>
      </c>
      <c r="E41" s="285">
        <v>4345923</v>
      </c>
      <c r="F41" s="291">
        <f>E41/'- 3 -'!$D41*100</f>
        <v>6.7434227421104662</v>
      </c>
      <c r="G41" s="285">
        <f>E41/'- 7 -'!$E41</f>
        <v>966.19008448199202</v>
      </c>
      <c r="H41" s="285">
        <v>1285149</v>
      </c>
      <c r="I41" s="291">
        <f>H41/'- 3 -'!$D41*100</f>
        <v>1.9941225359033108</v>
      </c>
      <c r="J41" s="285">
        <f>H41/'- 7 -'!$E41</f>
        <v>285.71565140062251</v>
      </c>
    </row>
    <row r="42" spans="1:10" ht="14.1" customHeight="1" x14ac:dyDescent="0.2">
      <c r="A42" s="19" t="s">
        <v>140</v>
      </c>
      <c r="B42" s="20">
        <v>1661029</v>
      </c>
      <c r="C42" s="70">
        <f>B42/'- 3 -'!$D42*100</f>
        <v>8.1266548107317522</v>
      </c>
      <c r="D42" s="20">
        <f>B42/'- 7 -'!$E42</f>
        <v>1212.3414349317568</v>
      </c>
      <c r="E42" s="20">
        <v>789363</v>
      </c>
      <c r="F42" s="70">
        <f>E42/'- 3 -'!$D42*100</f>
        <v>3.861991946777358</v>
      </c>
      <c r="G42" s="20">
        <f>E42/'- 7 -'!$E42</f>
        <v>576.13531858988392</v>
      </c>
      <c r="H42" s="20">
        <v>412332</v>
      </c>
      <c r="I42" s="70">
        <f>H42/'- 3 -'!$D42*100</f>
        <v>2.0173517930262777</v>
      </c>
      <c r="J42" s="20">
        <f>H42/'- 7 -'!$E42</f>
        <v>300.95029559886137</v>
      </c>
    </row>
    <row r="43" spans="1:10" ht="14.1" customHeight="1" x14ac:dyDescent="0.2">
      <c r="A43" s="284" t="s">
        <v>141</v>
      </c>
      <c r="B43" s="285">
        <v>227279</v>
      </c>
      <c r="C43" s="291">
        <f>B43/'- 3 -'!$D43*100</f>
        <v>1.7413534730952887</v>
      </c>
      <c r="D43" s="285">
        <f>B43/'- 7 -'!$E43</f>
        <v>226.71221945137157</v>
      </c>
      <c r="E43" s="285">
        <v>1115472</v>
      </c>
      <c r="F43" s="291">
        <f>E43/'- 3 -'!$D43*100</f>
        <v>8.5464606995831005</v>
      </c>
      <c r="G43" s="285">
        <f>E43/'- 7 -'!$E43</f>
        <v>1112.6902743142145</v>
      </c>
      <c r="H43" s="285">
        <v>250966</v>
      </c>
      <c r="I43" s="291">
        <f>H43/'- 3 -'!$D43*100</f>
        <v>1.9228371989001718</v>
      </c>
      <c r="J43" s="285">
        <f>H43/'- 7 -'!$E43</f>
        <v>250.34014962593517</v>
      </c>
    </row>
    <row r="44" spans="1:10" ht="14.1" customHeight="1" x14ac:dyDescent="0.2">
      <c r="A44" s="19" t="s">
        <v>142</v>
      </c>
      <c r="B44" s="20">
        <v>649851</v>
      </c>
      <c r="C44" s="70">
        <f>B44/'- 3 -'!$D44*100</f>
        <v>6.110393105896236</v>
      </c>
      <c r="D44" s="20">
        <f>B44/'- 7 -'!$E44</f>
        <v>939.09104046242771</v>
      </c>
      <c r="E44" s="20">
        <v>470836</v>
      </c>
      <c r="F44" s="70">
        <f>E44/'- 3 -'!$D44*100</f>
        <v>4.4271579922286186</v>
      </c>
      <c r="G44" s="20">
        <f>E44/'- 7 -'!$E44</f>
        <v>680.39884393063585</v>
      </c>
      <c r="H44" s="20">
        <v>60700</v>
      </c>
      <c r="I44" s="70">
        <f>H44/'- 3 -'!$D44*100</f>
        <v>0.57074754294123042</v>
      </c>
      <c r="J44" s="20">
        <f>H44/'- 7 -'!$E44</f>
        <v>87.716763005780351</v>
      </c>
    </row>
    <row r="45" spans="1:10" ht="14.1" customHeight="1" x14ac:dyDescent="0.2">
      <c r="A45" s="284" t="s">
        <v>143</v>
      </c>
      <c r="B45" s="285">
        <v>699209</v>
      </c>
      <c r="C45" s="291">
        <f>B45/'- 3 -'!$D45*100</f>
        <v>3.3049587308516806</v>
      </c>
      <c r="D45" s="285">
        <f>B45/'- 7 -'!$E45</f>
        <v>365.12219321148825</v>
      </c>
      <c r="E45" s="285">
        <v>1038099</v>
      </c>
      <c r="F45" s="291">
        <f>E45/'- 3 -'!$D45*100</f>
        <v>4.9067937534247967</v>
      </c>
      <c r="G45" s="285">
        <f>E45/'- 7 -'!$E45</f>
        <v>542.08825065274152</v>
      </c>
      <c r="H45" s="285">
        <v>534063</v>
      </c>
      <c r="I45" s="291">
        <f>H45/'- 3 -'!$D45*100</f>
        <v>2.5243613492887551</v>
      </c>
      <c r="J45" s="285">
        <f>H45/'- 7 -'!$E45</f>
        <v>278.88407310704963</v>
      </c>
    </row>
    <row r="46" spans="1:10" ht="14.1" customHeight="1" x14ac:dyDescent="0.2">
      <c r="A46" s="19" t="s">
        <v>144</v>
      </c>
      <c r="B46" s="20">
        <v>19260641</v>
      </c>
      <c r="C46" s="70">
        <f>B46/'- 3 -'!$D46*100</f>
        <v>4.6591027417316893</v>
      </c>
      <c r="D46" s="20">
        <f>B46/'- 7 -'!$E46</f>
        <v>652.02561298862213</v>
      </c>
      <c r="E46" s="20">
        <v>20954541</v>
      </c>
      <c r="F46" s="70">
        <f>E46/'- 3 -'!$D46*100</f>
        <v>5.0688530784011343</v>
      </c>
      <c r="G46" s="20">
        <f>E46/'- 7 -'!$E46</f>
        <v>709.36878167347675</v>
      </c>
      <c r="H46" s="20">
        <v>6987667</v>
      </c>
      <c r="I46" s="70">
        <f>H46/'- 3 -'!$D46*100</f>
        <v>1.6902998440191088</v>
      </c>
      <c r="J46" s="20">
        <f>H46/'- 7 -'!$E46</f>
        <v>236.55172530526715</v>
      </c>
    </row>
    <row r="47" spans="1:10" ht="5.0999999999999996" customHeight="1" x14ac:dyDescent="0.2">
      <c r="A47" s="21"/>
      <c r="B47" s="22"/>
      <c r="C47"/>
      <c r="D47" s="22"/>
      <c r="E47" s="22"/>
      <c r="F47"/>
      <c r="G47" s="22"/>
      <c r="H47"/>
      <c r="I47"/>
      <c r="J47"/>
    </row>
    <row r="48" spans="1:10" ht="14.1" customHeight="1" x14ac:dyDescent="0.2">
      <c r="A48" s="286" t="s">
        <v>145</v>
      </c>
      <c r="B48" s="287">
        <f>SUM(B11:B46)</f>
        <v>148596479.43009999</v>
      </c>
      <c r="C48" s="294">
        <f>B48/'- 3 -'!$D48*100</f>
        <v>6.1613416197444062</v>
      </c>
      <c r="D48" s="287">
        <f>B48/'- 7 -'!$E48</f>
        <v>824.50714932938399</v>
      </c>
      <c r="E48" s="287">
        <f>SUM(E11:E46)</f>
        <v>121880163.90323333</v>
      </c>
      <c r="F48" s="294">
        <f>E48/'- 3 -'!$D48*100</f>
        <v>5.053587604217145</v>
      </c>
      <c r="G48" s="287">
        <f>E48/'- 7 -'!$E48</f>
        <v>676.26815174261344</v>
      </c>
      <c r="H48" s="287">
        <f>SUM(H11:H46)</f>
        <v>55804003.666666672</v>
      </c>
      <c r="I48" s="294">
        <f>H48/'- 3 -'!$D48*100</f>
        <v>2.3138336228318233</v>
      </c>
      <c r="J48" s="287">
        <f>H48/'- 7 -'!$E48</f>
        <v>309.63586863451485</v>
      </c>
    </row>
    <row r="49" spans="1:10" ht="5.0999999999999996" customHeight="1" x14ac:dyDescent="0.2">
      <c r="A49" s="21" t="s">
        <v>7</v>
      </c>
      <c r="B49" s="22"/>
      <c r="C49"/>
      <c r="E49" s="22"/>
      <c r="F49"/>
      <c r="H49"/>
      <c r="I49"/>
      <c r="J49"/>
    </row>
    <row r="50" spans="1:10" ht="14.1" customHeight="1" x14ac:dyDescent="0.2">
      <c r="A50" s="19" t="s">
        <v>146</v>
      </c>
      <c r="B50" s="20">
        <v>134197</v>
      </c>
      <c r="C50" s="70">
        <f>B50/'- 3 -'!$D50*100</f>
        <v>4.2255911551550849</v>
      </c>
      <c r="D50" s="20">
        <f>B50/'- 7 -'!$E50</f>
        <v>706.3</v>
      </c>
      <c r="E50" s="20">
        <v>54492</v>
      </c>
      <c r="F50" s="70">
        <f>E50/'- 3 -'!$D50*100</f>
        <v>1.7158424795391167</v>
      </c>
      <c r="G50" s="20">
        <f>E50/'- 7 -'!$E50</f>
        <v>286.8</v>
      </c>
      <c r="H50" s="20">
        <v>54061</v>
      </c>
      <c r="I50" s="70">
        <f>H50/'- 3 -'!$D50*100</f>
        <v>1.7022711643243815</v>
      </c>
      <c r="J50" s="20">
        <f>H50/'- 7 -'!$E50</f>
        <v>284.53157894736842</v>
      </c>
    </row>
    <row r="51" spans="1:10" ht="14.1" customHeight="1" x14ac:dyDescent="0.2">
      <c r="A51" s="284" t="s">
        <v>599</v>
      </c>
      <c r="B51" s="285">
        <v>9932</v>
      </c>
      <c r="C51" s="291">
        <f>B51/'- 3 -'!$D51*100</f>
        <v>3.2918141180312901E-2</v>
      </c>
      <c r="D51" s="285">
        <f>B51/'- 7 -'!$E51</f>
        <v>8.0486223662884928</v>
      </c>
      <c r="E51" s="285">
        <v>0</v>
      </c>
      <c r="F51" s="291">
        <f>E51/'- 3 -'!$D51*100</f>
        <v>0</v>
      </c>
      <c r="G51" s="285">
        <f>E51/'- 7 -'!$E51</f>
        <v>0</v>
      </c>
      <c r="H51" s="285">
        <v>1183782</v>
      </c>
      <c r="I51" s="291">
        <f>H51/'- 3 -'!$D51*100</f>
        <v>3.9234698955611318</v>
      </c>
      <c r="J51" s="285">
        <f>H51/'- 7 -'!$E51</f>
        <v>959.3047001620746</v>
      </c>
    </row>
    <row r="52" spans="1:10" ht="50.1" customHeight="1" x14ac:dyDescent="0.2">
      <c r="A52" s="23"/>
      <c r="B52" s="23"/>
      <c r="C52" s="23"/>
      <c r="D52" s="23"/>
      <c r="E52" s="23"/>
      <c r="F52" s="23"/>
      <c r="G52" s="23"/>
      <c r="H52" s="23"/>
      <c r="I52" s="23"/>
      <c r="J52" s="23"/>
    </row>
    <row r="53" spans="1:10" x14ac:dyDescent="0.2">
      <c r="A53" s="130" t="s">
        <v>345</v>
      </c>
      <c r="B53" s="130"/>
    </row>
    <row r="54" spans="1:10" x14ac:dyDescent="0.2">
      <c r="A54" s="130" t="s">
        <v>331</v>
      </c>
      <c r="B54" s="130"/>
    </row>
  </sheetData>
  <mergeCells count="6">
    <mergeCell ref="D8:D9"/>
    <mergeCell ref="G8:G9"/>
    <mergeCell ref="J8:J9"/>
    <mergeCell ref="B6:D7"/>
    <mergeCell ref="E6:G7"/>
    <mergeCell ref="H6:J7"/>
  </mergeCells>
  <phoneticPr fontId="6" type="noConversion"/>
  <pageMargins left="0.5" right="0.5" top="0.6" bottom="0.2" header="0.3" footer="0.5"/>
  <pageSetup scale="87" orientation="portrait" r:id="rId1"/>
  <headerFooter alignWithMargins="0">
    <oddHeader>&amp;C&amp;"Arial,Regular"&amp;11&amp;A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1">
    <pageSetUpPr fitToPage="1"/>
  </sheetPr>
  <dimension ref="A1:F52"/>
  <sheetViews>
    <sheetView showGridLines="0" showZeros="0" workbookViewId="0"/>
  </sheetViews>
  <sheetFormatPr defaultColWidth="15.83203125" defaultRowHeight="12" x14ac:dyDescent="0.2"/>
  <cols>
    <col min="1" max="1" width="32.83203125" style="2" customWidth="1"/>
    <col min="2" max="2" width="23.83203125" style="2" customWidth="1"/>
    <col min="3" max="3" width="12.83203125" style="2" customWidth="1"/>
    <col min="4" max="4" width="22.83203125" style="2" customWidth="1"/>
    <col min="5" max="5" width="12.83203125" style="2" customWidth="1"/>
    <col min="6" max="6" width="27.83203125" style="2" customWidth="1"/>
    <col min="7" max="16384" width="15.83203125" style="2"/>
  </cols>
  <sheetData>
    <row r="1" spans="1:6" ht="6.95" customHeight="1" x14ac:dyDescent="0.2">
      <c r="A1" s="7"/>
      <c r="B1" s="8"/>
      <c r="C1" s="8"/>
      <c r="D1" s="8"/>
      <c r="E1" s="8"/>
    </row>
    <row r="2" spans="1:6" ht="15.95" customHeight="1" x14ac:dyDescent="0.2">
      <c r="A2" s="134"/>
      <c r="B2" s="9" t="s">
        <v>263</v>
      </c>
      <c r="C2" s="10"/>
      <c r="D2" s="10"/>
      <c r="E2" s="135"/>
      <c r="F2" s="395" t="s">
        <v>401</v>
      </c>
    </row>
    <row r="3" spans="1:6" ht="15.95" customHeight="1" x14ac:dyDescent="0.2">
      <c r="A3" s="541"/>
      <c r="B3" s="11" t="str">
        <f>OPYEAR</f>
        <v>OPERATING FUND 2019/2020 ACTUAL</v>
      </c>
      <c r="C3" s="12"/>
      <c r="D3" s="12"/>
      <c r="E3" s="66"/>
      <c r="F3" s="66"/>
    </row>
    <row r="4" spans="1:6" ht="15.95" customHeight="1" x14ac:dyDescent="0.2">
      <c r="B4" s="8"/>
      <c r="C4" s="8"/>
      <c r="D4" s="8"/>
      <c r="E4" s="8"/>
    </row>
    <row r="5" spans="1:6" ht="15.95" customHeight="1" x14ac:dyDescent="0.2">
      <c r="B5" s="154" t="s">
        <v>189</v>
      </c>
      <c r="C5" s="173"/>
      <c r="D5" s="39"/>
      <c r="E5" s="183"/>
    </row>
    <row r="6" spans="1:6" ht="15.95" customHeight="1" x14ac:dyDescent="0.2">
      <c r="B6" s="649" t="s">
        <v>481</v>
      </c>
      <c r="C6" s="650"/>
      <c r="D6" s="336"/>
      <c r="E6" s="337"/>
    </row>
    <row r="7" spans="1:6" ht="15.95" customHeight="1" x14ac:dyDescent="0.2">
      <c r="B7" s="651"/>
      <c r="C7" s="652"/>
      <c r="D7" s="654" t="s">
        <v>79</v>
      </c>
      <c r="E7" s="655"/>
    </row>
    <row r="8" spans="1:6" ht="15.95" customHeight="1" x14ac:dyDescent="0.2">
      <c r="A8" s="67"/>
      <c r="B8" s="139"/>
      <c r="C8" s="137"/>
      <c r="D8" s="139"/>
      <c r="E8" s="137"/>
    </row>
    <row r="9" spans="1:6" ht="15.95" customHeight="1" x14ac:dyDescent="0.2">
      <c r="A9" s="35" t="s">
        <v>42</v>
      </c>
      <c r="B9" s="77" t="s">
        <v>43</v>
      </c>
      <c r="C9" s="77" t="s">
        <v>44</v>
      </c>
      <c r="D9" s="77" t="s">
        <v>43</v>
      </c>
      <c r="E9" s="77" t="s">
        <v>44</v>
      </c>
    </row>
    <row r="10" spans="1:6" ht="5.0999999999999996" customHeight="1" x14ac:dyDescent="0.2">
      <c r="A10" s="6"/>
    </row>
    <row r="11" spans="1:6" ht="14.1" customHeight="1" x14ac:dyDescent="0.2">
      <c r="A11" s="284" t="s">
        <v>110</v>
      </c>
      <c r="B11" s="285">
        <v>0</v>
      </c>
      <c r="C11" s="291">
        <f>B11/'- 3 -'!$D11*100</f>
        <v>0</v>
      </c>
      <c r="D11" s="285">
        <v>0</v>
      </c>
      <c r="E11" s="291">
        <f>D11/'- 3 -'!$D11*100</f>
        <v>0</v>
      </c>
    </row>
    <row r="12" spans="1:6" ht="14.1" customHeight="1" x14ac:dyDescent="0.2">
      <c r="A12" s="19" t="s">
        <v>111</v>
      </c>
      <c r="B12" s="20">
        <v>127277</v>
      </c>
      <c r="C12" s="70">
        <f>B12/'- 3 -'!$D12*100</f>
        <v>0.37938871549509756</v>
      </c>
      <c r="D12" s="20">
        <v>341359</v>
      </c>
      <c r="E12" s="70">
        <f>D12/'- 3 -'!$D12*100</f>
        <v>1.0175267529301524</v>
      </c>
    </row>
    <row r="13" spans="1:6" ht="14.1" customHeight="1" x14ac:dyDescent="0.2">
      <c r="A13" s="284" t="s">
        <v>112</v>
      </c>
      <c r="B13" s="285">
        <v>0</v>
      </c>
      <c r="C13" s="291">
        <f>B13/'- 3 -'!$D13*100</f>
        <v>0</v>
      </c>
      <c r="D13" s="285">
        <v>0</v>
      </c>
      <c r="E13" s="291">
        <f>D13/'- 3 -'!$D13*100</f>
        <v>0</v>
      </c>
    </row>
    <row r="14" spans="1:6" ht="14.1" customHeight="1" x14ac:dyDescent="0.2">
      <c r="A14" s="19" t="s">
        <v>358</v>
      </c>
      <c r="B14" s="20">
        <v>89987</v>
      </c>
      <c r="C14" s="70">
        <f>B14/'- 3 -'!$D14*100</f>
        <v>0.10045322559262457</v>
      </c>
      <c r="D14" s="20">
        <v>172271</v>
      </c>
      <c r="E14" s="70">
        <f>D14/'- 3 -'!$D14*100</f>
        <v>0.19230752915495603</v>
      </c>
    </row>
    <row r="15" spans="1:6" ht="14.1" customHeight="1" x14ac:dyDescent="0.2">
      <c r="A15" s="284" t="s">
        <v>113</v>
      </c>
      <c r="B15" s="285">
        <v>0</v>
      </c>
      <c r="C15" s="291">
        <f>B15/'- 3 -'!$D15*100</f>
        <v>0</v>
      </c>
      <c r="D15" s="285">
        <v>0</v>
      </c>
      <c r="E15" s="291">
        <f>D15/'- 3 -'!$D15*100</f>
        <v>0</v>
      </c>
    </row>
    <row r="16" spans="1:6" ht="14.1" customHeight="1" x14ac:dyDescent="0.2">
      <c r="A16" s="19" t="s">
        <v>114</v>
      </c>
      <c r="B16" s="20">
        <v>21956</v>
      </c>
      <c r="C16" s="70">
        <f>B16/'- 3 -'!$D16*100</f>
        <v>0.1527548824025346</v>
      </c>
      <c r="D16" s="20">
        <v>72258</v>
      </c>
      <c r="E16" s="70">
        <f>D16/'- 3 -'!$D16*100</f>
        <v>0.50272191167072067</v>
      </c>
    </row>
    <row r="17" spans="1:5" ht="14.1" customHeight="1" x14ac:dyDescent="0.2">
      <c r="A17" s="284" t="s">
        <v>115</v>
      </c>
      <c r="B17" s="285">
        <v>0</v>
      </c>
      <c r="C17" s="291">
        <f>B17/'- 3 -'!$D17*100</f>
        <v>0</v>
      </c>
      <c r="D17" s="285">
        <v>0</v>
      </c>
      <c r="E17" s="291">
        <f>D17/'- 3 -'!$D17*100</f>
        <v>0</v>
      </c>
    </row>
    <row r="18" spans="1:5" ht="14.1" customHeight="1" x14ac:dyDescent="0.2">
      <c r="A18" s="19" t="s">
        <v>116</v>
      </c>
      <c r="B18" s="20">
        <v>234110</v>
      </c>
      <c r="C18" s="70">
        <f>B18/'- 3 -'!$D18*100</f>
        <v>0.17578103721083554</v>
      </c>
      <c r="D18" s="20">
        <v>1965136</v>
      </c>
      <c r="E18" s="70">
        <f>D18/'- 3 -'!$D18*100</f>
        <v>1.4755185354762828</v>
      </c>
    </row>
    <row r="19" spans="1:5" ht="14.1" customHeight="1" x14ac:dyDescent="0.2">
      <c r="A19" s="284" t="s">
        <v>117</v>
      </c>
      <c r="B19" s="285">
        <v>0</v>
      </c>
      <c r="C19" s="291">
        <f>B19/'- 3 -'!$D19*100</f>
        <v>0</v>
      </c>
      <c r="D19" s="285">
        <v>0</v>
      </c>
      <c r="E19" s="291">
        <f>D19/'- 3 -'!$D19*100</f>
        <v>0</v>
      </c>
    </row>
    <row r="20" spans="1:5" ht="14.1" customHeight="1" x14ac:dyDescent="0.2">
      <c r="A20" s="19" t="s">
        <v>118</v>
      </c>
      <c r="B20" s="20">
        <v>0</v>
      </c>
      <c r="C20" s="70">
        <f>B20/'- 3 -'!$D20*100</f>
        <v>0</v>
      </c>
      <c r="D20" s="20">
        <v>0</v>
      </c>
      <c r="E20" s="70">
        <f>D20/'- 3 -'!$D20*100</f>
        <v>0</v>
      </c>
    </row>
    <row r="21" spans="1:5" ht="14.1" customHeight="1" x14ac:dyDescent="0.2">
      <c r="A21" s="284" t="s">
        <v>119</v>
      </c>
      <c r="B21" s="285">
        <v>0</v>
      </c>
      <c r="C21" s="291">
        <f>B21/'- 3 -'!$D21*100</f>
        <v>0</v>
      </c>
      <c r="D21" s="285">
        <v>0</v>
      </c>
      <c r="E21" s="291">
        <f>D21/'- 3 -'!$D21*100</f>
        <v>0</v>
      </c>
    </row>
    <row r="22" spans="1:5" ht="14.1" customHeight="1" x14ac:dyDescent="0.2">
      <c r="A22" s="19" t="s">
        <v>120</v>
      </c>
      <c r="B22" s="20">
        <v>187167</v>
      </c>
      <c r="C22" s="70">
        <f>B22/'- 3 -'!$D22*100</f>
        <v>0.90667378699010526</v>
      </c>
      <c r="D22" s="20">
        <v>493003</v>
      </c>
      <c r="E22" s="70">
        <f>D22/'- 3 -'!$D22*100</f>
        <v>2.3882035669080706</v>
      </c>
    </row>
    <row r="23" spans="1:5" ht="14.1" customHeight="1" x14ac:dyDescent="0.2">
      <c r="A23" s="284" t="s">
        <v>121</v>
      </c>
      <c r="B23" s="285">
        <v>63067</v>
      </c>
      <c r="C23" s="291">
        <f>B23/'- 3 -'!$D23*100</f>
        <v>0.40635801747648109</v>
      </c>
      <c r="D23" s="285">
        <v>200075</v>
      </c>
      <c r="E23" s="291">
        <f>D23/'- 3 -'!$D23*100</f>
        <v>1.2891382235813809</v>
      </c>
    </row>
    <row r="24" spans="1:5" ht="14.1" customHeight="1" x14ac:dyDescent="0.2">
      <c r="A24" s="19" t="s">
        <v>122</v>
      </c>
      <c r="B24" s="20">
        <v>105096</v>
      </c>
      <c r="C24" s="70">
        <f>B24/'- 3 -'!$D24*100</f>
        <v>0.17982893459466831</v>
      </c>
      <c r="D24" s="20">
        <v>229788</v>
      </c>
      <c r="E24" s="70">
        <f>D24/'- 3 -'!$D24*100</f>
        <v>0.39318842984166508</v>
      </c>
    </row>
    <row r="25" spans="1:5" ht="14.1" customHeight="1" x14ac:dyDescent="0.2">
      <c r="A25" s="284" t="s">
        <v>123</v>
      </c>
      <c r="B25" s="285">
        <v>78528.05</v>
      </c>
      <c r="C25" s="291">
        <f>B25/'- 3 -'!$D25*100</f>
        <v>4.0461091894177126E-2</v>
      </c>
      <c r="D25" s="285">
        <v>746399.95</v>
      </c>
      <c r="E25" s="291">
        <f>D25/'- 3 -'!$D25*100</f>
        <v>0.3845779561157982</v>
      </c>
    </row>
    <row r="26" spans="1:5" ht="14.1" customHeight="1" x14ac:dyDescent="0.2">
      <c r="A26" s="19" t="s">
        <v>124</v>
      </c>
      <c r="B26" s="20">
        <v>0</v>
      </c>
      <c r="C26" s="70">
        <f>B26/'- 3 -'!$D26*100</f>
        <v>0</v>
      </c>
      <c r="D26" s="20">
        <v>0</v>
      </c>
      <c r="E26" s="70">
        <f>D26/'- 3 -'!$D26*100</f>
        <v>0</v>
      </c>
    </row>
    <row r="27" spans="1:5" ht="14.1" customHeight="1" x14ac:dyDescent="0.2">
      <c r="A27" s="284" t="s">
        <v>125</v>
      </c>
      <c r="B27" s="285">
        <v>0</v>
      </c>
      <c r="C27" s="291">
        <f>B27/'- 3 -'!$D27*100</f>
        <v>0</v>
      </c>
      <c r="D27" s="285">
        <v>0</v>
      </c>
      <c r="E27" s="291">
        <f>D27/'- 3 -'!$D27*100</f>
        <v>0</v>
      </c>
    </row>
    <row r="28" spans="1:5" ht="14.1" customHeight="1" x14ac:dyDescent="0.2">
      <c r="A28" s="19" t="s">
        <v>126</v>
      </c>
      <c r="B28" s="20">
        <v>0</v>
      </c>
      <c r="C28" s="70">
        <f>B28/'- 3 -'!$D28*100</f>
        <v>0</v>
      </c>
      <c r="D28" s="20">
        <v>111653</v>
      </c>
      <c r="E28" s="70">
        <f>D28/'- 3 -'!$D28*100</f>
        <v>0.39546356505942881</v>
      </c>
    </row>
    <row r="29" spans="1:5" ht="14.1" customHeight="1" x14ac:dyDescent="0.2">
      <c r="A29" s="284" t="s">
        <v>127</v>
      </c>
      <c r="B29" s="285">
        <v>0</v>
      </c>
      <c r="C29" s="291">
        <f>B29/'- 3 -'!$D29*100</f>
        <v>0</v>
      </c>
      <c r="D29" s="285">
        <v>0</v>
      </c>
      <c r="E29" s="291">
        <f>D29/'- 3 -'!$D29*100</f>
        <v>0</v>
      </c>
    </row>
    <row r="30" spans="1:5" ht="14.1" customHeight="1" x14ac:dyDescent="0.2">
      <c r="A30" s="19" t="s">
        <v>128</v>
      </c>
      <c r="B30" s="20">
        <v>0</v>
      </c>
      <c r="C30" s="70">
        <f>B30/'- 3 -'!$D30*100</f>
        <v>0</v>
      </c>
      <c r="D30" s="20">
        <v>0</v>
      </c>
      <c r="E30" s="70">
        <f>D30/'- 3 -'!$D30*100</f>
        <v>0</v>
      </c>
    </row>
    <row r="31" spans="1:5" ht="14.1" customHeight="1" x14ac:dyDescent="0.2">
      <c r="A31" s="284" t="s">
        <v>129</v>
      </c>
      <c r="B31" s="285">
        <v>0</v>
      </c>
      <c r="C31" s="291">
        <f>B31/'- 3 -'!$D31*100</f>
        <v>0</v>
      </c>
      <c r="D31" s="285">
        <v>0</v>
      </c>
      <c r="E31" s="291">
        <f>D31/'- 3 -'!$D31*100</f>
        <v>0</v>
      </c>
    </row>
    <row r="32" spans="1:5" ht="14.1" customHeight="1" x14ac:dyDescent="0.2">
      <c r="A32" s="19" t="s">
        <v>130</v>
      </c>
      <c r="B32" s="20">
        <v>77559</v>
      </c>
      <c r="C32" s="70">
        <f>B32/'- 3 -'!$D32*100</f>
        <v>0.25567020096708271</v>
      </c>
      <c r="D32" s="20">
        <v>208121</v>
      </c>
      <c r="E32" s="70">
        <f>D32/'- 3 -'!$D32*100</f>
        <v>0.68606271219936077</v>
      </c>
    </row>
    <row r="33" spans="1:6" ht="14.1" customHeight="1" x14ac:dyDescent="0.2">
      <c r="A33" s="284" t="s">
        <v>131</v>
      </c>
      <c r="B33" s="285">
        <v>0</v>
      </c>
      <c r="C33" s="291">
        <f>B33/'- 3 -'!$D33*100</f>
        <v>0</v>
      </c>
      <c r="D33" s="285">
        <v>0</v>
      </c>
      <c r="E33" s="291">
        <f>D33/'- 3 -'!$D33*100</f>
        <v>0</v>
      </c>
    </row>
    <row r="34" spans="1:6" ht="14.1" customHeight="1" x14ac:dyDescent="0.2">
      <c r="A34" s="19" t="s">
        <v>132</v>
      </c>
      <c r="B34" s="20">
        <v>0</v>
      </c>
      <c r="C34" s="70">
        <f>B34/'- 3 -'!$D34*100</f>
        <v>0</v>
      </c>
      <c r="D34" s="20">
        <v>0</v>
      </c>
      <c r="E34" s="70">
        <f>D34/'- 3 -'!$D34*100</f>
        <v>0</v>
      </c>
    </row>
    <row r="35" spans="1:6" ht="14.1" customHeight="1" x14ac:dyDescent="0.2">
      <c r="A35" s="284" t="s">
        <v>133</v>
      </c>
      <c r="B35" s="285">
        <v>300022</v>
      </c>
      <c r="C35" s="291">
        <f>B35/'- 3 -'!$D35*100</f>
        <v>0.15660848969579175</v>
      </c>
      <c r="D35" s="285">
        <v>1227436</v>
      </c>
      <c r="E35" s="291">
        <f>D35/'- 3 -'!$D35*100</f>
        <v>0.64070934184241091</v>
      </c>
    </row>
    <row r="36" spans="1:6" ht="14.1" customHeight="1" x14ac:dyDescent="0.2">
      <c r="A36" s="19" t="s">
        <v>134</v>
      </c>
      <c r="B36" s="20">
        <v>32617</v>
      </c>
      <c r="C36" s="70">
        <f>B36/'- 3 -'!$D36*100</f>
        <v>0.13792723157672218</v>
      </c>
      <c r="D36" s="20">
        <v>90166</v>
      </c>
      <c r="E36" s="70">
        <f>D36/'- 3 -'!$D36*100</f>
        <v>0.38128420033561433</v>
      </c>
    </row>
    <row r="37" spans="1:6" ht="14.1" customHeight="1" x14ac:dyDescent="0.2">
      <c r="A37" s="284" t="s">
        <v>135</v>
      </c>
      <c r="B37" s="285">
        <v>121995</v>
      </c>
      <c r="C37" s="291">
        <f>B37/'- 3 -'!$D37*100</f>
        <v>0.22229670074304986</v>
      </c>
      <c r="D37" s="285">
        <v>200789</v>
      </c>
      <c r="E37" s="291">
        <f>D37/'- 3 -'!$D37*100</f>
        <v>0.36587345584242176</v>
      </c>
    </row>
    <row r="38" spans="1:6" ht="14.1" customHeight="1" x14ac:dyDescent="0.2">
      <c r="A38" s="19" t="s">
        <v>136</v>
      </c>
      <c r="B38" s="20">
        <v>754537</v>
      </c>
      <c r="C38" s="70">
        <f>B38/'- 3 -'!$D38*100</f>
        <v>0.51160932100099588</v>
      </c>
      <c r="D38" s="20">
        <v>1406024</v>
      </c>
      <c r="E38" s="70">
        <f>D38/'- 3 -'!$D38*100</f>
        <v>0.95334620297096662</v>
      </c>
    </row>
    <row r="39" spans="1:6" ht="14.1" customHeight="1" x14ac:dyDescent="0.2">
      <c r="A39" s="284" t="s">
        <v>137</v>
      </c>
      <c r="B39" s="285">
        <v>0</v>
      </c>
      <c r="C39" s="291">
        <f>B39/'- 3 -'!$D39*100</f>
        <v>0</v>
      </c>
      <c r="D39" s="285">
        <v>0</v>
      </c>
      <c r="E39" s="291">
        <f>D39/'- 3 -'!$D39*100</f>
        <v>0</v>
      </c>
    </row>
    <row r="40" spans="1:6" ht="14.1" customHeight="1" x14ac:dyDescent="0.2">
      <c r="A40" s="19" t="s">
        <v>138</v>
      </c>
      <c r="B40" s="20">
        <v>0</v>
      </c>
      <c r="C40" s="70">
        <f>B40/'- 3 -'!$D40*100</f>
        <v>0</v>
      </c>
      <c r="D40" s="20">
        <v>0</v>
      </c>
      <c r="E40" s="70">
        <f>D40/'- 3 -'!$D40*100</f>
        <v>0</v>
      </c>
    </row>
    <row r="41" spans="1:6" ht="14.1" customHeight="1" x14ac:dyDescent="0.2">
      <c r="A41" s="284" t="s">
        <v>139</v>
      </c>
      <c r="B41" s="285">
        <v>341545</v>
      </c>
      <c r="C41" s="291">
        <f>B41/'- 3 -'!$D41*100</f>
        <v>0.52996390420495709</v>
      </c>
      <c r="D41" s="285">
        <v>626366</v>
      </c>
      <c r="E41" s="291">
        <f>D41/'- 3 -'!$D41*100</f>
        <v>0.97191108293560768</v>
      </c>
    </row>
    <row r="42" spans="1:6" ht="14.1" customHeight="1" x14ac:dyDescent="0.2">
      <c r="A42" s="19" t="s">
        <v>140</v>
      </c>
      <c r="B42" s="20">
        <v>0</v>
      </c>
      <c r="C42" s="70">
        <f>B42/'- 3 -'!$D42*100</f>
        <v>0</v>
      </c>
      <c r="D42" s="20">
        <v>0</v>
      </c>
      <c r="E42" s="70">
        <f>D42/'- 3 -'!$D42*100</f>
        <v>0</v>
      </c>
    </row>
    <row r="43" spans="1:6" ht="14.1" customHeight="1" x14ac:dyDescent="0.2">
      <c r="A43" s="284" t="s">
        <v>141</v>
      </c>
      <c r="B43" s="285">
        <v>0</v>
      </c>
      <c r="C43" s="291">
        <f>B43/'- 3 -'!$D43*100</f>
        <v>0</v>
      </c>
      <c r="D43" s="285">
        <v>205623</v>
      </c>
      <c r="E43" s="291">
        <f>D43/'- 3 -'!$D43*100</f>
        <v>1.5754307489837269</v>
      </c>
    </row>
    <row r="44" spans="1:6" ht="14.1" customHeight="1" x14ac:dyDescent="0.2">
      <c r="A44" s="19" t="s">
        <v>142</v>
      </c>
      <c r="B44" s="20">
        <v>0</v>
      </c>
      <c r="C44" s="70">
        <f>B44/'- 3 -'!$D44*100</f>
        <v>0</v>
      </c>
      <c r="D44" s="20">
        <v>0</v>
      </c>
      <c r="E44" s="70">
        <f>D44/'- 3 -'!$D44*100</f>
        <v>0</v>
      </c>
    </row>
    <row r="45" spans="1:6" ht="14.1" customHeight="1" x14ac:dyDescent="0.2">
      <c r="A45" s="284" t="s">
        <v>143</v>
      </c>
      <c r="B45" s="285">
        <v>178968</v>
      </c>
      <c r="C45" s="291">
        <f>B45/'- 3 -'!$D45*100</f>
        <v>0.84592997822262528</v>
      </c>
      <c r="D45" s="285">
        <v>220443</v>
      </c>
      <c r="E45" s="291">
        <f>D45/'- 3 -'!$D45*100</f>
        <v>1.0419703085989127</v>
      </c>
    </row>
    <row r="46" spans="1:6" ht="14.1" customHeight="1" x14ac:dyDescent="0.2">
      <c r="A46" s="19" t="s">
        <v>144</v>
      </c>
      <c r="B46" s="20">
        <v>91596</v>
      </c>
      <c r="C46" s="70">
        <f>B46/'- 3 -'!$D46*100</f>
        <v>2.2156852138599949E-2</v>
      </c>
      <c r="D46" s="20">
        <v>764825</v>
      </c>
      <c r="E46" s="70">
        <f>D46/'- 3 -'!$D46*100</f>
        <v>0.1850093283211571</v>
      </c>
    </row>
    <row r="47" spans="1:6" ht="5.0999999999999996" customHeight="1" x14ac:dyDescent="0.2">
      <c r="A47"/>
      <c r="B47"/>
      <c r="C47"/>
      <c r="D47"/>
      <c r="E47"/>
      <c r="F47"/>
    </row>
    <row r="48" spans="1:6" ht="14.1" customHeight="1" x14ac:dyDescent="0.2">
      <c r="A48" s="286" t="s">
        <v>145</v>
      </c>
      <c r="B48" s="287">
        <f>SUM(B11:B46)</f>
        <v>2806027.05</v>
      </c>
      <c r="C48" s="294">
        <f>B48/'- 3 -'!$D48*100</f>
        <v>0.11634791965193453</v>
      </c>
      <c r="D48" s="287">
        <f>SUM(D11:D46)</f>
        <v>9281735.9499999993</v>
      </c>
      <c r="E48" s="294">
        <f>D48/'- 3 -'!$D48*100</f>
        <v>0.38485397656486314</v>
      </c>
    </row>
    <row r="49" spans="1:5" ht="5.0999999999999996" customHeight="1" x14ac:dyDescent="0.2">
      <c r="A49" s="21" t="s">
        <v>7</v>
      </c>
      <c r="B49"/>
      <c r="C49"/>
      <c r="D49"/>
      <c r="E49"/>
    </row>
    <row r="50" spans="1:5" ht="14.1" customHeight="1" x14ac:dyDescent="0.2">
      <c r="A50" s="19" t="s">
        <v>146</v>
      </c>
      <c r="B50" s="20">
        <v>0</v>
      </c>
      <c r="C50" s="70">
        <f>B50/'- 3 -'!$D50*100</f>
        <v>0</v>
      </c>
      <c r="D50" s="20">
        <v>0</v>
      </c>
      <c r="E50" s="70">
        <f>D50/'- 3 -'!$D50*100</f>
        <v>0</v>
      </c>
    </row>
    <row r="51" spans="1:5" ht="14.1" customHeight="1" x14ac:dyDescent="0.2">
      <c r="A51" s="284" t="s">
        <v>599</v>
      </c>
      <c r="B51" s="285">
        <v>893405</v>
      </c>
      <c r="C51" s="291">
        <f>B51/'- 3 -'!$D51*100</f>
        <v>2.9610583891660736</v>
      </c>
      <c r="D51" s="285">
        <v>1552141</v>
      </c>
      <c r="E51" s="291">
        <f>D51/'- 3 -'!$D51*100</f>
        <v>5.1443411769786591</v>
      </c>
    </row>
    <row r="52" spans="1:5" ht="50.1" customHeight="1" x14ac:dyDescent="0.2"/>
  </sheetData>
  <mergeCells count="2">
    <mergeCell ref="B6:C7"/>
    <mergeCell ref="D7:E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ntry="1" codeName="Sheet1">
    <pageSetUpPr fitToPage="1"/>
  </sheetPr>
  <dimension ref="A1:G58"/>
  <sheetViews>
    <sheetView showGridLines="0" showZeros="0" workbookViewId="0"/>
  </sheetViews>
  <sheetFormatPr defaultColWidth="15.83203125" defaultRowHeight="12" x14ac:dyDescent="0.2"/>
  <cols>
    <col min="1" max="1" width="32.83203125" style="2" customWidth="1"/>
    <col min="2" max="2" width="18.83203125" style="2" customWidth="1"/>
    <col min="3" max="3" width="19.83203125" style="2" customWidth="1"/>
    <col min="4" max="4" width="21.83203125" style="2" customWidth="1"/>
    <col min="5" max="5" width="19.83203125" style="2" customWidth="1"/>
    <col min="6" max="6" width="20.83203125" style="2" customWidth="1"/>
    <col min="7" max="16384" width="15.83203125" style="2"/>
  </cols>
  <sheetData>
    <row r="1" spans="1:6" ht="6.95" customHeight="1" x14ac:dyDescent="0.2">
      <c r="A1" s="7"/>
      <c r="B1" s="8"/>
      <c r="C1" s="8"/>
      <c r="D1" s="8"/>
      <c r="E1" s="8"/>
      <c r="F1" s="8"/>
    </row>
    <row r="2" spans="1:6" ht="15.95" customHeight="1" x14ac:dyDescent="0.2">
      <c r="A2" s="9" t="s">
        <v>251</v>
      </c>
      <c r="B2" s="10"/>
      <c r="C2" s="10"/>
      <c r="D2" s="10"/>
      <c r="E2" s="10"/>
      <c r="F2" s="10"/>
    </row>
    <row r="3" spans="1:6" ht="15.95" customHeight="1" x14ac:dyDescent="0.2">
      <c r="A3" s="11" t="str">
        <f>"OPERATING FUND "&amp;FALLYR&amp;"/"&amp;SPRINGYR&amp;" ACTUAL"</f>
        <v>OPERATING FUND 2019/2020 ACTUAL</v>
      </c>
      <c r="B3" s="12"/>
      <c r="C3" s="13"/>
      <c r="D3" s="12"/>
      <c r="E3" s="12"/>
      <c r="F3" s="12"/>
    </row>
    <row r="4" spans="1:6" ht="15.95" customHeight="1" x14ac:dyDescent="0.2">
      <c r="B4" s="8"/>
      <c r="C4" s="8"/>
      <c r="D4" s="8"/>
      <c r="E4" s="8"/>
      <c r="F4" s="8"/>
    </row>
    <row r="5" spans="1:6" ht="15.95" customHeight="1" x14ac:dyDescent="0.2">
      <c r="B5" s="8"/>
      <c r="C5" s="8"/>
      <c r="D5" s="8"/>
      <c r="E5" s="8"/>
      <c r="F5" s="8"/>
    </row>
    <row r="6" spans="1:6" ht="15.95" customHeight="1" x14ac:dyDescent="0.2">
      <c r="B6" s="14"/>
      <c r="C6" s="602" t="s">
        <v>445</v>
      </c>
      <c r="D6" s="605" t="s">
        <v>446</v>
      </c>
      <c r="E6" s="602" t="s">
        <v>447</v>
      </c>
      <c r="F6" s="602" t="s">
        <v>448</v>
      </c>
    </row>
    <row r="7" spans="1:6" ht="15.95" customHeight="1" x14ac:dyDescent="0.2">
      <c r="B7" s="14"/>
      <c r="C7" s="603"/>
      <c r="D7" s="606"/>
      <c r="E7" s="608"/>
      <c r="F7" s="608"/>
    </row>
    <row r="8" spans="1:6" ht="15.95" customHeight="1" x14ac:dyDescent="0.2">
      <c r="A8" s="16"/>
      <c r="B8" s="600" t="s">
        <v>444</v>
      </c>
      <c r="C8" s="603"/>
      <c r="D8" s="606"/>
      <c r="E8" s="608"/>
      <c r="F8" s="608"/>
    </row>
    <row r="9" spans="1:6" x14ac:dyDescent="0.2">
      <c r="A9" s="17" t="s">
        <v>42</v>
      </c>
      <c r="B9" s="601"/>
      <c r="C9" s="604"/>
      <c r="D9" s="607"/>
      <c r="E9" s="609"/>
      <c r="F9" s="609"/>
    </row>
    <row r="10" spans="1:6" ht="5.0999999999999996" customHeight="1" x14ac:dyDescent="0.2">
      <c r="A10" s="18"/>
    </row>
    <row r="11" spans="1:6" ht="14.1" customHeight="1" x14ac:dyDescent="0.2">
      <c r="A11" s="284" t="s">
        <v>110</v>
      </c>
      <c r="B11" s="285">
        <v>21094883</v>
      </c>
      <c r="C11" s="285">
        <f>-Data!K11</f>
        <v>-77165</v>
      </c>
      <c r="D11" s="285">
        <f>B11+C11</f>
        <v>21017718</v>
      </c>
      <c r="E11" s="285">
        <f>-'- 15 -'!H11-'- 16 -'!B11</f>
        <v>-29585</v>
      </c>
      <c r="F11" s="285">
        <f>D11+E11</f>
        <v>20988133</v>
      </c>
    </row>
    <row r="12" spans="1:6" ht="14.1" customHeight="1" x14ac:dyDescent="0.2">
      <c r="A12" s="19" t="s">
        <v>111</v>
      </c>
      <c r="B12" s="20">
        <v>34126386</v>
      </c>
      <c r="C12" s="20">
        <f>-Data!K12</f>
        <v>-578472</v>
      </c>
      <c r="D12" s="20">
        <f t="shared" ref="D12:D46" si="0">B12+C12</f>
        <v>33547914</v>
      </c>
      <c r="E12" s="20">
        <f>-'- 15 -'!H12-'- 16 -'!B12</f>
        <v>-527963</v>
      </c>
      <c r="F12" s="20">
        <f t="shared" ref="F12:F46" si="1">D12+E12</f>
        <v>33019951</v>
      </c>
    </row>
    <row r="13" spans="1:6" ht="14.1" customHeight="1" x14ac:dyDescent="0.2">
      <c r="A13" s="284" t="s">
        <v>112</v>
      </c>
      <c r="B13" s="285">
        <v>104617824</v>
      </c>
      <c r="C13" s="285">
        <f>-Data!K13</f>
        <v>-74100</v>
      </c>
      <c r="D13" s="285">
        <f t="shared" si="0"/>
        <v>104543724</v>
      </c>
      <c r="E13" s="285">
        <f>-'- 15 -'!H13-'- 16 -'!B13</f>
        <v>-273724</v>
      </c>
      <c r="F13" s="285">
        <f t="shared" si="1"/>
        <v>104270000</v>
      </c>
    </row>
    <row r="14" spans="1:6" ht="14.1" customHeight="1" x14ac:dyDescent="0.2">
      <c r="A14" s="19" t="s">
        <v>358</v>
      </c>
      <c r="B14" s="20">
        <v>90533649</v>
      </c>
      <c r="C14" s="20">
        <f>-Data!K14</f>
        <v>-952653</v>
      </c>
      <c r="D14" s="20">
        <f t="shared" si="0"/>
        <v>89580996</v>
      </c>
      <c r="E14" s="20">
        <f>-'- 15 -'!H14-'- 16 -'!B14</f>
        <v>-1349649</v>
      </c>
      <c r="F14" s="20">
        <f t="shared" si="1"/>
        <v>88231347</v>
      </c>
    </row>
    <row r="15" spans="1:6" ht="14.1" customHeight="1" x14ac:dyDescent="0.2">
      <c r="A15" s="284" t="s">
        <v>113</v>
      </c>
      <c r="B15" s="285">
        <v>19787776</v>
      </c>
      <c r="C15" s="285">
        <f>-Data!K15</f>
        <v>-63000</v>
      </c>
      <c r="D15" s="285">
        <f t="shared" si="0"/>
        <v>19724776</v>
      </c>
      <c r="E15" s="285">
        <f>-'- 15 -'!H15-'- 16 -'!B15</f>
        <v>-46446</v>
      </c>
      <c r="F15" s="285">
        <f t="shared" si="1"/>
        <v>19678330</v>
      </c>
    </row>
    <row r="16" spans="1:6" ht="14.1" customHeight="1" x14ac:dyDescent="0.2">
      <c r="A16" s="19" t="s">
        <v>114</v>
      </c>
      <c r="B16" s="20">
        <v>14373354</v>
      </c>
      <c r="C16" s="20">
        <f>-Data!K16</f>
        <v>0</v>
      </c>
      <c r="D16" s="20">
        <f t="shared" si="0"/>
        <v>14373354</v>
      </c>
      <c r="E16" s="20">
        <f>-'- 15 -'!H16-'- 16 -'!B16</f>
        <v>-108154</v>
      </c>
      <c r="F16" s="20">
        <f t="shared" si="1"/>
        <v>14265200</v>
      </c>
    </row>
    <row r="17" spans="1:6" ht="14.1" customHeight="1" x14ac:dyDescent="0.2">
      <c r="A17" s="284" t="s">
        <v>115</v>
      </c>
      <c r="B17" s="285">
        <v>18094664</v>
      </c>
      <c r="C17" s="285">
        <f>-Data!K17</f>
        <v>-94394</v>
      </c>
      <c r="D17" s="285">
        <f t="shared" si="0"/>
        <v>18000270</v>
      </c>
      <c r="E17" s="285">
        <f>-'- 15 -'!H17-'- 16 -'!B17</f>
        <v>-298426</v>
      </c>
      <c r="F17" s="285">
        <f t="shared" si="1"/>
        <v>17701844</v>
      </c>
    </row>
    <row r="18" spans="1:6" ht="14.1" customHeight="1" x14ac:dyDescent="0.2">
      <c r="A18" s="19" t="s">
        <v>116</v>
      </c>
      <c r="B18" s="20">
        <v>137765372</v>
      </c>
      <c r="C18" s="20">
        <f>-Data!K18</f>
        <v>-4582633</v>
      </c>
      <c r="D18" s="20">
        <f t="shared" si="0"/>
        <v>133182739</v>
      </c>
      <c r="E18" s="20">
        <f>-'- 15 -'!H18-'- 16 -'!B18</f>
        <v>-4763462</v>
      </c>
      <c r="F18" s="20">
        <f t="shared" si="1"/>
        <v>128419277</v>
      </c>
    </row>
    <row r="19" spans="1:6" ht="14.1" customHeight="1" x14ac:dyDescent="0.2">
      <c r="A19" s="284" t="s">
        <v>117</v>
      </c>
      <c r="B19" s="285">
        <v>50151556</v>
      </c>
      <c r="C19" s="285">
        <f>-Data!K19</f>
        <v>-422563</v>
      </c>
      <c r="D19" s="285">
        <f t="shared" si="0"/>
        <v>49728993</v>
      </c>
      <c r="E19" s="285">
        <f>-'- 15 -'!H19-'- 16 -'!B19</f>
        <v>-75798</v>
      </c>
      <c r="F19" s="285">
        <f t="shared" si="1"/>
        <v>49653195</v>
      </c>
    </row>
    <row r="20" spans="1:6" ht="14.1" customHeight="1" x14ac:dyDescent="0.2">
      <c r="A20" s="19" t="s">
        <v>118</v>
      </c>
      <c r="B20" s="20">
        <v>90701537</v>
      </c>
      <c r="C20" s="20">
        <f>-Data!K20</f>
        <v>-2183735</v>
      </c>
      <c r="D20" s="20">
        <f t="shared" si="0"/>
        <v>88517802</v>
      </c>
      <c r="E20" s="20">
        <f>-'- 15 -'!H20-'- 16 -'!B20</f>
        <v>-132174</v>
      </c>
      <c r="F20" s="20">
        <f t="shared" si="1"/>
        <v>88385628</v>
      </c>
    </row>
    <row r="21" spans="1:6" ht="14.1" customHeight="1" x14ac:dyDescent="0.2">
      <c r="A21" s="284" t="s">
        <v>119</v>
      </c>
      <c r="B21" s="285">
        <v>38014839</v>
      </c>
      <c r="C21" s="285">
        <f>-Data!K21</f>
        <v>-405651</v>
      </c>
      <c r="D21" s="285">
        <f t="shared" si="0"/>
        <v>37609188</v>
      </c>
      <c r="E21" s="285">
        <f>-'- 15 -'!H21-'- 16 -'!B21</f>
        <v>-214864</v>
      </c>
      <c r="F21" s="285">
        <f t="shared" si="1"/>
        <v>37394324</v>
      </c>
    </row>
    <row r="22" spans="1:6" ht="14.1" customHeight="1" x14ac:dyDescent="0.2">
      <c r="A22" s="19" t="s">
        <v>120</v>
      </c>
      <c r="B22" s="20">
        <v>20650628</v>
      </c>
      <c r="C22" s="20">
        <f>-Data!K22</f>
        <v>-7371</v>
      </c>
      <c r="D22" s="20">
        <f t="shared" si="0"/>
        <v>20643257</v>
      </c>
      <c r="E22" s="20">
        <f>-'- 15 -'!H22-'- 16 -'!B22</f>
        <v>-729524</v>
      </c>
      <c r="F22" s="20">
        <f t="shared" si="1"/>
        <v>19913733</v>
      </c>
    </row>
    <row r="23" spans="1:6" ht="14.1" customHeight="1" x14ac:dyDescent="0.2">
      <c r="A23" s="284" t="s">
        <v>121</v>
      </c>
      <c r="B23" s="285">
        <v>15608522</v>
      </c>
      <c r="C23" s="285">
        <f>-Data!K23</f>
        <v>-88464</v>
      </c>
      <c r="D23" s="285">
        <f t="shared" si="0"/>
        <v>15520058</v>
      </c>
      <c r="E23" s="285">
        <f>-'- 15 -'!H23-'- 16 -'!B23</f>
        <v>-539625</v>
      </c>
      <c r="F23" s="285">
        <f t="shared" si="1"/>
        <v>14980433</v>
      </c>
    </row>
    <row r="24" spans="1:6" ht="14.1" customHeight="1" x14ac:dyDescent="0.2">
      <c r="A24" s="19" t="s">
        <v>122</v>
      </c>
      <c r="B24" s="20">
        <v>58624720</v>
      </c>
      <c r="C24" s="20">
        <f>-Data!K24</f>
        <v>-182512</v>
      </c>
      <c r="D24" s="20">
        <f t="shared" si="0"/>
        <v>58442208</v>
      </c>
      <c r="E24" s="20">
        <f>-'- 15 -'!H24-'- 16 -'!B24</f>
        <v>-742252</v>
      </c>
      <c r="F24" s="20">
        <f t="shared" si="1"/>
        <v>57699956</v>
      </c>
    </row>
    <row r="25" spans="1:6" ht="14.1" customHeight="1" x14ac:dyDescent="0.2">
      <c r="A25" s="284" t="s">
        <v>123</v>
      </c>
      <c r="B25" s="285">
        <v>195119232</v>
      </c>
      <c r="C25" s="285">
        <f>-Data!K25</f>
        <v>-1036358</v>
      </c>
      <c r="D25" s="285">
        <f t="shared" si="0"/>
        <v>194082874</v>
      </c>
      <c r="E25" s="285">
        <f>-'- 15 -'!H25-'- 16 -'!B25</f>
        <v>-3229316</v>
      </c>
      <c r="F25" s="285">
        <f t="shared" si="1"/>
        <v>190853558</v>
      </c>
    </row>
    <row r="26" spans="1:6" ht="14.1" customHeight="1" x14ac:dyDescent="0.2">
      <c r="A26" s="19" t="s">
        <v>124</v>
      </c>
      <c r="B26" s="20">
        <v>40912815</v>
      </c>
      <c r="C26" s="20">
        <f>-Data!K26</f>
        <v>-3520</v>
      </c>
      <c r="D26" s="20">
        <f t="shared" si="0"/>
        <v>40909295</v>
      </c>
      <c r="E26" s="20">
        <f>-'- 15 -'!H26-'- 16 -'!B26</f>
        <v>-88924</v>
      </c>
      <c r="F26" s="20">
        <f t="shared" si="1"/>
        <v>40820371</v>
      </c>
    </row>
    <row r="27" spans="1:6" ht="14.1" customHeight="1" x14ac:dyDescent="0.2">
      <c r="A27" s="284" t="s">
        <v>125</v>
      </c>
      <c r="B27" s="285">
        <v>41647026</v>
      </c>
      <c r="C27" s="285">
        <f>-Data!K27</f>
        <v>-6500</v>
      </c>
      <c r="D27" s="285">
        <f t="shared" si="0"/>
        <v>41640526</v>
      </c>
      <c r="E27" s="285">
        <f>-'- 15 -'!H27-'- 16 -'!B27</f>
        <v>-2000</v>
      </c>
      <c r="F27" s="285">
        <f t="shared" si="1"/>
        <v>41638526</v>
      </c>
    </row>
    <row r="28" spans="1:6" ht="14.1" customHeight="1" x14ac:dyDescent="0.2">
      <c r="A28" s="19" t="s">
        <v>126</v>
      </c>
      <c r="B28" s="20">
        <v>28338011</v>
      </c>
      <c r="C28" s="20">
        <f>-Data!K28</f>
        <v>-104563</v>
      </c>
      <c r="D28" s="20">
        <f t="shared" si="0"/>
        <v>28233448</v>
      </c>
      <c r="E28" s="20">
        <f>-'- 15 -'!H28-'- 16 -'!B28</f>
        <v>-212101</v>
      </c>
      <c r="F28" s="20">
        <f t="shared" si="1"/>
        <v>28021347</v>
      </c>
    </row>
    <row r="29" spans="1:6" ht="14.1" customHeight="1" x14ac:dyDescent="0.2">
      <c r="A29" s="284" t="s">
        <v>127</v>
      </c>
      <c r="B29" s="285">
        <v>171081910</v>
      </c>
      <c r="C29" s="285">
        <f>-Data!K29</f>
        <v>-1882822</v>
      </c>
      <c r="D29" s="285">
        <f t="shared" si="0"/>
        <v>169199088</v>
      </c>
      <c r="E29" s="285">
        <f>-'- 15 -'!H29-'- 16 -'!B29</f>
        <v>-845852</v>
      </c>
      <c r="F29" s="285">
        <f t="shared" si="1"/>
        <v>168353236</v>
      </c>
    </row>
    <row r="30" spans="1:6" ht="14.1" customHeight="1" x14ac:dyDescent="0.2">
      <c r="A30" s="19" t="s">
        <v>128</v>
      </c>
      <c r="B30" s="20">
        <v>15593688</v>
      </c>
      <c r="C30" s="20">
        <f>-Data!K30</f>
        <v>-36482</v>
      </c>
      <c r="D30" s="20">
        <f t="shared" si="0"/>
        <v>15557206</v>
      </c>
      <c r="E30" s="20">
        <f>-'- 15 -'!H30-'- 16 -'!B30</f>
        <v>-14825</v>
      </c>
      <c r="F30" s="20">
        <f t="shared" si="1"/>
        <v>15542381</v>
      </c>
    </row>
    <row r="31" spans="1:6" ht="14.1" customHeight="1" x14ac:dyDescent="0.2">
      <c r="A31" s="284" t="s">
        <v>129</v>
      </c>
      <c r="B31" s="285">
        <v>40007222</v>
      </c>
      <c r="C31" s="285">
        <f>-Data!K31</f>
        <v>-52650</v>
      </c>
      <c r="D31" s="285">
        <f t="shared" si="0"/>
        <v>39954572</v>
      </c>
      <c r="E31" s="285">
        <f>-'- 15 -'!H31-'- 16 -'!B31</f>
        <v>-59004</v>
      </c>
      <c r="F31" s="285">
        <f t="shared" si="1"/>
        <v>39895568</v>
      </c>
    </row>
    <row r="32" spans="1:6" ht="14.1" customHeight="1" x14ac:dyDescent="0.2">
      <c r="A32" s="19" t="s">
        <v>130</v>
      </c>
      <c r="B32" s="20">
        <v>30553727</v>
      </c>
      <c r="C32" s="20">
        <f>-Data!K32</f>
        <v>-218162</v>
      </c>
      <c r="D32" s="20">
        <f t="shared" si="0"/>
        <v>30335565</v>
      </c>
      <c r="E32" s="20">
        <f>-'- 15 -'!H32-'- 16 -'!B32</f>
        <v>-318331</v>
      </c>
      <c r="F32" s="20">
        <f t="shared" si="1"/>
        <v>30017234</v>
      </c>
    </row>
    <row r="33" spans="1:7" ht="14.1" customHeight="1" x14ac:dyDescent="0.2">
      <c r="A33" s="284" t="s">
        <v>131</v>
      </c>
      <c r="B33" s="285">
        <v>28173440</v>
      </c>
      <c r="C33" s="285">
        <f>-Data!K33</f>
        <v>-103257</v>
      </c>
      <c r="D33" s="285">
        <f t="shared" si="0"/>
        <v>28070183</v>
      </c>
      <c r="E33" s="285">
        <f>-'- 15 -'!H33-'- 16 -'!B33</f>
        <v>-28082</v>
      </c>
      <c r="F33" s="285">
        <f t="shared" si="1"/>
        <v>28042101</v>
      </c>
    </row>
    <row r="34" spans="1:7" ht="14.1" customHeight="1" x14ac:dyDescent="0.2">
      <c r="A34" s="19" t="s">
        <v>132</v>
      </c>
      <c r="B34" s="20">
        <v>30799972</v>
      </c>
      <c r="C34" s="20">
        <f>-Data!K34</f>
        <v>-358236</v>
      </c>
      <c r="D34" s="20">
        <f t="shared" si="0"/>
        <v>30441736</v>
      </c>
      <c r="E34" s="20">
        <f>-'- 15 -'!H34-'- 16 -'!B34</f>
        <v>-45485</v>
      </c>
      <c r="F34" s="20">
        <f t="shared" si="1"/>
        <v>30396251</v>
      </c>
    </row>
    <row r="35" spans="1:7" ht="14.1" customHeight="1" x14ac:dyDescent="0.2">
      <c r="A35" s="284" t="s">
        <v>133</v>
      </c>
      <c r="B35" s="285">
        <v>192293326</v>
      </c>
      <c r="C35" s="285">
        <f>-Data!K35</f>
        <v>-718782</v>
      </c>
      <c r="D35" s="285">
        <f t="shared" si="0"/>
        <v>191574544</v>
      </c>
      <c r="E35" s="285">
        <f>-'- 15 -'!H35-'- 16 -'!B35</f>
        <v>-2751159</v>
      </c>
      <c r="F35" s="285">
        <f t="shared" si="1"/>
        <v>188823385</v>
      </c>
    </row>
    <row r="36" spans="1:7" ht="14.1" customHeight="1" x14ac:dyDescent="0.2">
      <c r="A36" s="19" t="s">
        <v>134</v>
      </c>
      <c r="B36" s="20">
        <v>23982328</v>
      </c>
      <c r="C36" s="20">
        <f>-Data!K36</f>
        <v>-334351</v>
      </c>
      <c r="D36" s="20">
        <f t="shared" si="0"/>
        <v>23647977</v>
      </c>
      <c r="E36" s="20">
        <f>-'- 15 -'!H36-'- 16 -'!B36</f>
        <v>-142930</v>
      </c>
      <c r="F36" s="20">
        <f t="shared" si="1"/>
        <v>23505047</v>
      </c>
    </row>
    <row r="37" spans="1:7" ht="14.1" customHeight="1" x14ac:dyDescent="0.2">
      <c r="A37" s="284" t="s">
        <v>135</v>
      </c>
      <c r="B37" s="285">
        <v>55450851</v>
      </c>
      <c r="C37" s="285">
        <f>-Data!K37</f>
        <v>-571494</v>
      </c>
      <c r="D37" s="285">
        <f t="shared" si="0"/>
        <v>54879357</v>
      </c>
      <c r="E37" s="285">
        <f>-'- 15 -'!H37-'- 16 -'!B37</f>
        <v>-818844</v>
      </c>
      <c r="F37" s="285">
        <f t="shared" si="1"/>
        <v>54060513</v>
      </c>
    </row>
    <row r="38" spans="1:7" ht="14.1" customHeight="1" x14ac:dyDescent="0.2">
      <c r="A38" s="19" t="s">
        <v>136</v>
      </c>
      <c r="B38" s="20">
        <v>148590484</v>
      </c>
      <c r="C38" s="20">
        <f>-Data!K38</f>
        <v>-1107440</v>
      </c>
      <c r="D38" s="20">
        <f t="shared" si="0"/>
        <v>147483044</v>
      </c>
      <c r="E38" s="20">
        <f>-'- 15 -'!H38-'- 16 -'!B38</f>
        <v>-4206984</v>
      </c>
      <c r="F38" s="20">
        <f t="shared" si="1"/>
        <v>143276060</v>
      </c>
    </row>
    <row r="39" spans="1:7" ht="14.1" customHeight="1" x14ac:dyDescent="0.2">
      <c r="A39" s="284" t="s">
        <v>137</v>
      </c>
      <c r="B39" s="285">
        <v>21979835</v>
      </c>
      <c r="C39" s="285">
        <f>-Data!K39</f>
        <v>-226113</v>
      </c>
      <c r="D39" s="285">
        <f t="shared" si="0"/>
        <v>21753722</v>
      </c>
      <c r="E39" s="285">
        <f>-'- 15 -'!H39-'- 16 -'!B39</f>
        <v>-171586</v>
      </c>
      <c r="F39" s="285">
        <f t="shared" si="1"/>
        <v>21582136</v>
      </c>
    </row>
    <row r="40" spans="1:7" ht="14.1" customHeight="1" x14ac:dyDescent="0.2">
      <c r="A40" s="19" t="s">
        <v>138</v>
      </c>
      <c r="B40" s="20">
        <v>106878295</v>
      </c>
      <c r="C40" s="20">
        <f>-Data!K40</f>
        <v>-446770</v>
      </c>
      <c r="D40" s="20">
        <f t="shared" si="0"/>
        <v>106431525</v>
      </c>
      <c r="E40" s="20">
        <f>-'- 15 -'!H40-'- 16 -'!B40</f>
        <v>-910766</v>
      </c>
      <c r="F40" s="20">
        <f t="shared" si="1"/>
        <v>105520759</v>
      </c>
    </row>
    <row r="41" spans="1:7" ht="14.1" customHeight="1" x14ac:dyDescent="0.2">
      <c r="A41" s="284" t="s">
        <v>139</v>
      </c>
      <c r="B41" s="285">
        <v>65067722</v>
      </c>
      <c r="C41" s="285">
        <f>-Data!K41</f>
        <v>-620880</v>
      </c>
      <c r="D41" s="285">
        <f t="shared" si="0"/>
        <v>64446842</v>
      </c>
      <c r="E41" s="285">
        <f>-'- 15 -'!H41-'- 16 -'!B41</f>
        <v>-1203206</v>
      </c>
      <c r="F41" s="285">
        <f t="shared" si="1"/>
        <v>63243636</v>
      </c>
    </row>
    <row r="42" spans="1:7" ht="14.1" customHeight="1" x14ac:dyDescent="0.2">
      <c r="A42" s="19" t="s">
        <v>140</v>
      </c>
      <c r="B42" s="20">
        <v>20499271</v>
      </c>
      <c r="C42" s="20">
        <f>-Data!K42</f>
        <v>-60000</v>
      </c>
      <c r="D42" s="20">
        <f t="shared" si="0"/>
        <v>20439271</v>
      </c>
      <c r="E42" s="20">
        <f>-'- 15 -'!H42-'- 16 -'!B42</f>
        <v>-30841</v>
      </c>
      <c r="F42" s="20">
        <f t="shared" si="1"/>
        <v>20408430</v>
      </c>
    </row>
    <row r="43" spans="1:7" ht="14.1" customHeight="1" x14ac:dyDescent="0.2">
      <c r="A43" s="284" t="s">
        <v>141</v>
      </c>
      <c r="B43" s="285">
        <v>13084359</v>
      </c>
      <c r="C43" s="285">
        <f>-Data!K43</f>
        <v>-32500</v>
      </c>
      <c r="D43" s="285">
        <f t="shared" si="0"/>
        <v>13051859</v>
      </c>
      <c r="E43" s="285">
        <f>-'- 15 -'!H43-'- 16 -'!B43</f>
        <v>-212941</v>
      </c>
      <c r="F43" s="285">
        <f t="shared" si="1"/>
        <v>12838918</v>
      </c>
    </row>
    <row r="44" spans="1:7" ht="14.1" customHeight="1" x14ac:dyDescent="0.2">
      <c r="A44" s="19" t="s">
        <v>142</v>
      </c>
      <c r="B44" s="20">
        <v>10774053</v>
      </c>
      <c r="C44" s="20">
        <f>-Data!K44</f>
        <v>-138878</v>
      </c>
      <c r="D44" s="20">
        <f t="shared" si="0"/>
        <v>10635175</v>
      </c>
      <c r="E44" s="20">
        <f>-'- 15 -'!H44-'- 16 -'!B44</f>
        <v>-13598</v>
      </c>
      <c r="F44" s="20">
        <f t="shared" si="1"/>
        <v>10621577</v>
      </c>
    </row>
    <row r="45" spans="1:7" ht="14.1" customHeight="1" x14ac:dyDescent="0.2">
      <c r="A45" s="284" t="s">
        <v>143</v>
      </c>
      <c r="B45" s="285">
        <v>21240689</v>
      </c>
      <c r="C45" s="285">
        <f>-Data!K45</f>
        <v>-84328</v>
      </c>
      <c r="D45" s="285">
        <f t="shared" si="0"/>
        <v>21156361</v>
      </c>
      <c r="E45" s="285">
        <f>-'- 15 -'!H45-'- 16 -'!B45</f>
        <v>-448084</v>
      </c>
      <c r="F45" s="285">
        <f t="shared" si="1"/>
        <v>20708277</v>
      </c>
    </row>
    <row r="46" spans="1:7" ht="14.1" customHeight="1" x14ac:dyDescent="0.2">
      <c r="A46" s="19" t="s">
        <v>144</v>
      </c>
      <c r="B46" s="20">
        <v>415662386</v>
      </c>
      <c r="C46" s="20">
        <f>-Data!K46</f>
        <v>-2264312</v>
      </c>
      <c r="D46" s="20">
        <f t="shared" si="0"/>
        <v>413398074</v>
      </c>
      <c r="E46" s="20">
        <f>-'- 15 -'!H46-'- 16 -'!B46</f>
        <v>-10233640</v>
      </c>
      <c r="F46" s="20">
        <f t="shared" si="1"/>
        <v>403164434</v>
      </c>
    </row>
    <row r="47" spans="1:7" ht="5.0999999999999996" customHeight="1" x14ac:dyDescent="0.2">
      <c r="A47"/>
      <c r="B47" s="22"/>
      <c r="C47"/>
      <c r="D47"/>
      <c r="E47"/>
      <c r="F47"/>
      <c r="G47"/>
    </row>
    <row r="48" spans="1:7" ht="14.1" customHeight="1" x14ac:dyDescent="0.2">
      <c r="A48" s="286" t="s">
        <v>145</v>
      </c>
      <c r="B48" s="287">
        <f>SUM(B11:B46)</f>
        <v>2431876352</v>
      </c>
      <c r="C48" s="287">
        <f>SUM(C11:C46)</f>
        <v>-20121111</v>
      </c>
      <c r="D48" s="287">
        <f>SUM(D11:D46)</f>
        <v>2411755241</v>
      </c>
      <c r="E48" s="287">
        <f>SUM(E11:E46)</f>
        <v>-35820145</v>
      </c>
      <c r="F48" s="287">
        <f>SUM(F11:F46)</f>
        <v>2375935096</v>
      </c>
    </row>
    <row r="49" spans="1:6" ht="5.0999999999999996" customHeight="1" x14ac:dyDescent="0.2">
      <c r="A49" s="21" t="s">
        <v>7</v>
      </c>
      <c r="B49" s="22"/>
      <c r="C49" s="22"/>
      <c r="D49" s="22"/>
      <c r="E49" s="22"/>
      <c r="F49" s="22"/>
    </row>
    <row r="50" spans="1:6" ht="14.1" customHeight="1" x14ac:dyDescent="0.2">
      <c r="A50" s="19" t="s">
        <v>146</v>
      </c>
      <c r="B50" s="20">
        <v>3192667</v>
      </c>
      <c r="C50" s="20">
        <f>-Data!K50</f>
        <v>-16851</v>
      </c>
      <c r="D50" s="20">
        <f>B50+C50</f>
        <v>3175816</v>
      </c>
      <c r="E50" s="20">
        <f>-'- 15 -'!H50-'- 16 -'!B50</f>
        <v>-89322</v>
      </c>
      <c r="F50" s="20">
        <f>D50+E50</f>
        <v>3086494</v>
      </c>
    </row>
    <row r="51" spans="1:6" ht="14.1" customHeight="1" x14ac:dyDescent="0.2">
      <c r="A51" s="284" t="s">
        <v>599</v>
      </c>
      <c r="B51" s="285">
        <v>30368874</v>
      </c>
      <c r="C51" s="285">
        <f>-Data!K51</f>
        <v>-197061</v>
      </c>
      <c r="D51" s="285">
        <f>B51+C51</f>
        <v>30171813</v>
      </c>
      <c r="E51" s="285">
        <f>-'- 15 -'!H51-'- 16 -'!B51</f>
        <v>-11173927</v>
      </c>
      <c r="F51" s="285">
        <f>D51+E51</f>
        <v>18997886</v>
      </c>
    </row>
    <row r="52" spans="1:6" ht="50.1" customHeight="1" x14ac:dyDescent="0.2">
      <c r="A52" s="23"/>
      <c r="B52" s="23"/>
      <c r="C52" s="23"/>
      <c r="D52" s="23"/>
      <c r="E52" s="23"/>
      <c r="F52" s="23"/>
    </row>
    <row r="53" spans="1:6" ht="14.45" customHeight="1" x14ac:dyDescent="0.2">
      <c r="A53" s="2" t="s">
        <v>339</v>
      </c>
    </row>
    <row r="54" spans="1:6" ht="12" customHeight="1" x14ac:dyDescent="0.2">
      <c r="A54" s="599" t="s">
        <v>443</v>
      </c>
      <c r="B54" s="599"/>
      <c r="C54" s="599"/>
      <c r="D54" s="599"/>
      <c r="E54" s="599"/>
      <c r="F54" s="599"/>
    </row>
    <row r="55" spans="1:6" ht="12" customHeight="1" x14ac:dyDescent="0.2">
      <c r="A55" s="599"/>
      <c r="B55" s="599"/>
      <c r="C55" s="599"/>
      <c r="D55" s="599"/>
      <c r="E55" s="599"/>
      <c r="F55" s="599"/>
    </row>
    <row r="56" spans="1:6" ht="12" customHeight="1" x14ac:dyDescent="0.2">
      <c r="A56" s="2" t="s">
        <v>340</v>
      </c>
    </row>
    <row r="57" spans="1:6" ht="12" customHeight="1" x14ac:dyDescent="0.2">
      <c r="A57" s="2" t="s">
        <v>341</v>
      </c>
    </row>
    <row r="58" spans="1:6" ht="12" customHeight="1" x14ac:dyDescent="0.2">
      <c r="A58" s="2" t="s">
        <v>342</v>
      </c>
    </row>
  </sheetData>
  <mergeCells count="6">
    <mergeCell ref="A54:F55"/>
    <mergeCell ref="B8:B9"/>
    <mergeCell ref="C6:C9"/>
    <mergeCell ref="D6:D9"/>
    <mergeCell ref="E6:E9"/>
    <mergeCell ref="F6:F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J52"/>
  <sheetViews>
    <sheetView showGridLines="0" showZeros="0" workbookViewId="0"/>
  </sheetViews>
  <sheetFormatPr defaultColWidth="15.83203125" defaultRowHeight="12" x14ac:dyDescent="0.2"/>
  <cols>
    <col min="1" max="1" width="32.83203125" style="2" customWidth="1"/>
    <col min="2" max="2" width="13.83203125" style="2" customWidth="1"/>
    <col min="3" max="3" width="8.83203125" style="2" customWidth="1"/>
    <col min="4" max="4" width="14.83203125" style="2" customWidth="1"/>
    <col min="5" max="5" width="10.5" style="2" customWidth="1"/>
    <col min="6" max="6" width="18.83203125" style="2" customWidth="1"/>
    <col min="7" max="7" width="8.83203125" style="2" customWidth="1"/>
    <col min="8" max="8" width="16.83203125" style="2" customWidth="1"/>
    <col min="9" max="9" width="8.83203125" style="2" customWidth="1"/>
    <col min="10" max="16384" width="15.83203125" style="2"/>
  </cols>
  <sheetData>
    <row r="1" spans="1:9" ht="6.95" customHeight="1" x14ac:dyDescent="0.2">
      <c r="A1" s="7"/>
      <c r="B1" s="8"/>
      <c r="C1" s="8"/>
      <c r="D1" s="8"/>
      <c r="E1" s="8"/>
      <c r="F1" s="8"/>
      <c r="G1" s="8"/>
      <c r="H1" s="8"/>
      <c r="I1" s="8"/>
    </row>
    <row r="2" spans="1:9" ht="15.95" customHeight="1" x14ac:dyDescent="0.2">
      <c r="A2" s="134"/>
      <c r="B2" s="9" t="s">
        <v>263</v>
      </c>
      <c r="C2" s="10"/>
      <c r="D2" s="10"/>
      <c r="E2" s="10"/>
      <c r="F2" s="10"/>
      <c r="G2" s="73"/>
      <c r="H2" s="73"/>
      <c r="I2" s="395" t="s">
        <v>402</v>
      </c>
    </row>
    <row r="3" spans="1:9" ht="15.95" customHeight="1" x14ac:dyDescent="0.2">
      <c r="A3" s="541"/>
      <c r="B3" s="11" t="str">
        <f>OPYEAR</f>
        <v>OPERATING FUND 2019/2020 ACTUAL</v>
      </c>
      <c r="C3" s="12"/>
      <c r="D3" s="12"/>
      <c r="E3" s="12"/>
      <c r="F3" s="12"/>
      <c r="G3" s="75"/>
      <c r="H3" s="75"/>
      <c r="I3" s="66"/>
    </row>
    <row r="4" spans="1:9" ht="15.95" customHeight="1" x14ac:dyDescent="0.2">
      <c r="B4" s="8"/>
      <c r="C4" s="8"/>
      <c r="D4" s="8"/>
      <c r="E4" s="8"/>
      <c r="F4" s="8"/>
      <c r="G4" s="8"/>
      <c r="H4" s="8"/>
      <c r="I4" s="8"/>
    </row>
    <row r="5" spans="1:9" ht="15.95" customHeight="1" x14ac:dyDescent="0.2">
      <c r="B5" s="557" t="s">
        <v>14</v>
      </c>
      <c r="C5" s="558"/>
      <c r="D5" s="166"/>
      <c r="E5" s="166"/>
      <c r="F5" s="166"/>
      <c r="G5" s="166"/>
      <c r="H5" s="166"/>
      <c r="I5" s="167"/>
    </row>
    <row r="6" spans="1:9" ht="15.95" customHeight="1" x14ac:dyDescent="0.2">
      <c r="B6" s="319"/>
      <c r="C6" s="320"/>
      <c r="D6" s="657" t="s">
        <v>483</v>
      </c>
      <c r="E6" s="650"/>
      <c r="F6" s="336"/>
      <c r="G6" s="337"/>
      <c r="H6" s="309"/>
      <c r="I6" s="310"/>
    </row>
    <row r="7" spans="1:9" ht="15.95" customHeight="1" x14ac:dyDescent="0.2">
      <c r="B7" s="690" t="s">
        <v>482</v>
      </c>
      <c r="C7" s="691"/>
      <c r="D7" s="692"/>
      <c r="E7" s="693"/>
      <c r="F7" s="694" t="s">
        <v>484</v>
      </c>
      <c r="G7" s="693"/>
      <c r="H7" s="694" t="s">
        <v>485</v>
      </c>
      <c r="I7" s="693"/>
    </row>
    <row r="8" spans="1:9" ht="15.95" customHeight="1" x14ac:dyDescent="0.2">
      <c r="A8" s="403"/>
      <c r="B8" s="678"/>
      <c r="C8" s="679"/>
      <c r="D8" s="658"/>
      <c r="E8" s="652"/>
      <c r="F8" s="651"/>
      <c r="G8" s="652"/>
      <c r="H8" s="651"/>
      <c r="I8" s="652"/>
    </row>
    <row r="9" spans="1:9" ht="15.95" customHeight="1" x14ac:dyDescent="0.2">
      <c r="A9" s="35" t="s">
        <v>42</v>
      </c>
      <c r="B9" s="77" t="s">
        <v>43</v>
      </c>
      <c r="C9" s="77" t="s">
        <v>44</v>
      </c>
      <c r="D9" s="168" t="s">
        <v>43</v>
      </c>
      <c r="E9" s="168" t="s">
        <v>44</v>
      </c>
      <c r="F9" s="168" t="s">
        <v>43</v>
      </c>
      <c r="G9" s="168" t="s">
        <v>44</v>
      </c>
      <c r="H9" s="168" t="s">
        <v>43</v>
      </c>
      <c r="I9" s="168" t="s">
        <v>44</v>
      </c>
    </row>
    <row r="10" spans="1:9" ht="5.0999999999999996" customHeight="1" x14ac:dyDescent="0.2">
      <c r="A10" s="6"/>
    </row>
    <row r="11" spans="1:9" ht="14.1" customHeight="1" x14ac:dyDescent="0.2">
      <c r="A11" s="284" t="s">
        <v>110</v>
      </c>
      <c r="B11" s="285">
        <v>0</v>
      </c>
      <c r="C11" s="291">
        <f>B11/'- 3 -'!$D11*100</f>
        <v>0</v>
      </c>
      <c r="D11" s="285">
        <v>0</v>
      </c>
      <c r="E11" s="291">
        <f>D11/'- 3 -'!$D11*100</f>
        <v>0</v>
      </c>
      <c r="F11" s="285">
        <v>0</v>
      </c>
      <c r="G11" s="291">
        <f>F11/'- 3 -'!$D11*100</f>
        <v>0</v>
      </c>
      <c r="H11" s="285">
        <v>29585</v>
      </c>
      <c r="I11" s="291">
        <f>H11/'- 3 -'!$D11*100</f>
        <v>0.14076218931094231</v>
      </c>
    </row>
    <row r="12" spans="1:9" ht="14.1" customHeight="1" x14ac:dyDescent="0.2">
      <c r="A12" s="19" t="s">
        <v>111</v>
      </c>
      <c r="B12" s="20">
        <v>0</v>
      </c>
      <c r="C12" s="70">
        <f>B12/'- 3 -'!$D12*100</f>
        <v>0</v>
      </c>
      <c r="D12" s="20">
        <v>0</v>
      </c>
      <c r="E12" s="70">
        <f>D12/'- 3 -'!$D12*100</f>
        <v>0</v>
      </c>
      <c r="F12" s="20">
        <v>0</v>
      </c>
      <c r="G12" s="70">
        <f>F12/'- 3 -'!$D12*100</f>
        <v>0</v>
      </c>
      <c r="H12" s="20">
        <v>59327</v>
      </c>
      <c r="I12" s="70">
        <f>H12/'- 3 -'!$D12*100</f>
        <v>0.17684258997444668</v>
      </c>
    </row>
    <row r="13" spans="1:9" ht="14.1" customHeight="1" x14ac:dyDescent="0.2">
      <c r="A13" s="284" t="s">
        <v>112</v>
      </c>
      <c r="B13" s="285">
        <v>0</v>
      </c>
      <c r="C13" s="291">
        <f>B13/'- 3 -'!$D13*100</f>
        <v>0</v>
      </c>
      <c r="D13" s="285">
        <v>0</v>
      </c>
      <c r="E13" s="291">
        <f>D13/'- 3 -'!$D13*100</f>
        <v>0</v>
      </c>
      <c r="F13" s="285">
        <v>110219</v>
      </c>
      <c r="G13" s="291">
        <f>F13/'- 3 -'!$D13*100</f>
        <v>0.10542861472966086</v>
      </c>
      <c r="H13" s="285">
        <v>163505</v>
      </c>
      <c r="I13" s="291">
        <f>H13/'- 3 -'!$D13*100</f>
        <v>0.15639867583060268</v>
      </c>
    </row>
    <row r="14" spans="1:9" ht="14.1" customHeight="1" x14ac:dyDescent="0.2">
      <c r="A14" s="19" t="s">
        <v>358</v>
      </c>
      <c r="B14" s="20">
        <v>0</v>
      </c>
      <c r="C14" s="70">
        <f>B14/'- 3 -'!$D14*100</f>
        <v>0</v>
      </c>
      <c r="D14" s="20">
        <v>0</v>
      </c>
      <c r="E14" s="70">
        <f>D14/'- 3 -'!$D14*100</f>
        <v>0</v>
      </c>
      <c r="F14" s="20">
        <v>0</v>
      </c>
      <c r="G14" s="70">
        <f>F14/'- 3 -'!$D14*100</f>
        <v>0</v>
      </c>
      <c r="H14" s="20">
        <v>1087391</v>
      </c>
      <c r="I14" s="70">
        <f>H14/'- 3 -'!$D14*100</f>
        <v>1.2138634850632828</v>
      </c>
    </row>
    <row r="15" spans="1:9" ht="14.1" customHeight="1" x14ac:dyDescent="0.2">
      <c r="A15" s="284" t="s">
        <v>113</v>
      </c>
      <c r="B15" s="285">
        <v>0</v>
      </c>
      <c r="C15" s="291">
        <f>B15/'- 3 -'!$D15*100</f>
        <v>0</v>
      </c>
      <c r="D15" s="285">
        <v>0</v>
      </c>
      <c r="E15" s="291">
        <f>D15/'- 3 -'!$D15*100</f>
        <v>0</v>
      </c>
      <c r="F15" s="285">
        <v>0</v>
      </c>
      <c r="G15" s="291">
        <f>F15/'- 3 -'!$D15*100</f>
        <v>0</v>
      </c>
      <c r="H15" s="285">
        <v>46446</v>
      </c>
      <c r="I15" s="291">
        <f>H15/'- 3 -'!$D15*100</f>
        <v>0.23547035464433155</v>
      </c>
    </row>
    <row r="16" spans="1:9" ht="14.1" customHeight="1" x14ac:dyDescent="0.2">
      <c r="A16" s="19" t="s">
        <v>114</v>
      </c>
      <c r="B16" s="20">
        <v>0</v>
      </c>
      <c r="C16" s="70">
        <f>B16/'- 3 -'!$D16*100</f>
        <v>0</v>
      </c>
      <c r="D16" s="20">
        <v>0</v>
      </c>
      <c r="E16" s="70">
        <f>D16/'- 3 -'!$D16*100</f>
        <v>0</v>
      </c>
      <c r="F16" s="20">
        <v>0</v>
      </c>
      <c r="G16" s="70">
        <f>F16/'- 3 -'!$D16*100</f>
        <v>0</v>
      </c>
      <c r="H16" s="20">
        <v>13940</v>
      </c>
      <c r="I16" s="70">
        <f>H16/'- 3 -'!$D16*100</f>
        <v>9.6985018249741844E-2</v>
      </c>
    </row>
    <row r="17" spans="1:9" ht="14.1" customHeight="1" x14ac:dyDescent="0.2">
      <c r="A17" s="284" t="s">
        <v>115</v>
      </c>
      <c r="B17" s="285">
        <v>0</v>
      </c>
      <c r="C17" s="291">
        <f>B17/'- 3 -'!$D17*100</f>
        <v>0</v>
      </c>
      <c r="D17" s="285">
        <v>0</v>
      </c>
      <c r="E17" s="291">
        <f>D17/'- 3 -'!$D17*100</f>
        <v>0</v>
      </c>
      <c r="F17" s="285">
        <v>82403</v>
      </c>
      <c r="G17" s="291">
        <f>F17/'- 3 -'!$D17*100</f>
        <v>0.45778757763077998</v>
      </c>
      <c r="H17" s="285">
        <v>216023</v>
      </c>
      <c r="I17" s="291">
        <f>H17/'- 3 -'!$D17*100</f>
        <v>1.2001097761311359</v>
      </c>
    </row>
    <row r="18" spans="1:9" ht="14.1" customHeight="1" x14ac:dyDescent="0.2">
      <c r="A18" s="19" t="s">
        <v>116</v>
      </c>
      <c r="B18" s="20">
        <v>0</v>
      </c>
      <c r="C18" s="70">
        <f>B18/'- 3 -'!$D18*100</f>
        <v>0</v>
      </c>
      <c r="D18" s="20">
        <v>0</v>
      </c>
      <c r="E18" s="70">
        <f>D18/'- 3 -'!$D18*100</f>
        <v>0</v>
      </c>
      <c r="F18" s="20">
        <v>922279</v>
      </c>
      <c r="G18" s="70">
        <f>F18/'- 3 -'!$D18*100</f>
        <v>0.69249138959366197</v>
      </c>
      <c r="H18" s="20">
        <v>1641937</v>
      </c>
      <c r="I18" s="70">
        <f>H18/'- 3 -'!$D18*100</f>
        <v>1.2328451962532472</v>
      </c>
    </row>
    <row r="19" spans="1:9" ht="14.1" customHeight="1" x14ac:dyDescent="0.2">
      <c r="A19" s="284" t="s">
        <v>117</v>
      </c>
      <c r="B19" s="285">
        <v>0</v>
      </c>
      <c r="C19" s="291">
        <f>B19/'- 3 -'!$D19*100</f>
        <v>0</v>
      </c>
      <c r="D19" s="285">
        <v>0</v>
      </c>
      <c r="E19" s="291">
        <f>D19/'- 3 -'!$D19*100</f>
        <v>0</v>
      </c>
      <c r="F19" s="285">
        <v>0</v>
      </c>
      <c r="G19" s="291">
        <f>F19/'- 3 -'!$D19*100</f>
        <v>0</v>
      </c>
      <c r="H19" s="285">
        <v>75798</v>
      </c>
      <c r="I19" s="291">
        <f>H19/'- 3 -'!$D19*100</f>
        <v>0.15242214938878815</v>
      </c>
    </row>
    <row r="20" spans="1:9" ht="14.1" customHeight="1" x14ac:dyDescent="0.2">
      <c r="A20" s="19" t="s">
        <v>118</v>
      </c>
      <c r="B20" s="20">
        <v>0</v>
      </c>
      <c r="C20" s="70">
        <f>B20/'- 3 -'!$D20*100</f>
        <v>0</v>
      </c>
      <c r="D20" s="20">
        <v>0</v>
      </c>
      <c r="E20" s="70">
        <f>D20/'- 3 -'!$D20*100</f>
        <v>0</v>
      </c>
      <c r="F20" s="20">
        <v>0</v>
      </c>
      <c r="G20" s="70">
        <f>F20/'- 3 -'!$D20*100</f>
        <v>0</v>
      </c>
      <c r="H20" s="20">
        <v>132174</v>
      </c>
      <c r="I20" s="70">
        <f>H20/'- 3 -'!$D20*100</f>
        <v>0.14931911662243941</v>
      </c>
    </row>
    <row r="21" spans="1:9" ht="14.1" customHeight="1" x14ac:dyDescent="0.2">
      <c r="A21" s="284" t="s">
        <v>119</v>
      </c>
      <c r="B21" s="285">
        <v>107832</v>
      </c>
      <c r="C21" s="291">
        <f>B21/'- 3 -'!$D21*100</f>
        <v>0.28671717134653374</v>
      </c>
      <c r="D21" s="285">
        <v>0</v>
      </c>
      <c r="E21" s="291">
        <f>D21/'- 3 -'!$D21*100</f>
        <v>0</v>
      </c>
      <c r="F21" s="285">
        <v>0</v>
      </c>
      <c r="G21" s="291">
        <f>F21/'- 3 -'!$D21*100</f>
        <v>0</v>
      </c>
      <c r="H21" s="285">
        <v>107032</v>
      </c>
      <c r="I21" s="291">
        <f>H21/'- 3 -'!$D21*100</f>
        <v>0.28459003156356366</v>
      </c>
    </row>
    <row r="22" spans="1:9" ht="14.1" customHeight="1" x14ac:dyDescent="0.2">
      <c r="A22" s="19" t="s">
        <v>120</v>
      </c>
      <c r="B22" s="20">
        <v>0</v>
      </c>
      <c r="C22" s="70">
        <f>B22/'- 3 -'!$D22*100</f>
        <v>0</v>
      </c>
      <c r="D22" s="20">
        <v>0</v>
      </c>
      <c r="E22" s="70">
        <f>D22/'- 3 -'!$D22*100</f>
        <v>0</v>
      </c>
      <c r="F22" s="20">
        <v>49354</v>
      </c>
      <c r="G22" s="70">
        <f>F22/'- 3 -'!$D22*100</f>
        <v>0.23908049006026522</v>
      </c>
      <c r="H22" s="20">
        <v>0</v>
      </c>
      <c r="I22" s="70">
        <f>H22/'- 3 -'!$D22*100</f>
        <v>0</v>
      </c>
    </row>
    <row r="23" spans="1:9" ht="14.1" customHeight="1" x14ac:dyDescent="0.2">
      <c r="A23" s="284" t="s">
        <v>121</v>
      </c>
      <c r="B23" s="285">
        <v>100841</v>
      </c>
      <c r="C23" s="291">
        <f>B23/'- 3 -'!$D23*100</f>
        <v>0.64974628316466343</v>
      </c>
      <c r="D23" s="285">
        <v>0</v>
      </c>
      <c r="E23" s="291">
        <f>D23/'- 3 -'!$D23*100</f>
        <v>0</v>
      </c>
      <c r="F23" s="285">
        <v>124818</v>
      </c>
      <c r="G23" s="291">
        <f>F23/'- 3 -'!$D23*100</f>
        <v>0.80423668519795477</v>
      </c>
      <c r="H23" s="285">
        <v>50824</v>
      </c>
      <c r="I23" s="291">
        <f>H23/'- 3 -'!$D23*100</f>
        <v>0.32747300300037541</v>
      </c>
    </row>
    <row r="24" spans="1:9" ht="14.1" customHeight="1" x14ac:dyDescent="0.2">
      <c r="A24" s="19" t="s">
        <v>122</v>
      </c>
      <c r="B24" s="20">
        <v>238904</v>
      </c>
      <c r="C24" s="70">
        <f>B24/'- 3 -'!$D24*100</f>
        <v>0.40878674536047643</v>
      </c>
      <c r="D24" s="20">
        <v>0</v>
      </c>
      <c r="E24" s="70">
        <f>D24/'- 3 -'!$D24*100</f>
        <v>0</v>
      </c>
      <c r="F24" s="20">
        <v>168464</v>
      </c>
      <c r="G24" s="70">
        <f>F24/'- 3 -'!$D24*100</f>
        <v>0.28825741833710322</v>
      </c>
      <c r="H24" s="20">
        <v>0</v>
      </c>
      <c r="I24" s="70">
        <f>H24/'- 3 -'!$D24*100</f>
        <v>0</v>
      </c>
    </row>
    <row r="25" spans="1:9" ht="14.1" customHeight="1" x14ac:dyDescent="0.2">
      <c r="A25" s="284" t="s">
        <v>123</v>
      </c>
      <c r="B25" s="285">
        <v>244032</v>
      </c>
      <c r="C25" s="291">
        <f>B25/'- 3 -'!$D25*100</f>
        <v>0.12573597812653989</v>
      </c>
      <c r="D25" s="285">
        <v>199935</v>
      </c>
      <c r="E25" s="291">
        <f>D25/'- 3 -'!$D25*100</f>
        <v>0.10301527171325792</v>
      </c>
      <c r="F25" s="285">
        <v>938706</v>
      </c>
      <c r="G25" s="291">
        <f>F25/'- 3 -'!$D25*100</f>
        <v>0.48366245854335405</v>
      </c>
      <c r="H25" s="285">
        <v>1021715</v>
      </c>
      <c r="I25" s="291">
        <f>H25/'- 3 -'!$D25*100</f>
        <v>0.52643233220052177</v>
      </c>
    </row>
    <row r="26" spans="1:9" ht="14.1" customHeight="1" x14ac:dyDescent="0.2">
      <c r="A26" s="19" t="s">
        <v>124</v>
      </c>
      <c r="B26" s="20">
        <v>0</v>
      </c>
      <c r="C26" s="70">
        <f>B26/'- 3 -'!$D26*100</f>
        <v>0</v>
      </c>
      <c r="D26" s="20">
        <v>0</v>
      </c>
      <c r="E26" s="70">
        <f>D26/'- 3 -'!$D26*100</f>
        <v>0</v>
      </c>
      <c r="F26" s="20">
        <v>0</v>
      </c>
      <c r="G26" s="70">
        <f>F26/'- 3 -'!$D26*100</f>
        <v>0</v>
      </c>
      <c r="H26" s="20">
        <v>88924</v>
      </c>
      <c r="I26" s="70">
        <f>H26/'- 3 -'!$D26*100</f>
        <v>0.21736869334951872</v>
      </c>
    </row>
    <row r="27" spans="1:9" ht="14.1" customHeight="1" x14ac:dyDescent="0.2">
      <c r="A27" s="284" t="s">
        <v>125</v>
      </c>
      <c r="B27" s="285">
        <v>0</v>
      </c>
      <c r="C27" s="291">
        <f>B27/'- 3 -'!$D27*100</f>
        <v>0</v>
      </c>
      <c r="D27" s="285">
        <v>0</v>
      </c>
      <c r="E27" s="291">
        <f>D27/'- 3 -'!$D27*100</f>
        <v>0</v>
      </c>
      <c r="F27" s="285">
        <v>0</v>
      </c>
      <c r="G27" s="291">
        <f>F27/'- 3 -'!$D27*100</f>
        <v>0</v>
      </c>
      <c r="H27" s="285">
        <v>2000</v>
      </c>
      <c r="I27" s="291">
        <f>H27/'- 3 -'!$D27*100</f>
        <v>4.803013295269133E-3</v>
      </c>
    </row>
    <row r="28" spans="1:9" ht="14.1" customHeight="1" x14ac:dyDescent="0.2">
      <c r="A28" s="19" t="s">
        <v>126</v>
      </c>
      <c r="B28" s="20">
        <v>0</v>
      </c>
      <c r="C28" s="70">
        <f>B28/'- 3 -'!$D28*100</f>
        <v>0</v>
      </c>
      <c r="D28" s="20">
        <v>0</v>
      </c>
      <c r="E28" s="70">
        <f>D28/'- 3 -'!$D28*100</f>
        <v>0</v>
      </c>
      <c r="F28" s="20">
        <v>0</v>
      </c>
      <c r="G28" s="70">
        <f>F28/'- 3 -'!$D28*100</f>
        <v>0</v>
      </c>
      <c r="H28" s="20">
        <v>100448</v>
      </c>
      <c r="I28" s="70">
        <f>H28/'- 3 -'!$D28*100</f>
        <v>0.35577659519304905</v>
      </c>
    </row>
    <row r="29" spans="1:9" ht="14.1" customHeight="1" x14ac:dyDescent="0.2">
      <c r="A29" s="284" t="s">
        <v>127</v>
      </c>
      <c r="B29" s="285">
        <v>0</v>
      </c>
      <c r="C29" s="291">
        <f>B29/'- 3 -'!$D29*100</f>
        <v>0</v>
      </c>
      <c r="D29" s="285">
        <v>0</v>
      </c>
      <c r="E29" s="291">
        <f>D29/'- 3 -'!$D29*100</f>
        <v>0</v>
      </c>
      <c r="F29" s="285">
        <v>569487</v>
      </c>
      <c r="G29" s="291">
        <f>F29/'- 3 -'!$D29*100</f>
        <v>0.33657805531434071</v>
      </c>
      <c r="H29" s="285">
        <v>276365</v>
      </c>
      <c r="I29" s="291">
        <f>H29/'- 3 -'!$D29*100</f>
        <v>0.16333716881499974</v>
      </c>
    </row>
    <row r="30" spans="1:9" ht="14.1" customHeight="1" x14ac:dyDescent="0.2">
      <c r="A30" s="19" t="s">
        <v>128</v>
      </c>
      <c r="B30" s="20">
        <v>0</v>
      </c>
      <c r="C30" s="70">
        <f>B30/'- 3 -'!$D30*100</f>
        <v>0</v>
      </c>
      <c r="D30" s="20">
        <v>0</v>
      </c>
      <c r="E30" s="70">
        <f>D30/'- 3 -'!$D30*100</f>
        <v>0</v>
      </c>
      <c r="F30" s="20">
        <v>0</v>
      </c>
      <c r="G30" s="70">
        <f>F30/'- 3 -'!$D30*100</f>
        <v>0</v>
      </c>
      <c r="H30" s="20">
        <v>14825</v>
      </c>
      <c r="I30" s="70">
        <f>H30/'- 3 -'!$D30*100</f>
        <v>9.5293460792381365E-2</v>
      </c>
    </row>
    <row r="31" spans="1:9" ht="14.1" customHeight="1" x14ac:dyDescent="0.2">
      <c r="A31" s="284" t="s">
        <v>129</v>
      </c>
      <c r="B31" s="285">
        <v>0</v>
      </c>
      <c r="C31" s="291">
        <f>B31/'- 3 -'!$D31*100</f>
        <v>0</v>
      </c>
      <c r="D31" s="285">
        <v>0</v>
      </c>
      <c r="E31" s="291">
        <f>D31/'- 3 -'!$D31*100</f>
        <v>0</v>
      </c>
      <c r="F31" s="285">
        <v>0</v>
      </c>
      <c r="G31" s="291">
        <f>F31/'- 3 -'!$D31*100</f>
        <v>0</v>
      </c>
      <c r="H31" s="285">
        <v>59004</v>
      </c>
      <c r="I31" s="291">
        <f>H31/'- 3 -'!$D31*100</f>
        <v>0.14767771758385997</v>
      </c>
    </row>
    <row r="32" spans="1:9" ht="14.1" customHeight="1" x14ac:dyDescent="0.2">
      <c r="A32" s="19" t="s">
        <v>130</v>
      </c>
      <c r="B32" s="20">
        <v>0</v>
      </c>
      <c r="C32" s="70">
        <f>B32/'- 3 -'!$D32*100</f>
        <v>0</v>
      </c>
      <c r="D32" s="20">
        <v>0</v>
      </c>
      <c r="E32" s="70">
        <f>D32/'- 3 -'!$D32*100</f>
        <v>0</v>
      </c>
      <c r="F32" s="20">
        <v>0</v>
      </c>
      <c r="G32" s="70">
        <f>F32/'- 3 -'!$D32*100</f>
        <v>0</v>
      </c>
      <c r="H32" s="20">
        <v>32651</v>
      </c>
      <c r="I32" s="70">
        <f>H32/'- 3 -'!$D32*100</f>
        <v>0.10763274064616894</v>
      </c>
    </row>
    <row r="33" spans="1:10" ht="14.1" customHeight="1" x14ac:dyDescent="0.2">
      <c r="A33" s="284" t="s">
        <v>131</v>
      </c>
      <c r="B33" s="285">
        <v>0</v>
      </c>
      <c r="C33" s="291">
        <f>B33/'- 3 -'!$D33*100</f>
        <v>0</v>
      </c>
      <c r="D33" s="285">
        <v>0</v>
      </c>
      <c r="E33" s="291">
        <f>D33/'- 3 -'!$D33*100</f>
        <v>0</v>
      </c>
      <c r="F33" s="285">
        <v>0</v>
      </c>
      <c r="G33" s="291">
        <f>F33/'- 3 -'!$D33*100</f>
        <v>0</v>
      </c>
      <c r="H33" s="285">
        <v>28082</v>
      </c>
      <c r="I33" s="291">
        <f>H33/'- 3 -'!$D33*100</f>
        <v>0.10004209805115985</v>
      </c>
    </row>
    <row r="34" spans="1:10" ht="14.1" customHeight="1" x14ac:dyDescent="0.2">
      <c r="A34" s="19" t="s">
        <v>132</v>
      </c>
      <c r="B34" s="20">
        <v>0</v>
      </c>
      <c r="C34" s="70">
        <f>B34/'- 3 -'!$D34*100</f>
        <v>0</v>
      </c>
      <c r="D34" s="20">
        <v>0</v>
      </c>
      <c r="E34" s="70">
        <f>D34/'- 3 -'!$D34*100</f>
        <v>0</v>
      </c>
      <c r="F34" s="20">
        <v>0</v>
      </c>
      <c r="G34" s="70">
        <f>F34/'- 3 -'!$D34*100</f>
        <v>0</v>
      </c>
      <c r="H34" s="20">
        <v>45485</v>
      </c>
      <c r="I34" s="70">
        <f>H34/'- 3 -'!$D34*100</f>
        <v>0.14941657729375224</v>
      </c>
    </row>
    <row r="35" spans="1:10" ht="14.1" customHeight="1" x14ac:dyDescent="0.2">
      <c r="A35" s="284" t="s">
        <v>133</v>
      </c>
      <c r="B35" s="285">
        <v>196113</v>
      </c>
      <c r="C35" s="291">
        <f>B35/'- 3 -'!$D35*100</f>
        <v>0.10236902873692864</v>
      </c>
      <c r="D35" s="285">
        <v>122288</v>
      </c>
      <c r="E35" s="291">
        <f>D35/'- 3 -'!$D35*100</f>
        <v>6.3833115531257645E-2</v>
      </c>
      <c r="F35" s="285">
        <v>602941</v>
      </c>
      <c r="G35" s="291">
        <f>F35/'- 3 -'!$D35*100</f>
        <v>0.31472918447870613</v>
      </c>
      <c r="H35" s="285">
        <v>302359</v>
      </c>
      <c r="I35" s="291">
        <f>H35/'- 3 -'!$D35*100</f>
        <v>0.15782838037187238</v>
      </c>
    </row>
    <row r="36" spans="1:10" ht="14.1" customHeight="1" x14ac:dyDescent="0.2">
      <c r="A36" s="19" t="s">
        <v>134</v>
      </c>
      <c r="B36" s="20">
        <v>0</v>
      </c>
      <c r="C36" s="70">
        <f>B36/'- 3 -'!$D36*100</f>
        <v>0</v>
      </c>
      <c r="D36" s="20">
        <v>0</v>
      </c>
      <c r="E36" s="70">
        <f>D36/'- 3 -'!$D36*100</f>
        <v>0</v>
      </c>
      <c r="F36" s="20">
        <v>0</v>
      </c>
      <c r="G36" s="70">
        <f>F36/'- 3 -'!$D36*100</f>
        <v>0</v>
      </c>
      <c r="H36" s="20">
        <v>20147</v>
      </c>
      <c r="I36" s="70">
        <f>H36/'- 3 -'!$D36*100</f>
        <v>8.5195448219524239E-2</v>
      </c>
    </row>
    <row r="37" spans="1:10" ht="14.1" customHeight="1" x14ac:dyDescent="0.2">
      <c r="A37" s="284" t="s">
        <v>135</v>
      </c>
      <c r="B37" s="285">
        <v>0</v>
      </c>
      <c r="C37" s="291">
        <f>B37/'- 3 -'!$D37*100</f>
        <v>0</v>
      </c>
      <c r="D37" s="285">
        <v>0</v>
      </c>
      <c r="E37" s="291">
        <f>D37/'- 3 -'!$D37*100</f>
        <v>0</v>
      </c>
      <c r="F37" s="285">
        <v>0</v>
      </c>
      <c r="G37" s="291">
        <f>F37/'- 3 -'!$D37*100</f>
        <v>0</v>
      </c>
      <c r="H37" s="285">
        <v>496060</v>
      </c>
      <c r="I37" s="291">
        <f>H37/'- 3 -'!$D37*100</f>
        <v>0.903910007546189</v>
      </c>
    </row>
    <row r="38" spans="1:10" ht="14.1" customHeight="1" x14ac:dyDescent="0.2">
      <c r="A38" s="19" t="s">
        <v>136</v>
      </c>
      <c r="B38" s="20">
        <v>206649</v>
      </c>
      <c r="C38" s="70">
        <f>B38/'- 3 -'!$D38*100</f>
        <v>0.14011712424378764</v>
      </c>
      <c r="D38" s="20">
        <v>449388</v>
      </c>
      <c r="E38" s="70">
        <f>D38/'- 3 -'!$D38*100</f>
        <v>0.30470485813948889</v>
      </c>
      <c r="F38" s="20">
        <v>978489</v>
      </c>
      <c r="G38" s="70">
        <f>F38/'- 3 -'!$D38*100</f>
        <v>0.66345864138795507</v>
      </c>
      <c r="H38" s="20">
        <v>411897</v>
      </c>
      <c r="I38" s="70">
        <f>H38/'- 3 -'!$D38*100</f>
        <v>0.27928430877789584</v>
      </c>
    </row>
    <row r="39" spans="1:10" ht="14.1" customHeight="1" x14ac:dyDescent="0.2">
      <c r="A39" s="284" t="s">
        <v>137</v>
      </c>
      <c r="B39" s="285">
        <v>0</v>
      </c>
      <c r="C39" s="291">
        <f>B39/'- 3 -'!$D39*100</f>
        <v>0</v>
      </c>
      <c r="D39" s="285">
        <v>0</v>
      </c>
      <c r="E39" s="291">
        <f>D39/'- 3 -'!$D39*100</f>
        <v>0</v>
      </c>
      <c r="F39" s="285">
        <v>0</v>
      </c>
      <c r="G39" s="291">
        <f>F39/'- 3 -'!$D39*100</f>
        <v>0</v>
      </c>
      <c r="H39" s="285">
        <v>171586</v>
      </c>
      <c r="I39" s="291">
        <f>H39/'- 3 -'!$D39*100</f>
        <v>0.78876617068104471</v>
      </c>
    </row>
    <row r="40" spans="1:10" ht="14.1" customHeight="1" x14ac:dyDescent="0.2">
      <c r="A40" s="19" t="s">
        <v>138</v>
      </c>
      <c r="B40" s="20">
        <v>483121</v>
      </c>
      <c r="C40" s="70">
        <f>B40/'- 3 -'!$D40*100</f>
        <v>0.45392659740617269</v>
      </c>
      <c r="D40" s="20">
        <v>0</v>
      </c>
      <c r="E40" s="70">
        <f>D40/'- 3 -'!$D40*100</f>
        <v>0</v>
      </c>
      <c r="F40" s="20">
        <v>333572</v>
      </c>
      <c r="G40" s="70">
        <f>F40/'- 3 -'!$D40*100</f>
        <v>0.31341465792207712</v>
      </c>
      <c r="H40" s="20">
        <v>94073</v>
      </c>
      <c r="I40" s="70">
        <f>H40/'- 3 -'!$D40*100</f>
        <v>8.8388285331813116E-2</v>
      </c>
    </row>
    <row r="41" spans="1:10" ht="14.1" customHeight="1" x14ac:dyDescent="0.2">
      <c r="A41" s="284" t="s">
        <v>139</v>
      </c>
      <c r="B41" s="285">
        <v>0</v>
      </c>
      <c r="C41" s="291">
        <f>B41/'- 3 -'!$D41*100</f>
        <v>0</v>
      </c>
      <c r="D41" s="285">
        <v>0</v>
      </c>
      <c r="E41" s="291">
        <f>D41/'- 3 -'!$D41*100</f>
        <v>0</v>
      </c>
      <c r="F41" s="285">
        <v>0</v>
      </c>
      <c r="G41" s="291">
        <f>F41/'- 3 -'!$D41*100</f>
        <v>0</v>
      </c>
      <c r="H41" s="285">
        <v>235295</v>
      </c>
      <c r="I41" s="291">
        <f>H41/'- 3 -'!$D41*100</f>
        <v>0.36509934807977096</v>
      </c>
    </row>
    <row r="42" spans="1:10" ht="14.1" customHeight="1" x14ac:dyDescent="0.2">
      <c r="A42" s="19" t="s">
        <v>140</v>
      </c>
      <c r="B42" s="20">
        <v>0</v>
      </c>
      <c r="C42" s="70">
        <f>B42/'- 3 -'!$D42*100</f>
        <v>0</v>
      </c>
      <c r="D42" s="20">
        <v>0</v>
      </c>
      <c r="E42" s="70">
        <f>D42/'- 3 -'!$D42*100</f>
        <v>0</v>
      </c>
      <c r="F42" s="20">
        <v>100</v>
      </c>
      <c r="G42" s="70">
        <f>F42/'- 3 -'!$D42*100</f>
        <v>4.8925424003625178E-4</v>
      </c>
      <c r="H42" s="20">
        <v>30741</v>
      </c>
      <c r="I42" s="70">
        <f>H42/'- 3 -'!$D42*100</f>
        <v>0.15040164592954416</v>
      </c>
    </row>
    <row r="43" spans="1:10" ht="14.1" customHeight="1" x14ac:dyDescent="0.2">
      <c r="A43" s="284" t="s">
        <v>141</v>
      </c>
      <c r="B43" s="285">
        <v>0</v>
      </c>
      <c r="C43" s="291">
        <f>B43/'- 3 -'!$D43*100</f>
        <v>0</v>
      </c>
      <c r="D43" s="285">
        <v>0</v>
      </c>
      <c r="E43" s="291">
        <f>D43/'- 3 -'!$D43*100</f>
        <v>0</v>
      </c>
      <c r="F43" s="285">
        <v>0</v>
      </c>
      <c r="G43" s="291">
        <f>F43/'- 3 -'!$D43*100</f>
        <v>0</v>
      </c>
      <c r="H43" s="285">
        <v>7318</v>
      </c>
      <c r="I43" s="291">
        <f>H43/'- 3 -'!$D43*100</f>
        <v>5.6068641256391147E-2</v>
      </c>
    </row>
    <row r="44" spans="1:10" ht="14.1" customHeight="1" x14ac:dyDescent="0.2">
      <c r="A44" s="19" t="s">
        <v>142</v>
      </c>
      <c r="B44" s="20">
        <v>0</v>
      </c>
      <c r="C44" s="70">
        <f>B44/'- 3 -'!$D44*100</f>
        <v>0</v>
      </c>
      <c r="D44" s="20">
        <v>0</v>
      </c>
      <c r="E44" s="70">
        <f>D44/'- 3 -'!$D44*100</f>
        <v>0</v>
      </c>
      <c r="F44" s="20">
        <v>0</v>
      </c>
      <c r="G44" s="70">
        <f>F44/'- 3 -'!$D44*100</f>
        <v>0</v>
      </c>
      <c r="H44" s="20">
        <v>13598</v>
      </c>
      <c r="I44" s="70">
        <f>H44/'- 3 -'!$D44*100</f>
        <v>0.1278587329310519</v>
      </c>
    </row>
    <row r="45" spans="1:10" ht="14.1" customHeight="1" x14ac:dyDescent="0.2">
      <c r="A45" s="284" t="s">
        <v>143</v>
      </c>
      <c r="B45" s="285">
        <v>0</v>
      </c>
      <c r="C45" s="291">
        <f>B45/'- 3 -'!$D45*100</f>
        <v>0</v>
      </c>
      <c r="D45" s="285">
        <v>0</v>
      </c>
      <c r="E45" s="291">
        <f>D45/'- 3 -'!$D45*100</f>
        <v>0</v>
      </c>
      <c r="F45" s="285">
        <v>5509</v>
      </c>
      <c r="G45" s="291">
        <f>F45/'- 3 -'!$D45*100</f>
        <v>2.6039449790065502E-2</v>
      </c>
      <c r="H45" s="285">
        <v>43164</v>
      </c>
      <c r="I45" s="291">
        <f>H45/'- 3 -'!$D45*100</f>
        <v>0.20402374491529993</v>
      </c>
    </row>
    <row r="46" spans="1:10" ht="14.1" customHeight="1" x14ac:dyDescent="0.2">
      <c r="A46" s="19" t="s">
        <v>144</v>
      </c>
      <c r="B46" s="20">
        <v>0</v>
      </c>
      <c r="C46" s="70">
        <f>B46/'- 3 -'!$D46*100</f>
        <v>0</v>
      </c>
      <c r="D46" s="20">
        <v>3867716</v>
      </c>
      <c r="E46" s="70">
        <f>D46/'- 3 -'!$D46*100</f>
        <v>0.93559119968227045</v>
      </c>
      <c r="F46" s="20">
        <v>154760</v>
      </c>
      <c r="G46" s="70">
        <f>F46/'- 3 -'!$D46*100</f>
        <v>3.7436071847785142E-2</v>
      </c>
      <c r="H46" s="20">
        <v>5354743</v>
      </c>
      <c r="I46" s="70">
        <f>H46/'- 3 -'!$D46*100</f>
        <v>1.2952994551203447</v>
      </c>
    </row>
    <row r="47" spans="1:10" ht="5.0999999999999996" customHeight="1" x14ac:dyDescent="0.2">
      <c r="A47"/>
      <c r="B47"/>
      <c r="C47"/>
      <c r="D47"/>
      <c r="E47"/>
      <c r="F47"/>
      <c r="G47"/>
      <c r="H47"/>
      <c r="I47"/>
      <c r="J47"/>
    </row>
    <row r="48" spans="1:10" ht="14.1" customHeight="1" x14ac:dyDescent="0.2">
      <c r="A48" s="286" t="s">
        <v>145</v>
      </c>
      <c r="B48" s="287">
        <f>SUM(B11:B46)</f>
        <v>1577492</v>
      </c>
      <c r="C48" s="294">
        <f>B48/'- 3 -'!$D48*100</f>
        <v>6.5408461571163229E-2</v>
      </c>
      <c r="D48" s="287">
        <f>SUM(D11:D46)</f>
        <v>4639327</v>
      </c>
      <c r="E48" s="294">
        <f>D48/'- 3 -'!$D48*100</f>
        <v>0.19236309394631476</v>
      </c>
      <c r="F48" s="287">
        <f>SUM(F11:F46)</f>
        <v>5041101</v>
      </c>
      <c r="G48" s="294">
        <f>F48/'- 3 -'!$D48*100</f>
        <v>0.20902208127512056</v>
      </c>
      <c r="H48" s="287">
        <f>SUM(H11:H46)</f>
        <v>12474462</v>
      </c>
      <c r="I48" s="294">
        <f>H48/'- 3 -'!$D48*100</f>
        <v>0.51723582011695524</v>
      </c>
    </row>
    <row r="49" spans="1:9" ht="5.0999999999999996" customHeight="1" x14ac:dyDescent="0.2">
      <c r="A49" s="21" t="s">
        <v>7</v>
      </c>
      <c r="B49"/>
      <c r="C49"/>
      <c r="D49"/>
      <c r="E49"/>
      <c r="F49"/>
      <c r="G49"/>
      <c r="H49"/>
      <c r="I49"/>
    </row>
    <row r="50" spans="1:9" ht="14.1" customHeight="1" x14ac:dyDescent="0.2">
      <c r="A50" s="19" t="s">
        <v>146</v>
      </c>
      <c r="B50" s="20">
        <v>0</v>
      </c>
      <c r="C50" s="70">
        <f>B50/'- 3 -'!$D50*100</f>
        <v>0</v>
      </c>
      <c r="D50" s="20">
        <v>0</v>
      </c>
      <c r="E50" s="70">
        <f>D50/'- 3 -'!$D50*100</f>
        <v>0</v>
      </c>
      <c r="F50" s="20">
        <v>6581</v>
      </c>
      <c r="G50" s="70">
        <f>F50/'- 3 -'!$D50*100</f>
        <v>0.20722233277998472</v>
      </c>
      <c r="H50" s="20">
        <v>82741</v>
      </c>
      <c r="I50" s="70">
        <f>H50/'- 3 -'!$D50*100</f>
        <v>2.6053461535554958</v>
      </c>
    </row>
    <row r="51" spans="1:9" ht="14.1" customHeight="1" x14ac:dyDescent="0.2">
      <c r="A51" s="284" t="s">
        <v>599</v>
      </c>
      <c r="B51" s="285">
        <v>0</v>
      </c>
      <c r="C51" s="291">
        <f>B51/'- 3 -'!$D51*100</f>
        <v>0</v>
      </c>
      <c r="D51" s="285">
        <v>1913315</v>
      </c>
      <c r="E51" s="291">
        <f>D51/'- 3 -'!$D51*100</f>
        <v>6.3413988413623006</v>
      </c>
      <c r="F51" s="285">
        <v>6815066</v>
      </c>
      <c r="G51" s="291">
        <f>F51/'- 3 -'!$D51*100</f>
        <v>22.587525648525002</v>
      </c>
      <c r="H51" s="285">
        <v>0</v>
      </c>
      <c r="I51" s="291">
        <f>H51/'- 3 -'!$D51*100</f>
        <v>0</v>
      </c>
    </row>
    <row r="52" spans="1:9" ht="50.1" customHeight="1" x14ac:dyDescent="0.2"/>
  </sheetData>
  <mergeCells count="4">
    <mergeCell ref="B7:C8"/>
    <mergeCell ref="D6:E8"/>
    <mergeCell ref="F7:G8"/>
    <mergeCell ref="H7:I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J52"/>
  <sheetViews>
    <sheetView showGridLines="0" showZeros="0" workbookViewId="0"/>
  </sheetViews>
  <sheetFormatPr defaultColWidth="15.83203125" defaultRowHeight="12" x14ac:dyDescent="0.2"/>
  <cols>
    <col min="1" max="1" width="32.83203125" style="2" customWidth="1"/>
    <col min="2" max="2" width="14.83203125" style="2" customWidth="1"/>
    <col min="3" max="3" width="7.83203125" style="2" customWidth="1"/>
    <col min="4" max="4" width="9.83203125" style="2" customWidth="1"/>
    <col min="5" max="5" width="16.83203125" style="2" customWidth="1"/>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x14ac:dyDescent="0.2">
      <c r="A1" s="7"/>
      <c r="B1" s="8"/>
      <c r="C1" s="8"/>
      <c r="D1" s="8"/>
      <c r="E1" s="8"/>
      <c r="F1" s="8"/>
      <c r="G1" s="8"/>
      <c r="H1" s="8"/>
      <c r="I1" s="8"/>
      <c r="J1" s="8"/>
    </row>
    <row r="2" spans="1:10" ht="15.95" customHeight="1" x14ac:dyDescent="0.2">
      <c r="A2" s="134"/>
      <c r="B2" s="9" t="s">
        <v>263</v>
      </c>
      <c r="C2" s="10"/>
      <c r="D2" s="10"/>
      <c r="E2" s="10"/>
      <c r="F2" s="10"/>
      <c r="G2" s="73"/>
      <c r="H2" s="73"/>
      <c r="I2" s="153"/>
      <c r="J2" s="395" t="s">
        <v>403</v>
      </c>
    </row>
    <row r="3" spans="1:10" ht="15.95" customHeight="1" x14ac:dyDescent="0.2">
      <c r="A3" s="541"/>
      <c r="B3" s="11" t="str">
        <f>OPYEAR</f>
        <v>OPERATING FUND 2019/2020 ACTUAL</v>
      </c>
      <c r="C3" s="12"/>
      <c r="D3" s="12"/>
      <c r="E3" s="12"/>
      <c r="F3" s="12"/>
      <c r="G3" s="75"/>
      <c r="H3" s="75"/>
      <c r="I3" s="75"/>
      <c r="J3" s="66"/>
    </row>
    <row r="4" spans="1:10" ht="15.95" customHeight="1" x14ac:dyDescent="0.2">
      <c r="B4" s="8"/>
      <c r="C4" s="8"/>
      <c r="D4" s="8"/>
      <c r="E4" s="8"/>
      <c r="F4" s="8"/>
      <c r="G4" s="8"/>
      <c r="H4" s="8"/>
      <c r="I4" s="8"/>
      <c r="J4" s="8"/>
    </row>
    <row r="5" spans="1:10" ht="15.95" customHeight="1" x14ac:dyDescent="0.2">
      <c r="B5" s="164" t="s">
        <v>94</v>
      </c>
      <c r="C5" s="165"/>
      <c r="D5" s="166"/>
      <c r="E5" s="166"/>
      <c r="F5" s="166"/>
      <c r="G5" s="166"/>
      <c r="H5" s="166"/>
      <c r="I5" s="166"/>
      <c r="J5" s="167"/>
    </row>
    <row r="6" spans="1:10" ht="15.95" customHeight="1" x14ac:dyDescent="0.2">
      <c r="B6" s="309"/>
      <c r="C6" s="312"/>
      <c r="D6" s="310"/>
      <c r="E6" s="649" t="s">
        <v>486</v>
      </c>
      <c r="F6" s="657"/>
      <c r="G6" s="650"/>
      <c r="H6" s="649" t="s">
        <v>487</v>
      </c>
      <c r="I6" s="657"/>
      <c r="J6" s="650"/>
    </row>
    <row r="7" spans="1:10" ht="15.95" customHeight="1" x14ac:dyDescent="0.2">
      <c r="B7" s="654" t="s">
        <v>23</v>
      </c>
      <c r="C7" s="656"/>
      <c r="D7" s="655"/>
      <c r="E7" s="651"/>
      <c r="F7" s="658"/>
      <c r="G7" s="652"/>
      <c r="H7" s="651"/>
      <c r="I7" s="658"/>
      <c r="J7" s="652"/>
    </row>
    <row r="8" spans="1:10" ht="15.95" customHeight="1" x14ac:dyDescent="0.2">
      <c r="A8" s="67"/>
      <c r="B8" s="137"/>
      <c r="C8" s="138"/>
      <c r="D8" s="602" t="s">
        <v>471</v>
      </c>
      <c r="E8" s="137"/>
      <c r="F8" s="139"/>
      <c r="G8" s="602" t="s">
        <v>471</v>
      </c>
      <c r="H8" s="137"/>
      <c r="I8" s="139"/>
      <c r="J8" s="602" t="s">
        <v>471</v>
      </c>
    </row>
    <row r="9" spans="1:10" ht="15.95" customHeight="1" x14ac:dyDescent="0.2">
      <c r="A9" s="35" t="s">
        <v>42</v>
      </c>
      <c r="B9" s="77" t="s">
        <v>43</v>
      </c>
      <c r="C9" s="77" t="s">
        <v>44</v>
      </c>
      <c r="D9" s="604"/>
      <c r="E9" s="77" t="s">
        <v>43</v>
      </c>
      <c r="F9" s="77" t="s">
        <v>44</v>
      </c>
      <c r="G9" s="604"/>
      <c r="H9" s="77" t="s">
        <v>43</v>
      </c>
      <c r="I9" s="77" t="s">
        <v>44</v>
      </c>
      <c r="J9" s="604"/>
    </row>
    <row r="10" spans="1:10" ht="5.0999999999999996" customHeight="1" x14ac:dyDescent="0.2">
      <c r="A10" s="6"/>
    </row>
    <row r="11" spans="1:10" ht="14.1" customHeight="1" x14ac:dyDescent="0.2">
      <c r="A11" s="284" t="s">
        <v>110</v>
      </c>
      <c r="B11" s="285">
        <v>115983</v>
      </c>
      <c r="C11" s="291">
        <f>B11/'- 3 -'!$D11*100</f>
        <v>0.55183440942541906</v>
      </c>
      <c r="D11" s="285">
        <f>B11/'- 7 -'!$E11</f>
        <v>58.577272727272728</v>
      </c>
      <c r="E11" s="285">
        <v>169085</v>
      </c>
      <c r="F11" s="291">
        <f>E11/'- 3 -'!$D11*100</f>
        <v>0.80448790872539067</v>
      </c>
      <c r="G11" s="285">
        <f>E11/'- 7 -'!$E11</f>
        <v>85.396464646464651</v>
      </c>
      <c r="H11" s="285">
        <v>344746</v>
      </c>
      <c r="I11" s="291">
        <f>H11/'- 3 -'!$D11*100</f>
        <v>1.6402637051272646</v>
      </c>
      <c r="J11" s="285">
        <f>H11/'- 7 -'!$E11</f>
        <v>174.11414141414141</v>
      </c>
    </row>
    <row r="12" spans="1:10" ht="14.1" customHeight="1" x14ac:dyDescent="0.2">
      <c r="A12" s="19" t="s">
        <v>111</v>
      </c>
      <c r="B12" s="20">
        <v>165802</v>
      </c>
      <c r="C12" s="70">
        <f>B12/'- 3 -'!$D12*100</f>
        <v>0.49422446951545185</v>
      </c>
      <c r="D12" s="20">
        <f>B12/'- 7 -'!$E12</f>
        <v>76.218189173286262</v>
      </c>
      <c r="E12" s="20">
        <v>171776</v>
      </c>
      <c r="F12" s="70">
        <f>E12/'- 3 -'!$D12*100</f>
        <v>0.51203183601817992</v>
      </c>
      <c r="G12" s="20">
        <f>E12/'- 7 -'!$E12</f>
        <v>78.964401294498373</v>
      </c>
      <c r="H12" s="20">
        <v>647699</v>
      </c>
      <c r="I12" s="70">
        <f>H12/'- 3 -'!$D12*100</f>
        <v>1.9306684761383375</v>
      </c>
      <c r="J12" s="20">
        <f>H12/'- 7 -'!$E12</f>
        <v>297.74336201824065</v>
      </c>
    </row>
    <row r="13" spans="1:10" ht="14.1" customHeight="1" x14ac:dyDescent="0.2">
      <c r="A13" s="284" t="s">
        <v>112</v>
      </c>
      <c r="B13" s="285">
        <v>286912</v>
      </c>
      <c r="C13" s="291">
        <f>B13/'- 3 -'!$D13*100</f>
        <v>0.27444210806953845</v>
      </c>
      <c r="D13" s="285">
        <f>B13/'- 7 -'!$E13</f>
        <v>33.130715935334869</v>
      </c>
      <c r="E13" s="285">
        <v>558175</v>
      </c>
      <c r="F13" s="291">
        <f>E13/'- 3 -'!$D13*100</f>
        <v>0.53391535966329262</v>
      </c>
      <c r="G13" s="285">
        <f>E13/'- 7 -'!$E13</f>
        <v>64.454387990762129</v>
      </c>
      <c r="H13" s="285">
        <v>1690740</v>
      </c>
      <c r="I13" s="291">
        <f>H13/'- 3 -'!$D13*100</f>
        <v>1.6172563357318321</v>
      </c>
      <c r="J13" s="285">
        <f>H13/'- 7 -'!$E13</f>
        <v>195.23556581986142</v>
      </c>
    </row>
    <row r="14" spans="1:10" ht="14.1" customHeight="1" x14ac:dyDescent="0.2">
      <c r="A14" s="19" t="s">
        <v>358</v>
      </c>
      <c r="B14" s="20">
        <v>540967</v>
      </c>
      <c r="C14" s="70">
        <f>B14/'- 3 -'!$D14*100</f>
        <v>0.60388589562009343</v>
      </c>
      <c r="D14" s="20">
        <f>B14/'- 7 -'!$E14</f>
        <v>97.744158481675029</v>
      </c>
      <c r="E14" s="20">
        <v>1575502</v>
      </c>
      <c r="F14" s="70">
        <f>E14/'- 3 -'!$D14*100</f>
        <v>1.7587457946995813</v>
      </c>
      <c r="G14" s="20">
        <f>E14/'- 7 -'!$E14</f>
        <v>284.66822777765736</v>
      </c>
      <c r="H14" s="20">
        <v>1132056</v>
      </c>
      <c r="I14" s="70">
        <f>H14/'- 3 -'!$D14*100</f>
        <v>1.2637233906173582</v>
      </c>
      <c r="J14" s="20">
        <f>H14/'- 7 -'!$E14</f>
        <v>204.5445675505735</v>
      </c>
    </row>
    <row r="15" spans="1:10" ht="14.1" customHeight="1" x14ac:dyDescent="0.2">
      <c r="A15" s="284" t="s">
        <v>113</v>
      </c>
      <c r="B15" s="285">
        <v>149980</v>
      </c>
      <c r="C15" s="291">
        <f>B15/'- 3 -'!$D15*100</f>
        <v>0.76036351439428251</v>
      </c>
      <c r="D15" s="285">
        <f>B15/'- 7 -'!$E15</f>
        <v>103.04362761937479</v>
      </c>
      <c r="E15" s="285">
        <v>224707</v>
      </c>
      <c r="F15" s="291">
        <f>E15/'- 3 -'!$D15*100</f>
        <v>1.1392119231163893</v>
      </c>
      <c r="G15" s="285">
        <f>E15/'- 7 -'!$E15</f>
        <v>154.38474750944692</v>
      </c>
      <c r="H15" s="285">
        <v>332967</v>
      </c>
      <c r="I15" s="291">
        <f>H15/'- 3 -'!$D15*100</f>
        <v>1.6880647972884459</v>
      </c>
      <c r="J15" s="285">
        <f>H15/'- 7 -'!$E15</f>
        <v>228.76468567502576</v>
      </c>
    </row>
    <row r="16" spans="1:10" ht="14.1" customHeight="1" x14ac:dyDescent="0.2">
      <c r="A16" s="19" t="s">
        <v>114</v>
      </c>
      <c r="B16" s="20">
        <v>96754</v>
      </c>
      <c r="C16" s="70">
        <f>B16/'- 3 -'!$D16*100</f>
        <v>0.67314838276438471</v>
      </c>
      <c r="D16" s="20">
        <f>B16/'- 7 -'!$E16</f>
        <v>106.31139435226898</v>
      </c>
      <c r="E16" s="20">
        <v>183143</v>
      </c>
      <c r="F16" s="70">
        <f>E16/'- 3 -'!$D16*100</f>
        <v>1.274184160495873</v>
      </c>
      <c r="G16" s="20">
        <f>E16/'- 7 -'!$E16</f>
        <v>201.23393033732557</v>
      </c>
      <c r="H16" s="20">
        <v>341935</v>
      </c>
      <c r="I16" s="70">
        <f>H16/'- 3 -'!$D16*100</f>
        <v>2.3789506610635209</v>
      </c>
      <c r="J16" s="20">
        <f>H16/'- 7 -'!$E16</f>
        <v>375.7114602790902</v>
      </c>
    </row>
    <row r="17" spans="1:10" ht="14.1" customHeight="1" x14ac:dyDescent="0.2">
      <c r="A17" s="284" t="s">
        <v>115</v>
      </c>
      <c r="B17" s="285">
        <v>116953</v>
      </c>
      <c r="C17" s="291">
        <f>B17/'- 3 -'!$D17*100</f>
        <v>0.64972914295174466</v>
      </c>
      <c r="D17" s="285">
        <f>B17/'- 7 -'!$E17</f>
        <v>81.813920951381604</v>
      </c>
      <c r="E17" s="285">
        <v>181192</v>
      </c>
      <c r="F17" s="291">
        <f>E17/'- 3 -'!$D17*100</f>
        <v>1.0066071231153755</v>
      </c>
      <c r="G17" s="285">
        <f>E17/'- 7 -'!$E17</f>
        <v>126.75201119272472</v>
      </c>
      <c r="H17" s="285">
        <v>310377</v>
      </c>
      <c r="I17" s="291">
        <f>H17/'- 3 -'!$D17*100</f>
        <v>1.7242908023046319</v>
      </c>
      <c r="J17" s="285">
        <f>H17/'- 7 -'!$E17</f>
        <v>217.12277019937042</v>
      </c>
    </row>
    <row r="18" spans="1:10" ht="14.1" customHeight="1" x14ac:dyDescent="0.2">
      <c r="A18" s="19" t="s">
        <v>116</v>
      </c>
      <c r="B18" s="20">
        <v>1110146</v>
      </c>
      <c r="C18" s="70">
        <f>B18/'- 3 -'!$D18*100</f>
        <v>0.83355096038383769</v>
      </c>
      <c r="D18" s="20">
        <f>B18/'- 7 -'!$E18</f>
        <v>186.37555611516831</v>
      </c>
      <c r="E18" s="20">
        <v>2245959</v>
      </c>
      <c r="F18" s="70">
        <f>E18/'- 3 -'!$D18*100</f>
        <v>1.6863739376917306</v>
      </c>
      <c r="G18" s="20">
        <f>E18/'- 7 -'!$E18</f>
        <v>377.0601863510451</v>
      </c>
      <c r="H18" s="20">
        <v>2912234</v>
      </c>
      <c r="I18" s="70">
        <f>H18/'- 3 -'!$D18*100</f>
        <v>2.1866452228467836</v>
      </c>
      <c r="J18" s="20">
        <f>H18/'- 7 -'!$E18</f>
        <v>488.91698144883742</v>
      </c>
    </row>
    <row r="19" spans="1:10" ht="14.1" customHeight="1" x14ac:dyDescent="0.2">
      <c r="A19" s="284" t="s">
        <v>117</v>
      </c>
      <c r="B19" s="285">
        <v>199297</v>
      </c>
      <c r="C19" s="291">
        <f>B19/'- 3 -'!$D19*100</f>
        <v>0.4007662089598315</v>
      </c>
      <c r="D19" s="285">
        <f>B19/'- 7 -'!$E19</f>
        <v>45.250550598278956</v>
      </c>
      <c r="E19" s="285">
        <v>363289</v>
      </c>
      <c r="F19" s="291">
        <f>E19/'- 3 -'!$D19*100</f>
        <v>0.73053761615482549</v>
      </c>
      <c r="G19" s="285">
        <f>E19/'- 7 -'!$E19</f>
        <v>82.485071407488135</v>
      </c>
      <c r="H19" s="285">
        <v>700529</v>
      </c>
      <c r="I19" s="291">
        <f>H19/'- 3 -'!$D19*100</f>
        <v>1.4086933149842789</v>
      </c>
      <c r="J19" s="285">
        <f>H19/'- 7 -'!$E19</f>
        <v>159.05569557023816</v>
      </c>
    </row>
    <row r="20" spans="1:10" ht="14.1" customHeight="1" x14ac:dyDescent="0.2">
      <c r="A20" s="19" t="s">
        <v>118</v>
      </c>
      <c r="B20" s="20">
        <v>271520</v>
      </c>
      <c r="C20" s="70">
        <f>B20/'- 3 -'!$D20*100</f>
        <v>0.30674055824386603</v>
      </c>
      <c r="D20" s="20">
        <f>B20/'- 7 -'!$E20</f>
        <v>33.85325104419924</v>
      </c>
      <c r="E20" s="20">
        <v>574531</v>
      </c>
      <c r="F20" s="70">
        <f>E20/'- 3 -'!$D20*100</f>
        <v>0.64905701115353043</v>
      </c>
      <c r="G20" s="20">
        <f>E20/'- 7 -'!$E20</f>
        <v>71.63281590923259</v>
      </c>
      <c r="H20" s="20">
        <v>1304581</v>
      </c>
      <c r="I20" s="70">
        <f>H20/'- 3 -'!$D20*100</f>
        <v>1.4738063649614797</v>
      </c>
      <c r="J20" s="20">
        <f>H20/'- 7 -'!$E20</f>
        <v>162.65581946262702</v>
      </c>
    </row>
    <row r="21" spans="1:10" ht="14.1" customHeight="1" x14ac:dyDescent="0.2">
      <c r="A21" s="284" t="s">
        <v>119</v>
      </c>
      <c r="B21" s="285">
        <v>160101</v>
      </c>
      <c r="C21" s="291">
        <f>B21/'- 3 -'!$D21*100</f>
        <v>0.42569650799161096</v>
      </c>
      <c r="D21" s="285">
        <f>B21/'- 7 -'!$E21</f>
        <v>56.713071200850159</v>
      </c>
      <c r="E21" s="285">
        <v>409001</v>
      </c>
      <c r="F21" s="291">
        <f>E21/'- 3 -'!$D21*100</f>
        <v>1.0875028729681693</v>
      </c>
      <c r="G21" s="285">
        <f>E21/'- 7 -'!$E21</f>
        <v>144.88168614948637</v>
      </c>
      <c r="H21" s="285">
        <v>637724</v>
      </c>
      <c r="I21" s="291">
        <f>H21/'- 3 -'!$D21*100</f>
        <v>1.6956601136934943</v>
      </c>
      <c r="J21" s="285">
        <f>H21/'- 7 -'!$E21</f>
        <v>225.90294013460857</v>
      </c>
    </row>
    <row r="22" spans="1:10" ht="14.1" customHeight="1" x14ac:dyDescent="0.2">
      <c r="A22" s="19" t="s">
        <v>120</v>
      </c>
      <c r="B22" s="20">
        <v>98887</v>
      </c>
      <c r="C22" s="70">
        <f>B22/'- 3 -'!$D22*100</f>
        <v>0.47902809135205743</v>
      </c>
      <c r="D22" s="20">
        <f>B22/'- 7 -'!$E22</f>
        <v>64.421498371335502</v>
      </c>
      <c r="E22" s="20">
        <v>147438</v>
      </c>
      <c r="F22" s="70">
        <f>E22/'- 3 -'!$D22*100</f>
        <v>0.71421869136251126</v>
      </c>
      <c r="G22" s="20">
        <f>E22/'- 7 -'!$E22</f>
        <v>96.050814332247555</v>
      </c>
      <c r="H22" s="20">
        <v>449415</v>
      </c>
      <c r="I22" s="70">
        <f>H22/'- 3 -'!$D22*100</f>
        <v>2.177054715735991</v>
      </c>
      <c r="J22" s="20">
        <f>H22/'- 7 -'!$E22</f>
        <v>292.77850162866451</v>
      </c>
    </row>
    <row r="23" spans="1:10" ht="14.1" customHeight="1" x14ac:dyDescent="0.2">
      <c r="A23" s="284" t="s">
        <v>121</v>
      </c>
      <c r="B23" s="285">
        <v>97110</v>
      </c>
      <c r="C23" s="291">
        <f>B23/'- 3 -'!$D23*100</f>
        <v>0.625706424550733</v>
      </c>
      <c r="D23" s="285">
        <f>B23/'- 7 -'!$E23</f>
        <v>103.44056242011078</v>
      </c>
      <c r="E23" s="285">
        <v>136467</v>
      </c>
      <c r="F23" s="291">
        <f>E23/'- 3 -'!$D23*100</f>
        <v>0.87929439438950552</v>
      </c>
      <c r="G23" s="285">
        <f>E23/'- 7 -'!$E23</f>
        <v>145.36322965487858</v>
      </c>
      <c r="H23" s="285">
        <v>321512</v>
      </c>
      <c r="I23" s="291">
        <f>H23/'- 3 -'!$D23*100</f>
        <v>2.0715901963768433</v>
      </c>
      <c r="J23" s="285">
        <f>H23/'- 7 -'!$E23</f>
        <v>342.47123988069876</v>
      </c>
    </row>
    <row r="24" spans="1:10" ht="14.1" customHeight="1" x14ac:dyDescent="0.2">
      <c r="A24" s="19" t="s">
        <v>122</v>
      </c>
      <c r="B24" s="20">
        <v>272278</v>
      </c>
      <c r="C24" s="70">
        <f>B24/'- 3 -'!$D24*100</f>
        <v>0.46589273286868288</v>
      </c>
      <c r="D24" s="20">
        <f>B24/'- 7 -'!$E24</f>
        <v>72.714114033916417</v>
      </c>
      <c r="E24" s="20">
        <v>318653</v>
      </c>
      <c r="F24" s="70">
        <f>E24/'- 3 -'!$D24*100</f>
        <v>0.5452446286765894</v>
      </c>
      <c r="G24" s="20">
        <f>E24/'- 7 -'!$E24</f>
        <v>85.098945119508613</v>
      </c>
      <c r="H24" s="20">
        <v>1127892</v>
      </c>
      <c r="I24" s="70">
        <f>H24/'- 3 -'!$D24*100</f>
        <v>1.9299270828371167</v>
      </c>
      <c r="J24" s="20">
        <f>H24/'- 7 -'!$E24</f>
        <v>301.21297903591937</v>
      </c>
    </row>
    <row r="25" spans="1:10" ht="14.1" customHeight="1" x14ac:dyDescent="0.2">
      <c r="A25" s="284" t="s">
        <v>123</v>
      </c>
      <c r="B25" s="285">
        <v>464023</v>
      </c>
      <c r="C25" s="291">
        <f>B25/'- 3 -'!$D25*100</f>
        <v>0.23908497974942394</v>
      </c>
      <c r="D25" s="285">
        <f>B25/'- 7 -'!$E25</f>
        <v>30.911991792740043</v>
      </c>
      <c r="E25" s="285">
        <v>757868</v>
      </c>
      <c r="F25" s="291">
        <f>E25/'- 3 -'!$D25*100</f>
        <v>0.39048679792324181</v>
      </c>
      <c r="G25" s="285">
        <f>E25/'- 7 -'!$E25</f>
        <v>50.487172825442514</v>
      </c>
      <c r="H25" s="285">
        <v>5315932</v>
      </c>
      <c r="I25" s="291">
        <f>H25/'- 3 -'!$D25*100</f>
        <v>2.7390010722945086</v>
      </c>
      <c r="J25" s="285">
        <f>H25/'- 7 -'!$E25</f>
        <v>354.13340794478756</v>
      </c>
    </row>
    <row r="26" spans="1:10" ht="14.1" customHeight="1" x14ac:dyDescent="0.2">
      <c r="A26" s="19" t="s">
        <v>124</v>
      </c>
      <c r="B26" s="20">
        <v>189716</v>
      </c>
      <c r="C26" s="70">
        <f>B26/'- 3 -'!$D26*100</f>
        <v>0.46374790863543358</v>
      </c>
      <c r="D26" s="20">
        <f>B26/'- 7 -'!$E26</f>
        <v>61.948081632653064</v>
      </c>
      <c r="E26" s="20">
        <v>375362</v>
      </c>
      <c r="F26" s="70">
        <f>E26/'- 3 -'!$D26*100</f>
        <v>0.91754697801563179</v>
      </c>
      <c r="G26" s="20">
        <f>E26/'- 7 -'!$E26</f>
        <v>122.56718367346939</v>
      </c>
      <c r="H26" s="20">
        <v>682023</v>
      </c>
      <c r="I26" s="70">
        <f>H26/'- 3 -'!$D26*100</f>
        <v>1.6671590160622423</v>
      </c>
      <c r="J26" s="20">
        <f>H26/'- 7 -'!$E26</f>
        <v>222.70138775510205</v>
      </c>
    </row>
    <row r="27" spans="1:10" ht="14.1" customHeight="1" x14ac:dyDescent="0.2">
      <c r="A27" s="284" t="s">
        <v>125</v>
      </c>
      <c r="B27" s="285">
        <v>185670</v>
      </c>
      <c r="C27" s="291">
        <f>B27/'- 3 -'!$D27*100</f>
        <v>0.44588773926630992</v>
      </c>
      <c r="D27" s="285">
        <f>B27/'- 7 -'!$E27</f>
        <v>61.426028729661958</v>
      </c>
      <c r="E27" s="285">
        <v>428173</v>
      </c>
      <c r="F27" s="291">
        <f>E27/'- 3 -'!$D27*100</f>
        <v>1.0282603058376352</v>
      </c>
      <c r="G27" s="285">
        <f>E27/'- 7 -'!$E27</f>
        <v>141.65437065366268</v>
      </c>
      <c r="H27" s="285">
        <v>836565</v>
      </c>
      <c r="I27" s="291">
        <f>H27/'- 3 -'!$D27*100</f>
        <v>2.009016408678411</v>
      </c>
      <c r="J27" s="285">
        <f>H27/'- 7 -'!$E27</f>
        <v>276.76450543560969</v>
      </c>
    </row>
    <row r="28" spans="1:10" ht="14.1" customHeight="1" x14ac:dyDescent="0.2">
      <c r="A28" s="19" t="s">
        <v>126</v>
      </c>
      <c r="B28" s="20">
        <v>134430</v>
      </c>
      <c r="C28" s="70">
        <f>B28/'- 3 -'!$D28*100</f>
        <v>0.47613738144912376</v>
      </c>
      <c r="D28" s="20">
        <f>B28/'- 7 -'!$E28</f>
        <v>67.620724346076457</v>
      </c>
      <c r="E28" s="20">
        <v>349248</v>
      </c>
      <c r="F28" s="70">
        <f>E28/'- 3 -'!$D28*100</f>
        <v>1.2370008792408211</v>
      </c>
      <c r="G28" s="20">
        <f>E28/'- 7 -'!$E28</f>
        <v>175.67806841046277</v>
      </c>
      <c r="H28" s="20">
        <v>461713</v>
      </c>
      <c r="I28" s="70">
        <f>H28/'- 3 -'!$D28*100</f>
        <v>1.6353404656774477</v>
      </c>
      <c r="J28" s="20">
        <f>H28/'- 7 -'!$E28</f>
        <v>232.25</v>
      </c>
    </row>
    <row r="29" spans="1:10" ht="14.1" customHeight="1" x14ac:dyDescent="0.2">
      <c r="A29" s="284" t="s">
        <v>127</v>
      </c>
      <c r="B29" s="285">
        <v>435178</v>
      </c>
      <c r="C29" s="291">
        <f>B29/'- 3 -'!$D29*100</f>
        <v>0.25719878584688349</v>
      </c>
      <c r="D29" s="285">
        <f>B29/'- 7 -'!$E29</f>
        <v>30.399077922531522</v>
      </c>
      <c r="E29" s="285">
        <v>1934007</v>
      </c>
      <c r="F29" s="291">
        <f>E29/'- 3 -'!$D29*100</f>
        <v>1.1430363028907107</v>
      </c>
      <c r="G29" s="285">
        <f>E29/'- 7 -'!$E29</f>
        <v>135.09880898326989</v>
      </c>
      <c r="H29" s="285">
        <v>1781140</v>
      </c>
      <c r="I29" s="291">
        <f>H29/'- 3 -'!$D29*100</f>
        <v>1.0526888891977952</v>
      </c>
      <c r="J29" s="285">
        <f>H29/'- 7 -'!$E29</f>
        <v>124.42038350040167</v>
      </c>
    </row>
    <row r="30" spans="1:10" ht="14.1" customHeight="1" x14ac:dyDescent="0.2">
      <c r="A30" s="19" t="s">
        <v>128</v>
      </c>
      <c r="B30" s="20">
        <v>109400</v>
      </c>
      <c r="C30" s="70">
        <f>B30/'- 3 -'!$D30*100</f>
        <v>0.70321110358762362</v>
      </c>
      <c r="D30" s="20">
        <f>B30/'- 7 -'!$E30</f>
        <v>106.67966845441248</v>
      </c>
      <c r="E30" s="20">
        <v>107923</v>
      </c>
      <c r="F30" s="70">
        <f>E30/'- 3 -'!$D30*100</f>
        <v>0.69371711090024779</v>
      </c>
      <c r="G30" s="20">
        <f>E30/'- 7 -'!$E30</f>
        <v>105.23939541686983</v>
      </c>
      <c r="H30" s="20">
        <v>293679</v>
      </c>
      <c r="I30" s="70">
        <f>H30/'- 3 -'!$D30*100</f>
        <v>1.8877361397669994</v>
      </c>
      <c r="J30" s="20">
        <f>H30/'- 7 -'!$E30</f>
        <v>286.37640175524132</v>
      </c>
    </row>
    <row r="31" spans="1:10" ht="14.1" customHeight="1" x14ac:dyDescent="0.2">
      <c r="A31" s="284" t="s">
        <v>129</v>
      </c>
      <c r="B31" s="285">
        <v>171737</v>
      </c>
      <c r="C31" s="291">
        <f>B31/'- 3 -'!$D31*100</f>
        <v>0.42983065867906178</v>
      </c>
      <c r="D31" s="285">
        <f>B31/'- 7 -'!$E31</f>
        <v>51.510797840431913</v>
      </c>
      <c r="E31" s="285">
        <v>255072</v>
      </c>
      <c r="F31" s="291">
        <f>E31/'- 3 -'!$D31*100</f>
        <v>0.63840503660006664</v>
      </c>
      <c r="G31" s="285">
        <f>E31/'- 7 -'!$E31</f>
        <v>76.50629874025195</v>
      </c>
      <c r="H31" s="285">
        <v>487564</v>
      </c>
      <c r="I31" s="291">
        <f>H31/'- 3 -'!$D31*100</f>
        <v>1.2202958900423211</v>
      </c>
      <c r="J31" s="285">
        <f>H31/'- 7 -'!$E31</f>
        <v>146.23995200959808</v>
      </c>
    </row>
    <row r="32" spans="1:10" ht="14.1" customHeight="1" x14ac:dyDescent="0.2">
      <c r="A32" s="19" t="s">
        <v>130</v>
      </c>
      <c r="B32" s="20">
        <v>175007</v>
      </c>
      <c r="C32" s="70">
        <f>B32/'- 3 -'!$D32*100</f>
        <v>0.57690371021604503</v>
      </c>
      <c r="D32" s="20">
        <f>B32/'- 7 -'!$E32</f>
        <v>76.892355008787348</v>
      </c>
      <c r="E32" s="20">
        <v>166642</v>
      </c>
      <c r="F32" s="70">
        <f>E32/'- 3 -'!$D32*100</f>
        <v>0.54932881586349225</v>
      </c>
      <c r="G32" s="20">
        <f>E32/'- 7 -'!$E32</f>
        <v>73.2170474516696</v>
      </c>
      <c r="H32" s="20">
        <v>692646</v>
      </c>
      <c r="I32" s="70">
        <f>H32/'- 3 -'!$D32*100</f>
        <v>2.2832803674498892</v>
      </c>
      <c r="J32" s="20">
        <f>H32/'- 7 -'!$E32</f>
        <v>304.32601054481546</v>
      </c>
    </row>
    <row r="33" spans="1:10" ht="14.1" customHeight="1" x14ac:dyDescent="0.2">
      <c r="A33" s="284" t="s">
        <v>131</v>
      </c>
      <c r="B33" s="285">
        <v>197551</v>
      </c>
      <c r="C33" s="291">
        <f>B33/'- 3 -'!$D33*100</f>
        <v>0.70377524792054258</v>
      </c>
      <c r="D33" s="285">
        <f>B33/'- 7 -'!$E33</f>
        <v>96.216150399376588</v>
      </c>
      <c r="E33" s="285">
        <v>233910</v>
      </c>
      <c r="F33" s="291">
        <f>E33/'- 3 -'!$D33*100</f>
        <v>0.83330415052869455</v>
      </c>
      <c r="G33" s="285">
        <f>E33/'- 7 -'!$E33</f>
        <v>113.92460549386325</v>
      </c>
      <c r="H33" s="285">
        <v>402935</v>
      </c>
      <c r="I33" s="291">
        <f>H33/'- 3 -'!$D33*100</f>
        <v>1.4354555508241611</v>
      </c>
      <c r="J33" s="285">
        <f>H33/'- 7 -'!$E33</f>
        <v>196.24732125462694</v>
      </c>
    </row>
    <row r="34" spans="1:10" ht="14.1" customHeight="1" x14ac:dyDescent="0.2">
      <c r="A34" s="19" t="s">
        <v>132</v>
      </c>
      <c r="B34" s="20">
        <v>138046</v>
      </c>
      <c r="C34" s="70">
        <f>B34/'- 3 -'!$D34*100</f>
        <v>0.45347610924685772</v>
      </c>
      <c r="D34" s="20">
        <f>B34/'- 7 -'!$E34</f>
        <v>62.076625595826968</v>
      </c>
      <c r="E34" s="20">
        <v>304031</v>
      </c>
      <c r="F34" s="70">
        <f>E34/'- 3 -'!$D34*100</f>
        <v>0.99873082139599401</v>
      </c>
      <c r="G34" s="20">
        <f>E34/'- 7 -'!$E34</f>
        <v>136.71688101447972</v>
      </c>
      <c r="H34" s="20">
        <v>564013</v>
      </c>
      <c r="I34" s="70">
        <f>H34/'- 3 -'!$D34*100</f>
        <v>1.852762273478753</v>
      </c>
      <c r="J34" s="20">
        <f>H34/'- 7 -'!$E34</f>
        <v>253.62577569925355</v>
      </c>
    </row>
    <row r="35" spans="1:10" ht="14.1" customHeight="1" x14ac:dyDescent="0.2">
      <c r="A35" s="284" t="s">
        <v>133</v>
      </c>
      <c r="B35" s="285">
        <v>415476</v>
      </c>
      <c r="C35" s="291">
        <f>B35/'- 3 -'!$D35*100</f>
        <v>0.21687432543229754</v>
      </c>
      <c r="D35" s="285">
        <f>B35/'- 7 -'!$E35</f>
        <v>25.623731844953593</v>
      </c>
      <c r="E35" s="285">
        <v>1639797</v>
      </c>
      <c r="F35" s="291">
        <f>E35/'- 3 -'!$D35*100</f>
        <v>0.85595766836328735</v>
      </c>
      <c r="G35" s="285">
        <f>E35/'- 7 -'!$E35</f>
        <v>101.13151808566407</v>
      </c>
      <c r="H35" s="285">
        <v>2349513</v>
      </c>
      <c r="I35" s="291">
        <f>H35/'- 3 -'!$D35*100</f>
        <v>1.2264223371973679</v>
      </c>
      <c r="J35" s="285">
        <f>H35/'- 7 -'!$E35</f>
        <v>144.90197045854021</v>
      </c>
    </row>
    <row r="36" spans="1:10" ht="14.1" customHeight="1" x14ac:dyDescent="0.2">
      <c r="A36" s="19" t="s">
        <v>134</v>
      </c>
      <c r="B36" s="20">
        <v>130053</v>
      </c>
      <c r="C36" s="70">
        <f>B36/'- 3 -'!$D36*100</f>
        <v>0.54995401932266763</v>
      </c>
      <c r="D36" s="20">
        <f>B36/'- 7 -'!$E36</f>
        <v>75.766385085930679</v>
      </c>
      <c r="E36" s="20">
        <v>171272</v>
      </c>
      <c r="F36" s="70">
        <f>E36/'- 3 -'!$D36*100</f>
        <v>0.72425645542534145</v>
      </c>
      <c r="G36" s="20">
        <f>E36/'- 7 -'!$E36</f>
        <v>99.779784445091749</v>
      </c>
      <c r="H36" s="20">
        <v>486407</v>
      </c>
      <c r="I36" s="70">
        <f>H36/'- 3 -'!$D36*100</f>
        <v>2.0568651601783952</v>
      </c>
      <c r="J36" s="20">
        <f>H36/'- 7 -'!$E36</f>
        <v>283.37139528109526</v>
      </c>
    </row>
    <row r="37" spans="1:10" ht="14.1" customHeight="1" x14ac:dyDescent="0.2">
      <c r="A37" s="284" t="s">
        <v>135</v>
      </c>
      <c r="B37" s="285">
        <v>198469</v>
      </c>
      <c r="C37" s="291">
        <f>B37/'- 3 -'!$D37*100</f>
        <v>0.36164600106375155</v>
      </c>
      <c r="D37" s="285">
        <f>B37/'- 7 -'!$E37</f>
        <v>46.399448262963489</v>
      </c>
      <c r="E37" s="285">
        <v>398593</v>
      </c>
      <c r="F37" s="291">
        <f>E37/'- 3 -'!$D37*100</f>
        <v>0.72630770801487343</v>
      </c>
      <c r="G37" s="285">
        <f>E37/'- 7 -'!$E37</f>
        <v>93.18581381212887</v>
      </c>
      <c r="H37" s="285">
        <v>792047</v>
      </c>
      <c r="I37" s="291">
        <f>H37/'- 3 -'!$D37*100</f>
        <v>1.4432512392592354</v>
      </c>
      <c r="J37" s="285">
        <f>H37/'- 7 -'!$E37</f>
        <v>185.17019684855288</v>
      </c>
    </row>
    <row r="38" spans="1:10" ht="14.1" customHeight="1" x14ac:dyDescent="0.2">
      <c r="A38" s="19" t="s">
        <v>136</v>
      </c>
      <c r="B38" s="20">
        <v>402708</v>
      </c>
      <c r="C38" s="70">
        <f>B38/'- 3 -'!$D38*100</f>
        <v>0.27305376203111187</v>
      </c>
      <c r="D38" s="20">
        <f>B38/'- 7 -'!$E38</f>
        <v>35.134182516140292</v>
      </c>
      <c r="E38" s="20">
        <v>1370787</v>
      </c>
      <c r="F38" s="70">
        <f>E38/'- 3 -'!$D38*100</f>
        <v>0.92945396489104193</v>
      </c>
      <c r="G38" s="20">
        <f>E38/'- 7 -'!$E38</f>
        <v>119.59404990403071</v>
      </c>
      <c r="H38" s="20">
        <v>1640545</v>
      </c>
      <c r="I38" s="70">
        <f>H38/'- 3 -'!$D38*100</f>
        <v>1.1123617708894049</v>
      </c>
      <c r="J38" s="20">
        <f>H38/'- 7 -'!$E38</f>
        <v>143.12903507241319</v>
      </c>
    </row>
    <row r="39" spans="1:10" ht="14.1" customHeight="1" x14ac:dyDescent="0.2">
      <c r="A39" s="284" t="s">
        <v>137</v>
      </c>
      <c r="B39" s="285">
        <v>113108</v>
      </c>
      <c r="C39" s="291">
        <f>B39/'- 3 -'!$D39*100</f>
        <v>0.51994780479404856</v>
      </c>
      <c r="D39" s="285">
        <f>B39/'- 7 -'!$E39</f>
        <v>75.55644622578491</v>
      </c>
      <c r="E39" s="285">
        <v>239228</v>
      </c>
      <c r="F39" s="291">
        <f>E39/'- 3 -'!$D39*100</f>
        <v>1.0997106610078036</v>
      </c>
      <c r="G39" s="285">
        <f>E39/'- 7 -'!$E39</f>
        <v>159.80494321977287</v>
      </c>
      <c r="H39" s="285">
        <v>389951</v>
      </c>
      <c r="I39" s="291">
        <f>H39/'- 3 -'!$D39*100</f>
        <v>1.7925714045624006</v>
      </c>
      <c r="J39" s="285">
        <f>H39/'- 7 -'!$E39</f>
        <v>260.48830995323982</v>
      </c>
    </row>
    <row r="40" spans="1:10" ht="14.1" customHeight="1" x14ac:dyDescent="0.2">
      <c r="A40" s="19" t="s">
        <v>138</v>
      </c>
      <c r="B40" s="20">
        <v>348041</v>
      </c>
      <c r="C40" s="70">
        <f>B40/'- 3 -'!$D40*100</f>
        <v>0.32700931420460244</v>
      </c>
      <c r="D40" s="20">
        <f>B40/'- 7 -'!$E40</f>
        <v>42.651717448502275</v>
      </c>
      <c r="E40" s="20">
        <v>911293</v>
      </c>
      <c r="F40" s="70">
        <f>E40/'- 3 -'!$D40*100</f>
        <v>0.85622469470394236</v>
      </c>
      <c r="G40" s="20">
        <f>E40/'- 7 -'!$E40</f>
        <v>111.67710571110295</v>
      </c>
      <c r="H40" s="20">
        <v>1497632</v>
      </c>
      <c r="I40" s="70">
        <f>H40/'- 3 -'!$D40*100</f>
        <v>1.4071319564386584</v>
      </c>
      <c r="J40" s="20">
        <f>H40/'- 7 -'!$E40</f>
        <v>183.53175891873474</v>
      </c>
    </row>
    <row r="41" spans="1:10" ht="14.1" customHeight="1" x14ac:dyDescent="0.2">
      <c r="A41" s="284" t="s">
        <v>139</v>
      </c>
      <c r="B41" s="285">
        <v>245470</v>
      </c>
      <c r="C41" s="291">
        <f>B41/'- 3 -'!$D41*100</f>
        <v>0.38088755380752404</v>
      </c>
      <c r="D41" s="285">
        <f>B41/'- 7 -'!$E41</f>
        <v>54.573143619386393</v>
      </c>
      <c r="E41" s="285">
        <v>407348</v>
      </c>
      <c r="F41" s="291">
        <f>E41/'- 3 -'!$D41*100</f>
        <v>0.63206820902100991</v>
      </c>
      <c r="G41" s="285">
        <f>E41/'- 7 -'!$E41</f>
        <v>90.562027567807917</v>
      </c>
      <c r="H41" s="285">
        <v>1249447</v>
      </c>
      <c r="I41" s="291">
        <f>H41/'- 3 -'!$D41*100</f>
        <v>1.938724941712427</v>
      </c>
      <c r="J41" s="285">
        <f>H41/'- 7 -'!$E41</f>
        <v>277.77834593152511</v>
      </c>
    </row>
    <row r="42" spans="1:10" ht="14.1" customHeight="1" x14ac:dyDescent="0.2">
      <c r="A42" s="19" t="s">
        <v>140</v>
      </c>
      <c r="B42" s="20">
        <v>131291</v>
      </c>
      <c r="C42" s="70">
        <f>B42/'- 3 -'!$D42*100</f>
        <v>0.64234678428599534</v>
      </c>
      <c r="D42" s="20">
        <f>B42/'- 7 -'!$E42</f>
        <v>95.825852127581925</v>
      </c>
      <c r="E42" s="20">
        <v>225010</v>
      </c>
      <c r="F42" s="70">
        <f>E42/'- 3 -'!$D42*100</f>
        <v>1.1008709655055702</v>
      </c>
      <c r="G42" s="20">
        <f>E42/'- 7 -'!$E42</f>
        <v>164.22888840230638</v>
      </c>
      <c r="H42" s="20">
        <v>327742</v>
      </c>
      <c r="I42" s="70">
        <f>H42/'- 3 -'!$D42*100</f>
        <v>1.6034916313796124</v>
      </c>
      <c r="J42" s="20">
        <f>H42/'- 7 -'!$E42</f>
        <v>239.21027662214433</v>
      </c>
    </row>
    <row r="43" spans="1:10" ht="14.1" customHeight="1" x14ac:dyDescent="0.2">
      <c r="A43" s="284" t="s">
        <v>141</v>
      </c>
      <c r="B43" s="285">
        <v>85605</v>
      </c>
      <c r="C43" s="291">
        <f>B43/'- 3 -'!$D43*100</f>
        <v>0.65588357949622345</v>
      </c>
      <c r="D43" s="285">
        <f>B43/'- 7 -'!$E43</f>
        <v>85.391521197007478</v>
      </c>
      <c r="E43" s="285">
        <v>138559</v>
      </c>
      <c r="F43" s="291">
        <f>E43/'- 3 -'!$D43*100</f>
        <v>1.0616035616075841</v>
      </c>
      <c r="G43" s="285">
        <f>E43/'- 7 -'!$E43</f>
        <v>138.21346633416459</v>
      </c>
      <c r="H43" s="285">
        <v>220371</v>
      </c>
      <c r="I43" s="291">
        <f>H43/'- 3 -'!$D43*100</f>
        <v>1.6884261468040684</v>
      </c>
      <c r="J43" s="285">
        <f>H43/'- 7 -'!$E43</f>
        <v>219.82144638403989</v>
      </c>
    </row>
    <row r="44" spans="1:10" ht="14.1" customHeight="1" x14ac:dyDescent="0.2">
      <c r="A44" s="19" t="s">
        <v>142</v>
      </c>
      <c r="B44" s="20">
        <v>89020</v>
      </c>
      <c r="C44" s="70">
        <f>B44/'- 3 -'!$D44*100</f>
        <v>0.83703371124593628</v>
      </c>
      <c r="D44" s="20">
        <f>B44/'- 7 -'!$E44</f>
        <v>128.64161849710982</v>
      </c>
      <c r="E44" s="20">
        <v>48492</v>
      </c>
      <c r="F44" s="70">
        <f>E44/'- 3 -'!$D44*100</f>
        <v>0.45595864666072727</v>
      </c>
      <c r="G44" s="20">
        <f>E44/'- 7 -'!$E44</f>
        <v>70.075144508670519</v>
      </c>
      <c r="H44" s="20">
        <v>241055</v>
      </c>
      <c r="I44" s="70">
        <f>H44/'- 3 -'!$D44*100</f>
        <v>2.2665823552503834</v>
      </c>
      <c r="J44" s="20">
        <f>H44/'- 7 -'!$E44</f>
        <v>348.34537572254334</v>
      </c>
    </row>
    <row r="45" spans="1:10" ht="14.1" customHeight="1" x14ac:dyDescent="0.2">
      <c r="A45" s="284" t="s">
        <v>143</v>
      </c>
      <c r="B45" s="285">
        <v>120252</v>
      </c>
      <c r="C45" s="291">
        <f>B45/'- 3 -'!$D45*100</f>
        <v>0.56839642696586623</v>
      </c>
      <c r="D45" s="285">
        <f>B45/'- 7 -'!$E45</f>
        <v>62.794778067885119</v>
      </c>
      <c r="E45" s="285">
        <v>174485</v>
      </c>
      <c r="F45" s="291">
        <f>E45/'- 3 -'!$D45*100</f>
        <v>0.82474013371203103</v>
      </c>
      <c r="G45" s="285">
        <f>E45/'- 7 -'!$E45</f>
        <v>91.114882506527408</v>
      </c>
      <c r="H45" s="285">
        <v>378577</v>
      </c>
      <c r="I45" s="291">
        <f>H45/'- 3 -'!$D45*100</f>
        <v>1.7894239940413195</v>
      </c>
      <c r="J45" s="285">
        <f>H45/'- 7 -'!$E45</f>
        <v>197.69033942558747</v>
      </c>
    </row>
    <row r="46" spans="1:10" ht="14.1" customHeight="1" x14ac:dyDescent="0.2">
      <c r="A46" s="19" t="s">
        <v>144</v>
      </c>
      <c r="B46" s="20">
        <v>953713</v>
      </c>
      <c r="C46" s="70">
        <f>B46/'- 3 -'!$D46*100</f>
        <v>0.23070088130115479</v>
      </c>
      <c r="D46" s="20">
        <f>B46/'- 7 -'!$E46</f>
        <v>32.285805204521374</v>
      </c>
      <c r="E46" s="20">
        <v>3861669</v>
      </c>
      <c r="F46" s="70">
        <f>E46/'- 3 -'!$D46*100</f>
        <v>0.93412844492352431</v>
      </c>
      <c r="G46" s="20">
        <f>E46/'- 7 -'!$E46</f>
        <v>130.7281048893523</v>
      </c>
      <c r="H46" s="20">
        <v>6232985</v>
      </c>
      <c r="I46" s="70">
        <f>H46/'- 3 -'!$D46*100</f>
        <v>1.5077440830070243</v>
      </c>
      <c r="J46" s="20">
        <f>H46/'- 7 -'!$E46</f>
        <v>211.00366625253471</v>
      </c>
    </row>
    <row r="47" spans="1:10" ht="5.0999999999999996" customHeight="1" x14ac:dyDescent="0.2">
      <c r="A47" s="21"/>
      <c r="B47" s="22"/>
      <c r="C47"/>
      <c r="D47" s="22"/>
      <c r="E47" s="552"/>
      <c r="F47"/>
      <c r="G47" s="22"/>
      <c r="H47"/>
      <c r="I47"/>
      <c r="J47"/>
    </row>
    <row r="48" spans="1:10" ht="14.1" customHeight="1" x14ac:dyDescent="0.2">
      <c r="A48" s="286" t="s">
        <v>145</v>
      </c>
      <c r="B48" s="287">
        <f>SUM(B11:B46)</f>
        <v>9116654</v>
      </c>
      <c r="C48" s="294">
        <f>B48/'- 3 -'!$D48*100</f>
        <v>0.37800908836088648</v>
      </c>
      <c r="D48" s="287">
        <f>B48/'- 7 -'!$E48</f>
        <v>50.584956183287062</v>
      </c>
      <c r="E48" s="287">
        <f>SUM(E11:E46)</f>
        <v>21757687</v>
      </c>
      <c r="F48" s="294">
        <f>E48/'- 3 -'!$D48*100</f>
        <v>0.90215153802168102</v>
      </c>
      <c r="G48" s="287">
        <f>E48/'- 7 -'!$E48</f>
        <v>120.72539371842724</v>
      </c>
      <c r="H48" s="287">
        <f>SUM(H11:H46)</f>
        <v>39578889</v>
      </c>
      <c r="I48" s="294">
        <f>H48/'- 3 -'!$D48*100</f>
        <v>1.6410823257334013</v>
      </c>
      <c r="J48" s="287">
        <f>H48/'- 7 -'!$E48</f>
        <v>219.60868163343505</v>
      </c>
    </row>
    <row r="49" spans="1:10" ht="5.0999999999999996" customHeight="1" x14ac:dyDescent="0.2">
      <c r="A49" s="21" t="s">
        <v>7</v>
      </c>
      <c r="B49" s="22"/>
      <c r="C49"/>
      <c r="D49" s="22"/>
      <c r="E49" s="552"/>
      <c r="F49"/>
      <c r="H49"/>
      <c r="I49"/>
      <c r="J49"/>
    </row>
    <row r="50" spans="1:10" ht="14.1" customHeight="1" x14ac:dyDescent="0.2">
      <c r="A50" s="19" t="s">
        <v>146</v>
      </c>
      <c r="B50" s="20">
        <v>53261</v>
      </c>
      <c r="C50" s="70">
        <f>B50/'- 3 -'!$D50*100</f>
        <v>1.6770807880557312</v>
      </c>
      <c r="D50" s="20">
        <f>B50/'- 7 -'!$E50</f>
        <v>280.32105263157894</v>
      </c>
      <c r="E50" s="20">
        <v>50709</v>
      </c>
      <c r="F50" s="70">
        <f>E50/'- 3 -'!$D50*100</f>
        <v>1.5967234877587368</v>
      </c>
      <c r="G50" s="20">
        <f>E50/'- 7 -'!$E50</f>
        <v>266.88947368421054</v>
      </c>
      <c r="H50" s="20">
        <v>78039</v>
      </c>
      <c r="I50" s="70">
        <f>H50/'- 3 -'!$D50*100</f>
        <v>2.4572897170365033</v>
      </c>
      <c r="J50" s="20">
        <f>H50/'- 7 -'!$E50</f>
        <v>410.7315789473684</v>
      </c>
    </row>
    <row r="51" spans="1:10" ht="14.1" customHeight="1" x14ac:dyDescent="0.2">
      <c r="A51" s="284" t="s">
        <v>599</v>
      </c>
      <c r="B51" s="285">
        <v>69902</v>
      </c>
      <c r="C51" s="291">
        <f>B51/'- 3 -'!$D51*100</f>
        <v>0.23167981320844061</v>
      </c>
      <c r="D51" s="285">
        <f>B51/'- 7 -'!$E51</f>
        <v>56.646677471636956</v>
      </c>
      <c r="E51" s="285">
        <v>390693</v>
      </c>
      <c r="F51" s="291">
        <f>E51/'- 3 -'!$D51*100</f>
        <v>1.2948940125010056</v>
      </c>
      <c r="G51" s="285">
        <f>E51/'- 7 -'!$E51</f>
        <v>316.60696920583467</v>
      </c>
      <c r="H51" s="285">
        <v>3404692</v>
      </c>
      <c r="I51" s="291">
        <f>H51/'- 3 -'!$D51*100</f>
        <v>11.284346751055365</v>
      </c>
      <c r="J51" s="285">
        <f>H51/'- 7 -'!$E51</f>
        <v>2759.0696920583468</v>
      </c>
    </row>
    <row r="52" spans="1:10" ht="50.1" customHeight="1" x14ac:dyDescent="0.2"/>
  </sheetData>
  <mergeCells count="6">
    <mergeCell ref="D8:D9"/>
    <mergeCell ref="G8:G9"/>
    <mergeCell ref="J8:J9"/>
    <mergeCell ref="B7:D7"/>
    <mergeCell ref="E6:G7"/>
    <mergeCell ref="H6:J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52"/>
  <sheetViews>
    <sheetView showGridLines="0" showZeros="0" workbookViewId="0"/>
  </sheetViews>
  <sheetFormatPr defaultColWidth="15.83203125" defaultRowHeight="12" x14ac:dyDescent="0.2"/>
  <cols>
    <col min="1" max="1" width="35.83203125" style="2" customWidth="1"/>
    <col min="2" max="2" width="20.83203125" style="2" customWidth="1"/>
    <col min="3" max="4" width="15.83203125" style="2" customWidth="1"/>
    <col min="5" max="5" width="44.83203125" style="2" customWidth="1"/>
    <col min="6" max="16384" width="15.83203125" style="2"/>
  </cols>
  <sheetData>
    <row r="1" spans="1:5" ht="6.95" customHeight="1" x14ac:dyDescent="0.2">
      <c r="A1" s="7"/>
      <c r="B1" s="8"/>
      <c r="C1" s="8"/>
      <c r="D1" s="8"/>
      <c r="E1" s="8"/>
    </row>
    <row r="2" spans="1:5" ht="15.95" customHeight="1" x14ac:dyDescent="0.2">
      <c r="A2" s="134"/>
      <c r="B2" s="9" t="s">
        <v>263</v>
      </c>
      <c r="C2" s="10"/>
      <c r="D2" s="10"/>
      <c r="E2" s="395" t="s">
        <v>404</v>
      </c>
    </row>
    <row r="3" spans="1:5" ht="15.95" customHeight="1" x14ac:dyDescent="0.2">
      <c r="A3" s="541"/>
      <c r="B3" s="11" t="str">
        <f>OPYEAR</f>
        <v>OPERATING FUND 2019/2020 ACTUAL</v>
      </c>
      <c r="C3" s="12"/>
      <c r="D3" s="12"/>
      <c r="E3" s="66"/>
    </row>
    <row r="4" spans="1:5" ht="15.95" customHeight="1" x14ac:dyDescent="0.2">
      <c r="B4" s="8"/>
      <c r="C4" s="8"/>
      <c r="D4" s="8"/>
      <c r="E4" s="8"/>
    </row>
    <row r="5" spans="1:5" ht="15.95" customHeight="1" x14ac:dyDescent="0.2">
      <c r="B5" s="164" t="s">
        <v>94</v>
      </c>
      <c r="C5" s="155"/>
      <c r="D5" s="157"/>
      <c r="E5" s="43"/>
    </row>
    <row r="6" spans="1:5" ht="15.95" customHeight="1" x14ac:dyDescent="0.2">
      <c r="B6" s="649" t="s">
        <v>488</v>
      </c>
      <c r="C6" s="657"/>
      <c r="D6" s="650"/>
      <c r="E6" s="69"/>
    </row>
    <row r="7" spans="1:5" ht="15.95" customHeight="1" x14ac:dyDescent="0.2">
      <c r="B7" s="651"/>
      <c r="C7" s="658"/>
      <c r="D7" s="652"/>
      <c r="E7" s="69"/>
    </row>
    <row r="8" spans="1:5" ht="15.95" customHeight="1" x14ac:dyDescent="0.2">
      <c r="A8" s="67"/>
      <c r="B8" s="139"/>
      <c r="C8" s="68"/>
      <c r="D8" s="602" t="s">
        <v>471</v>
      </c>
      <c r="E8" s="69"/>
    </row>
    <row r="9" spans="1:5" ht="15.95" customHeight="1" x14ac:dyDescent="0.2">
      <c r="A9" s="35" t="s">
        <v>42</v>
      </c>
      <c r="B9" s="77" t="s">
        <v>43</v>
      </c>
      <c r="C9" s="77" t="s">
        <v>44</v>
      </c>
      <c r="D9" s="604"/>
    </row>
    <row r="10" spans="1:5" ht="5.0999999999999996" customHeight="1" x14ac:dyDescent="0.2">
      <c r="A10" s="6"/>
    </row>
    <row r="11" spans="1:5" ht="14.1" customHeight="1" x14ac:dyDescent="0.2">
      <c r="A11" s="284" t="s">
        <v>110</v>
      </c>
      <c r="B11" s="285">
        <v>34949</v>
      </c>
      <c r="C11" s="291">
        <f>B11/'- 3 -'!$D11*100</f>
        <v>0.16628351374778175</v>
      </c>
      <c r="D11" s="285">
        <f>B11/'- 7 -'!$E11</f>
        <v>17.651010101010101</v>
      </c>
    </row>
    <row r="12" spans="1:5" ht="14.1" customHeight="1" x14ac:dyDescent="0.2">
      <c r="A12" s="19" t="s">
        <v>111</v>
      </c>
      <c r="B12" s="20">
        <v>84357</v>
      </c>
      <c r="C12" s="70">
        <f>B12/'- 3 -'!$D12*100</f>
        <v>0.25145229596093516</v>
      </c>
      <c r="D12" s="20">
        <f>B12/'- 7 -'!$E12</f>
        <v>38.778409090909086</v>
      </c>
    </row>
    <row r="13" spans="1:5" ht="14.1" customHeight="1" x14ac:dyDescent="0.2">
      <c r="A13" s="284" t="s">
        <v>112</v>
      </c>
      <c r="B13" s="285">
        <v>341944</v>
      </c>
      <c r="C13" s="291">
        <f>B13/'- 3 -'!$D13*100</f>
        <v>0.32708228377248166</v>
      </c>
      <c r="D13" s="285">
        <f>B13/'- 7 -'!$E13</f>
        <v>39.485450346420322</v>
      </c>
    </row>
    <row r="14" spans="1:5" ht="14.1" customHeight="1" x14ac:dyDescent="0.2">
      <c r="A14" s="19" t="s">
        <v>358</v>
      </c>
      <c r="B14" s="20">
        <v>123062</v>
      </c>
      <c r="C14" s="70">
        <f>B14/'- 3 -'!$D14*100</f>
        <v>0.13737511916031833</v>
      </c>
      <c r="D14" s="20">
        <f>B14/'- 7 -'!$E14</f>
        <v>22.235351936572641</v>
      </c>
    </row>
    <row r="15" spans="1:5" ht="14.1" customHeight="1" x14ac:dyDescent="0.2">
      <c r="A15" s="284" t="s">
        <v>113</v>
      </c>
      <c r="B15" s="285">
        <v>21940</v>
      </c>
      <c r="C15" s="291">
        <f>B15/'- 3 -'!$D15*100</f>
        <v>0.11123066746106521</v>
      </c>
      <c r="D15" s="285">
        <f>B15/'- 7 -'!$E15</f>
        <v>15.073857780831329</v>
      </c>
    </row>
    <row r="16" spans="1:5" ht="14.1" customHeight="1" x14ac:dyDescent="0.2">
      <c r="A16" s="19" t="s">
        <v>114</v>
      </c>
      <c r="B16" s="20">
        <v>35866</v>
      </c>
      <c r="C16" s="70">
        <f>B16/'- 3 -'!$D16*100</f>
        <v>0.24953118110080641</v>
      </c>
      <c r="D16" s="20">
        <f>B16/'- 7 -'!$E16</f>
        <v>39.408856169651685</v>
      </c>
    </row>
    <row r="17" spans="1:4" ht="14.1" customHeight="1" x14ac:dyDescent="0.2">
      <c r="A17" s="284" t="s">
        <v>115</v>
      </c>
      <c r="B17" s="285">
        <v>78691</v>
      </c>
      <c r="C17" s="291">
        <f>B17/'- 3 -'!$D17*100</f>
        <v>0.43716566473725116</v>
      </c>
      <c r="D17" s="285">
        <f>B17/'- 7 -'!$E17</f>
        <v>55.047918852745717</v>
      </c>
    </row>
    <row r="18" spans="1:4" ht="14.1" customHeight="1" x14ac:dyDescent="0.2">
      <c r="A18" s="19" t="s">
        <v>116</v>
      </c>
      <c r="B18" s="20">
        <v>716446</v>
      </c>
      <c r="C18" s="70">
        <f>B18/'- 3 -'!$D18*100</f>
        <v>0.53794208271989363</v>
      </c>
      <c r="D18" s="20">
        <f>B18/'- 7 -'!$E18</f>
        <v>120.27969445143961</v>
      </c>
    </row>
    <row r="19" spans="1:4" ht="14.1" customHeight="1" x14ac:dyDescent="0.2">
      <c r="A19" s="284" t="s">
        <v>117</v>
      </c>
      <c r="B19" s="285">
        <v>134261</v>
      </c>
      <c r="C19" s="291">
        <f>B19/'- 3 -'!$D19*100</f>
        <v>0.26998535844069876</v>
      </c>
      <c r="D19" s="285">
        <f>B19/'- 7 -'!$E19</f>
        <v>30.484072383806733</v>
      </c>
    </row>
    <row r="20" spans="1:4" ht="14.1" customHeight="1" x14ac:dyDescent="0.2">
      <c r="A20" s="19" t="s">
        <v>118</v>
      </c>
      <c r="B20" s="20">
        <v>103275</v>
      </c>
      <c r="C20" s="70">
        <f>B20/'- 3 -'!$D20*100</f>
        <v>0.11667144649615227</v>
      </c>
      <c r="D20" s="20">
        <f>B20/'- 7 -'!$E20</f>
        <v>12.876379278099868</v>
      </c>
    </row>
    <row r="21" spans="1:4" ht="14.1" customHeight="1" x14ac:dyDescent="0.2">
      <c r="A21" s="284" t="s">
        <v>119</v>
      </c>
      <c r="B21" s="285">
        <v>44253</v>
      </c>
      <c r="C21" s="291">
        <f>B21/'- 3 -'!$D21*100</f>
        <v>0.1176653960197173</v>
      </c>
      <c r="D21" s="285">
        <f>B21/'- 7 -'!$E21</f>
        <v>15.67587672688629</v>
      </c>
    </row>
    <row r="22" spans="1:4" ht="14.1" customHeight="1" x14ac:dyDescent="0.2">
      <c r="A22" s="19" t="s">
        <v>120</v>
      </c>
      <c r="B22" s="20">
        <v>20189</v>
      </c>
      <c r="C22" s="70">
        <f>B22/'- 3 -'!$D22*100</f>
        <v>9.779948968324137E-2</v>
      </c>
      <c r="D22" s="20">
        <f>B22/'- 7 -'!$E22</f>
        <v>13.152442996742671</v>
      </c>
    </row>
    <row r="23" spans="1:4" ht="14.1" customHeight="1" x14ac:dyDescent="0.2">
      <c r="A23" s="284" t="s">
        <v>121</v>
      </c>
      <c r="B23" s="285">
        <v>26293</v>
      </c>
      <c r="C23" s="291">
        <f>B23/'- 3 -'!$D23*100</f>
        <v>0.16941302667812197</v>
      </c>
      <c r="D23" s="285">
        <f>B23/'- 7 -'!$E23</f>
        <v>28.007030251384748</v>
      </c>
    </row>
    <row r="24" spans="1:4" ht="14.1" customHeight="1" x14ac:dyDescent="0.2">
      <c r="A24" s="19" t="s">
        <v>122</v>
      </c>
      <c r="B24" s="20">
        <v>171645</v>
      </c>
      <c r="C24" s="70">
        <f>B24/'- 3 -'!$D24*100</f>
        <v>0.29370040228459537</v>
      </c>
      <c r="D24" s="20">
        <f>B24/'- 7 -'!$E24</f>
        <v>45.839230871945517</v>
      </c>
    </row>
    <row r="25" spans="1:4" ht="14.1" customHeight="1" x14ac:dyDescent="0.2">
      <c r="A25" s="284" t="s">
        <v>123</v>
      </c>
      <c r="B25" s="285">
        <v>969320</v>
      </c>
      <c r="C25" s="291">
        <f>B25/'- 3 -'!$D25*100</f>
        <v>0.49943613262858005</v>
      </c>
      <c r="D25" s="285">
        <f>B25/'- 7 -'!$E25</f>
        <v>64.573548907142055</v>
      </c>
    </row>
    <row r="26" spans="1:4" ht="14.1" customHeight="1" x14ac:dyDescent="0.2">
      <c r="A26" s="19" t="s">
        <v>124</v>
      </c>
      <c r="B26" s="20">
        <v>38953</v>
      </c>
      <c r="C26" s="70">
        <f>B26/'- 3 -'!$D26*100</f>
        <v>9.5217969412574821E-2</v>
      </c>
      <c r="D26" s="20">
        <f>B26/'- 7 -'!$E26</f>
        <v>12.71934693877551</v>
      </c>
    </row>
    <row r="27" spans="1:4" ht="14.1" customHeight="1" x14ac:dyDescent="0.2">
      <c r="A27" s="284" t="s">
        <v>125</v>
      </c>
      <c r="B27" s="285">
        <v>221677</v>
      </c>
      <c r="C27" s="291">
        <f>B27/'- 3 -'!$D27*100</f>
        <v>0.53235878912768786</v>
      </c>
      <c r="D27" s="285">
        <f>B27/'- 7 -'!$E27</f>
        <v>73.338384072307178</v>
      </c>
    </row>
    <row r="28" spans="1:4" ht="14.1" customHeight="1" x14ac:dyDescent="0.2">
      <c r="A28" s="19" t="s">
        <v>126</v>
      </c>
      <c r="B28" s="20">
        <v>76574</v>
      </c>
      <c r="C28" s="70">
        <f>B28/'- 3 -'!$D28*100</f>
        <v>0.27121731642553898</v>
      </c>
      <c r="D28" s="20">
        <f>B28/'- 7 -'!$E28</f>
        <v>38.518108651911469</v>
      </c>
    </row>
    <row r="29" spans="1:4" ht="14.1" customHeight="1" x14ac:dyDescent="0.2">
      <c r="A29" s="284" t="s">
        <v>127</v>
      </c>
      <c r="B29" s="285">
        <v>1634923</v>
      </c>
      <c r="C29" s="291">
        <f>B29/'- 3 -'!$D29*100</f>
        <v>0.96627175673665577</v>
      </c>
      <c r="D29" s="285">
        <f>B29/'- 7 -'!$E29</f>
        <v>114.20648946945619</v>
      </c>
    </row>
    <row r="30" spans="1:4" ht="14.1" customHeight="1" x14ac:dyDescent="0.2">
      <c r="A30" s="19" t="s">
        <v>128</v>
      </c>
      <c r="B30" s="20">
        <v>51409</v>
      </c>
      <c r="C30" s="70">
        <f>B30/'- 3 -'!$D30*100</f>
        <v>0.33045136768131755</v>
      </c>
      <c r="D30" s="20">
        <f>B30/'- 7 -'!$E30</f>
        <v>50.130667966845444</v>
      </c>
    </row>
    <row r="31" spans="1:4" ht="14.1" customHeight="1" x14ac:dyDescent="0.2">
      <c r="A31" s="284" t="s">
        <v>129</v>
      </c>
      <c r="B31" s="285">
        <v>80325</v>
      </c>
      <c r="C31" s="291">
        <f>B31/'- 3 -'!$D31*100</f>
        <v>0.20104082206161539</v>
      </c>
      <c r="D31" s="285">
        <f>B31/'- 7 -'!$E31</f>
        <v>24.092681463707258</v>
      </c>
    </row>
    <row r="32" spans="1:4" ht="14.1" customHeight="1" x14ac:dyDescent="0.2">
      <c r="A32" s="19" t="s">
        <v>130</v>
      </c>
      <c r="B32" s="20">
        <v>61676</v>
      </c>
      <c r="C32" s="70">
        <f>B32/'- 3 -'!$D32*100</f>
        <v>0.20331251453533172</v>
      </c>
      <c r="D32" s="20">
        <f>B32/'- 7 -'!$E32</f>
        <v>27.098418277680139</v>
      </c>
    </row>
    <row r="33" spans="1:5" ht="14.1" customHeight="1" x14ac:dyDescent="0.2">
      <c r="A33" s="284" t="s">
        <v>131</v>
      </c>
      <c r="B33" s="285">
        <v>37252</v>
      </c>
      <c r="C33" s="291">
        <f>B33/'- 3 -'!$D33*100</f>
        <v>0.13271021425118604</v>
      </c>
      <c r="D33" s="285">
        <f>B33/'- 7 -'!$E33</f>
        <v>18.143385934151571</v>
      </c>
    </row>
    <row r="34" spans="1:5" ht="14.1" customHeight="1" x14ac:dyDescent="0.2">
      <c r="A34" s="19" t="s">
        <v>132</v>
      </c>
      <c r="B34" s="20">
        <v>38139</v>
      </c>
      <c r="C34" s="70">
        <f>B34/'- 3 -'!$D34*100</f>
        <v>0.1252852334045601</v>
      </c>
      <c r="D34" s="20">
        <f>B34/'- 7 -'!$E34</f>
        <v>17.150373235003151</v>
      </c>
    </row>
    <row r="35" spans="1:5" ht="14.1" customHeight="1" x14ac:dyDescent="0.2">
      <c r="A35" s="284" t="s">
        <v>133</v>
      </c>
      <c r="B35" s="285">
        <v>1186699</v>
      </c>
      <c r="C35" s="291">
        <f>B35/'- 3 -'!$D35*100</f>
        <v>0.61944503440916443</v>
      </c>
      <c r="D35" s="285">
        <f>B35/'- 7 -'!$E35</f>
        <v>73.187517345585746</v>
      </c>
    </row>
    <row r="36" spans="1:5" ht="14.1" customHeight="1" x14ac:dyDescent="0.2">
      <c r="A36" s="19" t="s">
        <v>134</v>
      </c>
      <c r="B36" s="20">
        <v>25677</v>
      </c>
      <c r="C36" s="70">
        <f>B36/'- 3 -'!$D36*100</f>
        <v>0.10858011237071145</v>
      </c>
      <c r="D36" s="20">
        <f>B36/'- 7 -'!$E36</f>
        <v>14.958928051267113</v>
      </c>
    </row>
    <row r="37" spans="1:5" ht="14.1" customHeight="1" x14ac:dyDescent="0.2">
      <c r="A37" s="284" t="s">
        <v>135</v>
      </c>
      <c r="B37" s="285">
        <v>83276</v>
      </c>
      <c r="C37" s="291">
        <f>B37/'- 3 -'!$D37*100</f>
        <v>0.15174376040885465</v>
      </c>
      <c r="D37" s="285">
        <f>B37/'- 7 -'!$E37</f>
        <v>19.468836208911956</v>
      </c>
    </row>
    <row r="38" spans="1:5" ht="14.1" customHeight="1" x14ac:dyDescent="0.2">
      <c r="A38" s="19" t="s">
        <v>136</v>
      </c>
      <c r="B38" s="20">
        <v>571056</v>
      </c>
      <c r="C38" s="70">
        <f>B38/'- 3 -'!$D38*100</f>
        <v>0.38720112123533329</v>
      </c>
      <c r="D38" s="20">
        <f>B38/'- 7 -'!$E38</f>
        <v>49.82167161053917</v>
      </c>
    </row>
    <row r="39" spans="1:5" ht="14.1" customHeight="1" x14ac:dyDescent="0.2">
      <c r="A39" s="284" t="s">
        <v>137</v>
      </c>
      <c r="B39" s="285">
        <v>54275</v>
      </c>
      <c r="C39" s="291">
        <f>B39/'- 3 -'!$D39*100</f>
        <v>0.2494975342610336</v>
      </c>
      <c r="D39" s="285">
        <f>B39/'- 7 -'!$E39</f>
        <v>36.255845023380097</v>
      </c>
    </row>
    <row r="40" spans="1:5" ht="14.1" customHeight="1" x14ac:dyDescent="0.2">
      <c r="A40" s="19" t="s">
        <v>138</v>
      </c>
      <c r="B40" s="20">
        <v>416745</v>
      </c>
      <c r="C40" s="70">
        <f>B40/'- 3 -'!$D40*100</f>
        <v>0.39156161672962969</v>
      </c>
      <c r="D40" s="20">
        <f>B40/'- 7 -'!$E40</f>
        <v>51.071253065231055</v>
      </c>
    </row>
    <row r="41" spans="1:5" ht="14.1" customHeight="1" x14ac:dyDescent="0.2">
      <c r="A41" s="284" t="s">
        <v>139</v>
      </c>
      <c r="B41" s="285">
        <v>121206</v>
      </c>
      <c r="C41" s="291">
        <f>B41/'- 3 -'!$D41*100</f>
        <v>0.18807127896196993</v>
      </c>
      <c r="D41" s="285">
        <f>B41/'- 7 -'!$E41</f>
        <v>26.9466429524233</v>
      </c>
    </row>
    <row r="42" spans="1:5" ht="14.1" customHeight="1" x14ac:dyDescent="0.2">
      <c r="A42" s="19" t="s">
        <v>140</v>
      </c>
      <c r="B42" s="20">
        <v>15935</v>
      </c>
      <c r="C42" s="70">
        <f>B42/'- 3 -'!$D42*100</f>
        <v>7.796266314977672E-2</v>
      </c>
      <c r="D42" s="20">
        <f>B42/'- 7 -'!$E42</f>
        <v>11.630537916940368</v>
      </c>
    </row>
    <row r="43" spans="1:5" ht="14.1" customHeight="1" x14ac:dyDescent="0.2">
      <c r="A43" s="284" t="s">
        <v>141</v>
      </c>
      <c r="B43" s="285">
        <v>22024</v>
      </c>
      <c r="C43" s="291">
        <f>B43/'- 3 -'!$D43*100</f>
        <v>0.16874224583639771</v>
      </c>
      <c r="D43" s="285">
        <f>B43/'- 7 -'!$E43</f>
        <v>21.969077306733165</v>
      </c>
    </row>
    <row r="44" spans="1:5" ht="14.1" customHeight="1" x14ac:dyDescent="0.2">
      <c r="A44" s="19" t="s">
        <v>142</v>
      </c>
      <c r="B44" s="20">
        <v>14148</v>
      </c>
      <c r="C44" s="70">
        <f>B44/'- 3 -'!$D44*100</f>
        <v>0.13303025103018989</v>
      </c>
      <c r="D44" s="20">
        <f>B44/'- 7 -'!$E44</f>
        <v>20.445086705202311</v>
      </c>
    </row>
    <row r="45" spans="1:5" ht="14.1" customHeight="1" x14ac:dyDescent="0.2">
      <c r="A45" s="284" t="s">
        <v>143</v>
      </c>
      <c r="B45" s="285">
        <v>72492</v>
      </c>
      <c r="C45" s="291">
        <f>B45/'- 3 -'!$D45*100</f>
        <v>0.34264871921971835</v>
      </c>
      <c r="D45" s="285">
        <f>B45/'- 7 -'!$E45</f>
        <v>37.854830287206269</v>
      </c>
    </row>
    <row r="46" spans="1:5" ht="14.1" customHeight="1" x14ac:dyDescent="0.2">
      <c r="A46" s="19" t="s">
        <v>144</v>
      </c>
      <c r="B46" s="20">
        <v>1021377</v>
      </c>
      <c r="C46" s="70">
        <f>B46/'- 3 -'!$D46*100</f>
        <v>0.24706864018916547</v>
      </c>
      <c r="D46" s="20">
        <f>B46/'- 7 -'!$E46</f>
        <v>34.57641749916214</v>
      </c>
    </row>
    <row r="47" spans="1:5" ht="5.0999999999999996" customHeight="1" x14ac:dyDescent="0.2">
      <c r="A47" s="21"/>
      <c r="B47" s="22"/>
      <c r="C47"/>
      <c r="D47" s="22"/>
    </row>
    <row r="48" spans="1:5" ht="14.1" customHeight="1" x14ac:dyDescent="0.2">
      <c r="A48" s="286" t="s">
        <v>145</v>
      </c>
      <c r="B48" s="287">
        <f>SUM(B11:B46)</f>
        <v>8752329</v>
      </c>
      <c r="C48" s="294">
        <f>B48/'- 3 -'!$D48*100</f>
        <v>0.36290287054050191</v>
      </c>
      <c r="D48" s="287">
        <f>B48/'- 7 -'!$E48</f>
        <v>48.563450907176325</v>
      </c>
      <c r="E48" s="6"/>
    </row>
    <row r="49" spans="1:4" ht="5.0999999999999996" customHeight="1" x14ac:dyDescent="0.2">
      <c r="A49" s="21" t="s">
        <v>7</v>
      </c>
      <c r="B49" s="22"/>
      <c r="C49"/>
      <c r="D49" s="22"/>
    </row>
    <row r="50" spans="1:4" ht="14.1" customHeight="1" x14ac:dyDescent="0.2">
      <c r="A50" s="19" t="s">
        <v>146</v>
      </c>
      <c r="B50" s="20">
        <v>16713</v>
      </c>
      <c r="C50" s="70">
        <f>B50/'- 3 -'!$D50*100</f>
        <v>0.52625844822244117</v>
      </c>
      <c r="D50" s="20">
        <f>B50/'- 7 -'!$E50</f>
        <v>87.963157894736838</v>
      </c>
    </row>
    <row r="51" spans="1:4" ht="14.1" customHeight="1" x14ac:dyDescent="0.2">
      <c r="A51" s="284" t="s">
        <v>599</v>
      </c>
      <c r="B51" s="285">
        <v>2194484</v>
      </c>
      <c r="C51" s="291">
        <f>B51/'- 3 -'!$D51*100</f>
        <v>7.2732917972148368</v>
      </c>
      <c r="D51" s="285">
        <f>B51/'- 7 -'!$E51</f>
        <v>1778.3500810372771</v>
      </c>
    </row>
    <row r="52" spans="1:4" ht="50.1" customHeight="1" x14ac:dyDescent="0.2"/>
  </sheetData>
  <mergeCells count="2">
    <mergeCell ref="D8:D9"/>
    <mergeCell ref="B6:D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J52"/>
  <sheetViews>
    <sheetView showGridLines="0" showZeros="0" workbookViewId="0"/>
  </sheetViews>
  <sheetFormatPr defaultColWidth="15.83203125" defaultRowHeight="12" x14ac:dyDescent="0.2"/>
  <cols>
    <col min="1" max="1" width="32.83203125" style="2" customWidth="1"/>
    <col min="2" max="2" width="15.83203125" style="2" customWidth="1"/>
    <col min="3" max="3" width="7.83203125" style="2" customWidth="1"/>
    <col min="4" max="4" width="9.83203125" style="2" customWidth="1"/>
    <col min="5" max="5" width="15.83203125" style="2" customWidth="1"/>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x14ac:dyDescent="0.2">
      <c r="A1" s="7"/>
      <c r="B1" s="8"/>
      <c r="C1" s="8"/>
      <c r="D1" s="8"/>
      <c r="E1" s="8"/>
      <c r="F1" s="8"/>
      <c r="G1" s="8"/>
    </row>
    <row r="2" spans="1:10" ht="15.95" customHeight="1" x14ac:dyDescent="0.2">
      <c r="A2" s="134"/>
      <c r="B2" s="9" t="s">
        <v>263</v>
      </c>
      <c r="C2" s="10"/>
      <c r="D2" s="10"/>
      <c r="E2" s="10"/>
      <c r="F2" s="10"/>
      <c r="G2" s="10"/>
      <c r="H2" s="73"/>
      <c r="I2" s="135"/>
      <c r="J2" s="395" t="s">
        <v>405</v>
      </c>
    </row>
    <row r="3" spans="1:10" ht="15.95" customHeight="1" x14ac:dyDescent="0.2">
      <c r="A3" s="541"/>
      <c r="B3" s="11" t="str">
        <f>OPYEAR</f>
        <v>OPERATING FUND 2019/2020 ACTUAL</v>
      </c>
      <c r="C3" s="12"/>
      <c r="D3" s="12"/>
      <c r="E3" s="12"/>
      <c r="F3" s="12"/>
      <c r="G3" s="12"/>
      <c r="H3" s="75"/>
      <c r="I3" s="12"/>
      <c r="J3" s="12"/>
    </row>
    <row r="4" spans="1:10" ht="15.95" customHeight="1" x14ac:dyDescent="0.2">
      <c r="B4" s="8"/>
      <c r="C4" s="8"/>
      <c r="D4" s="8"/>
      <c r="E4" s="8"/>
      <c r="F4" s="8"/>
      <c r="G4" s="8"/>
    </row>
    <row r="5" spans="1:10" ht="15.95" customHeight="1" x14ac:dyDescent="0.2">
      <c r="B5" s="393" t="s">
        <v>249</v>
      </c>
      <c r="C5" s="166"/>
      <c r="D5" s="166"/>
      <c r="E5" s="166"/>
      <c r="F5" s="166"/>
      <c r="G5" s="166"/>
      <c r="H5" s="39"/>
      <c r="I5" s="39"/>
      <c r="J5" s="183"/>
    </row>
    <row r="6" spans="1:10" ht="15.95" customHeight="1" x14ac:dyDescent="0.2">
      <c r="B6" s="649" t="s">
        <v>489</v>
      </c>
      <c r="C6" s="657"/>
      <c r="D6" s="650"/>
      <c r="E6" s="649" t="s">
        <v>490</v>
      </c>
      <c r="F6" s="657"/>
      <c r="G6" s="650"/>
      <c r="H6" s="649" t="s">
        <v>491</v>
      </c>
      <c r="I6" s="657"/>
      <c r="J6" s="650"/>
    </row>
    <row r="7" spans="1:10" ht="15.95" customHeight="1" x14ac:dyDescent="0.2">
      <c r="B7" s="651"/>
      <c r="C7" s="658"/>
      <c r="D7" s="652"/>
      <c r="E7" s="651"/>
      <c r="F7" s="658"/>
      <c r="G7" s="652"/>
      <c r="H7" s="651"/>
      <c r="I7" s="658"/>
      <c r="J7" s="652"/>
    </row>
    <row r="8" spans="1:10" ht="15.95" customHeight="1" x14ac:dyDescent="0.2">
      <c r="A8" s="67"/>
      <c r="B8" s="137"/>
      <c r="C8" s="138"/>
      <c r="D8" s="602" t="s">
        <v>471</v>
      </c>
      <c r="E8" s="137"/>
      <c r="F8" s="139"/>
      <c r="G8" s="602" t="s">
        <v>471</v>
      </c>
      <c r="H8" s="137"/>
      <c r="I8" s="139"/>
      <c r="J8" s="602" t="s">
        <v>471</v>
      </c>
    </row>
    <row r="9" spans="1:10" ht="15.95" customHeight="1" x14ac:dyDescent="0.2">
      <c r="A9" s="35" t="s">
        <v>42</v>
      </c>
      <c r="B9" s="77" t="s">
        <v>43</v>
      </c>
      <c r="C9" s="77" t="s">
        <v>44</v>
      </c>
      <c r="D9" s="604"/>
      <c r="E9" s="77" t="s">
        <v>43</v>
      </c>
      <c r="F9" s="77" t="s">
        <v>44</v>
      </c>
      <c r="G9" s="604"/>
      <c r="H9" s="77" t="s">
        <v>43</v>
      </c>
      <c r="I9" s="77" t="s">
        <v>44</v>
      </c>
      <c r="J9" s="604"/>
    </row>
    <row r="10" spans="1:10" ht="5.0999999999999996" customHeight="1" x14ac:dyDescent="0.2">
      <c r="A10" s="6"/>
    </row>
    <row r="11" spans="1:10" ht="14.1" customHeight="1" x14ac:dyDescent="0.2">
      <c r="A11" s="284" t="s">
        <v>110</v>
      </c>
      <c r="B11" s="285">
        <v>0</v>
      </c>
      <c r="C11" s="291">
        <f>B11/'- 3 -'!$D11*100</f>
        <v>0</v>
      </c>
      <c r="D11" s="285">
        <f>B11/'- 7 -'!$E11</f>
        <v>0</v>
      </c>
      <c r="E11" s="285">
        <v>156651</v>
      </c>
      <c r="F11" s="291">
        <f>E11/'- 3 -'!$D11*100</f>
        <v>0.74532829872396233</v>
      </c>
      <c r="G11" s="285">
        <f>E11/'- 7 -'!$E11</f>
        <v>79.11666666666666</v>
      </c>
      <c r="H11" s="285">
        <v>229777</v>
      </c>
      <c r="I11" s="291">
        <f>H11/'- 3 -'!$D11*100</f>
        <v>1.0932537966300624</v>
      </c>
      <c r="J11" s="285">
        <f>H11/'- 7 -'!$E11</f>
        <v>116.0489898989899</v>
      </c>
    </row>
    <row r="12" spans="1:10" ht="14.1" customHeight="1" x14ac:dyDescent="0.2">
      <c r="A12" s="19" t="s">
        <v>111</v>
      </c>
      <c r="B12" s="20">
        <v>0</v>
      </c>
      <c r="C12" s="70">
        <f>B12/'- 3 -'!$D12*100</f>
        <v>0</v>
      </c>
      <c r="D12" s="20">
        <f>B12/'- 7 -'!$E12</f>
        <v>0</v>
      </c>
      <c r="E12" s="20">
        <v>0</v>
      </c>
      <c r="F12" s="70">
        <f>E12/'- 3 -'!$D12*100</f>
        <v>0</v>
      </c>
      <c r="G12" s="20">
        <f>E12/'- 7 -'!$E12</f>
        <v>0</v>
      </c>
      <c r="H12" s="20">
        <v>252539</v>
      </c>
      <c r="I12" s="70">
        <f>H12/'- 3 -'!$D12*100</f>
        <v>0.75277109628932526</v>
      </c>
      <c r="J12" s="20">
        <f>H12/'- 7 -'!$E12</f>
        <v>116.09067005001471</v>
      </c>
    </row>
    <row r="13" spans="1:10" ht="14.1" customHeight="1" x14ac:dyDescent="0.2">
      <c r="A13" s="284" t="s">
        <v>112</v>
      </c>
      <c r="B13" s="285">
        <v>133179</v>
      </c>
      <c r="C13" s="291">
        <f>B13/'- 3 -'!$D13*100</f>
        <v>0.12739071739973604</v>
      </c>
      <c r="D13" s="285">
        <f>B13/'- 7 -'!$E13</f>
        <v>15.37863741339492</v>
      </c>
      <c r="E13" s="285">
        <v>491407</v>
      </c>
      <c r="F13" s="291">
        <f>E13/'- 3 -'!$D13*100</f>
        <v>0.47004925900669081</v>
      </c>
      <c r="G13" s="285">
        <f>E13/'- 7 -'!$E13</f>
        <v>56.744457274826793</v>
      </c>
      <c r="H13" s="285">
        <v>879833</v>
      </c>
      <c r="I13" s="291">
        <f>H13/'- 3 -'!$D13*100</f>
        <v>0.84159332223520178</v>
      </c>
      <c r="J13" s="285">
        <f>H13/'- 7 -'!$E13</f>
        <v>101.59734411085451</v>
      </c>
    </row>
    <row r="14" spans="1:10" ht="14.1" customHeight="1" x14ac:dyDescent="0.2">
      <c r="A14" s="19" t="s">
        <v>358</v>
      </c>
      <c r="B14" s="20">
        <v>192124</v>
      </c>
      <c r="C14" s="70">
        <f>B14/'- 3 -'!$D14*100</f>
        <v>0.21446959576113667</v>
      </c>
      <c r="D14" s="20">
        <f>B14/'- 7 -'!$E14</f>
        <v>34.713760181551429</v>
      </c>
      <c r="E14" s="20">
        <v>1861244</v>
      </c>
      <c r="F14" s="70">
        <f>E14/'- 3 -'!$D14*100</f>
        <v>2.077721931111371</v>
      </c>
      <c r="G14" s="20">
        <f>E14/'- 7 -'!$E14</f>
        <v>336.29727600586864</v>
      </c>
      <c r="H14" s="20">
        <v>689471</v>
      </c>
      <c r="I14" s="70">
        <f>H14/'- 3 -'!$D14*100</f>
        <v>0.76966212789150057</v>
      </c>
      <c r="J14" s="20">
        <f>H14/'- 7 -'!$E14</f>
        <v>124.57647637012786</v>
      </c>
    </row>
    <row r="15" spans="1:10" ht="14.1" customHeight="1" x14ac:dyDescent="0.2">
      <c r="A15" s="284" t="s">
        <v>113</v>
      </c>
      <c r="B15" s="285">
        <v>71951</v>
      </c>
      <c r="C15" s="291">
        <f>B15/'- 3 -'!$D15*100</f>
        <v>0.36477473812630368</v>
      </c>
      <c r="D15" s="285">
        <f>B15/'- 7 -'!$E15</f>
        <v>49.433871521813806</v>
      </c>
      <c r="E15" s="285">
        <v>162775</v>
      </c>
      <c r="F15" s="291">
        <f>E15/'- 3 -'!$D15*100</f>
        <v>0.82523117119302147</v>
      </c>
      <c r="G15" s="285">
        <f>E15/'- 7 -'!$E15</f>
        <v>111.83442116111301</v>
      </c>
      <c r="H15" s="285">
        <v>163401</v>
      </c>
      <c r="I15" s="291">
        <f>H15/'- 3 -'!$D15*100</f>
        <v>0.82840484474956777</v>
      </c>
      <c r="J15" s="285">
        <f>H15/'- 7 -'!$E15</f>
        <v>112.26451391274476</v>
      </c>
    </row>
    <row r="16" spans="1:10" ht="14.1" customHeight="1" x14ac:dyDescent="0.2">
      <c r="A16" s="19" t="s">
        <v>114</v>
      </c>
      <c r="B16" s="20">
        <v>0</v>
      </c>
      <c r="C16" s="70">
        <f>B16/'- 3 -'!$D16*100</f>
        <v>0</v>
      </c>
      <c r="D16" s="20">
        <f>B16/'- 7 -'!$E16</f>
        <v>0</v>
      </c>
      <c r="E16" s="20">
        <v>0</v>
      </c>
      <c r="F16" s="70">
        <f>E16/'- 3 -'!$D16*100</f>
        <v>0</v>
      </c>
      <c r="G16" s="20">
        <f>E16/'- 7 -'!$E16</f>
        <v>0</v>
      </c>
      <c r="H16" s="20">
        <v>120224</v>
      </c>
      <c r="I16" s="70">
        <f>H16/'- 3 -'!$D16*100</f>
        <v>0.83643664519777361</v>
      </c>
      <c r="J16" s="20">
        <f>H16/'- 7 -'!$E16</f>
        <v>132.09976925612571</v>
      </c>
    </row>
    <row r="17" spans="1:10" ht="14.1" customHeight="1" x14ac:dyDescent="0.2">
      <c r="A17" s="284" t="s">
        <v>115</v>
      </c>
      <c r="B17" s="285">
        <v>0</v>
      </c>
      <c r="C17" s="291">
        <f>B17/'- 3 -'!$D17*100</f>
        <v>0</v>
      </c>
      <c r="D17" s="285">
        <f>B17/'- 7 -'!$E17</f>
        <v>0</v>
      </c>
      <c r="E17" s="285">
        <v>36849</v>
      </c>
      <c r="F17" s="291">
        <f>E17/'- 3 -'!$D17*100</f>
        <v>0.20471359596272726</v>
      </c>
      <c r="G17" s="285">
        <f>E17/'- 7 -'!$E17</f>
        <v>25.777544596012593</v>
      </c>
      <c r="H17" s="285">
        <v>184708</v>
      </c>
      <c r="I17" s="291">
        <f>H17/'- 3 -'!$D17*100</f>
        <v>1.0261401634531038</v>
      </c>
      <c r="J17" s="285">
        <f>H17/'- 7 -'!$E17</f>
        <v>129.21161245190626</v>
      </c>
    </row>
    <row r="18" spans="1:10" ht="14.1" customHeight="1" x14ac:dyDescent="0.2">
      <c r="A18" s="19" t="s">
        <v>116</v>
      </c>
      <c r="B18" s="20">
        <v>0</v>
      </c>
      <c r="C18" s="70">
        <f>B18/'- 3 -'!$D18*100</f>
        <v>0</v>
      </c>
      <c r="D18" s="20">
        <f>B18/'- 7 -'!$E18</f>
        <v>0</v>
      </c>
      <c r="E18" s="20">
        <v>2927729</v>
      </c>
      <c r="F18" s="70">
        <f>E18/'- 3 -'!$D18*100</f>
        <v>2.1982796133964477</v>
      </c>
      <c r="G18" s="20">
        <f>E18/'- 7 -'!$E18</f>
        <v>491.51834130781498</v>
      </c>
      <c r="H18" s="20">
        <v>1665314</v>
      </c>
      <c r="I18" s="70">
        <f>H18/'- 3 -'!$D18*100</f>
        <v>1.250397771140598</v>
      </c>
      <c r="J18" s="20">
        <f>H18/'- 7 -'!$E18</f>
        <v>279.57928313606982</v>
      </c>
    </row>
    <row r="19" spans="1:10" ht="14.1" customHeight="1" x14ac:dyDescent="0.2">
      <c r="A19" s="284" t="s">
        <v>117</v>
      </c>
      <c r="B19" s="285">
        <v>52290</v>
      </c>
      <c r="C19" s="291">
        <f>B19/'- 3 -'!$D19*100</f>
        <v>0.10514992732710271</v>
      </c>
      <c r="D19" s="285">
        <f>B19/'- 7 -'!$E19</f>
        <v>11.872488250119201</v>
      </c>
      <c r="E19" s="285">
        <v>245526</v>
      </c>
      <c r="F19" s="291">
        <f>E19/'- 3 -'!$D19*100</f>
        <v>0.49372807529000234</v>
      </c>
      <c r="G19" s="285">
        <f>E19/'- 7 -'!$E19</f>
        <v>55.746883727266535</v>
      </c>
      <c r="H19" s="285">
        <v>517491</v>
      </c>
      <c r="I19" s="291">
        <f>H19/'- 3 -'!$D19*100</f>
        <v>1.0406223186542305</v>
      </c>
      <c r="J19" s="285">
        <f>H19/'- 7 -'!$E19</f>
        <v>117.49676452557728</v>
      </c>
    </row>
    <row r="20" spans="1:10" ht="14.1" customHeight="1" x14ac:dyDescent="0.2">
      <c r="A20" s="19" t="s">
        <v>118</v>
      </c>
      <c r="B20" s="20">
        <v>11178</v>
      </c>
      <c r="C20" s="70">
        <f>B20/'- 3 -'!$D20*100</f>
        <v>1.2627968326642364E-2</v>
      </c>
      <c r="D20" s="20">
        <f>B20/'- 7 -'!$E20</f>
        <v>1.3936786983355152</v>
      </c>
      <c r="E20" s="20">
        <v>530838</v>
      </c>
      <c r="F20" s="70">
        <f>E20/'- 3 -'!$D20*100</f>
        <v>0.59969631871338158</v>
      </c>
      <c r="G20" s="20">
        <f>E20/'- 7 -'!$E20</f>
        <v>66.185150551711246</v>
      </c>
      <c r="H20" s="20">
        <v>914944</v>
      </c>
      <c r="I20" s="70">
        <f>H20/'- 3 -'!$D20*100</f>
        <v>1.0336271115272382</v>
      </c>
      <c r="J20" s="20">
        <f>H20/'- 7 -'!$E20</f>
        <v>114.07568106726514</v>
      </c>
    </row>
    <row r="21" spans="1:10" ht="14.1" customHeight="1" x14ac:dyDescent="0.2">
      <c r="A21" s="284" t="s">
        <v>119</v>
      </c>
      <c r="B21" s="285">
        <v>0</v>
      </c>
      <c r="C21" s="291">
        <f>B21/'- 3 -'!$D21*100</f>
        <v>0</v>
      </c>
      <c r="D21" s="285">
        <f>B21/'- 7 -'!$E21</f>
        <v>0</v>
      </c>
      <c r="E21" s="285">
        <v>0</v>
      </c>
      <c r="F21" s="291">
        <f>E21/'- 3 -'!$D21*100</f>
        <v>0</v>
      </c>
      <c r="G21" s="285">
        <f>E21/'- 7 -'!$E21</f>
        <v>0</v>
      </c>
      <c r="H21" s="285">
        <v>483159</v>
      </c>
      <c r="I21" s="291">
        <f>H21/'- 3 -'!$D21*100</f>
        <v>1.2846834130000362</v>
      </c>
      <c r="J21" s="285">
        <f>H21/'- 7 -'!$E21</f>
        <v>171.15090329436768</v>
      </c>
    </row>
    <row r="22" spans="1:10" ht="14.1" customHeight="1" x14ac:dyDescent="0.2">
      <c r="A22" s="19" t="s">
        <v>120</v>
      </c>
      <c r="B22" s="20">
        <v>23236</v>
      </c>
      <c r="C22" s="70">
        <f>B22/'- 3 -'!$D22*100</f>
        <v>0.1125597574064984</v>
      </c>
      <c r="D22" s="20">
        <f>B22/'- 7 -'!$E22</f>
        <v>15.137459283387622</v>
      </c>
      <c r="E22" s="20">
        <v>76293</v>
      </c>
      <c r="F22" s="70">
        <f>E22/'- 3 -'!$D22*100</f>
        <v>0.36957830830667854</v>
      </c>
      <c r="G22" s="20">
        <f>E22/'- 7 -'!$E22</f>
        <v>49.702280130293161</v>
      </c>
      <c r="H22" s="20">
        <v>181283</v>
      </c>
      <c r="I22" s="70">
        <f>H22/'- 3 -'!$D22*100</f>
        <v>0.87817053287666758</v>
      </c>
      <c r="J22" s="20">
        <f>H22/'- 7 -'!$E22</f>
        <v>118.09967426710098</v>
      </c>
    </row>
    <row r="23" spans="1:10" ht="14.1" customHeight="1" x14ac:dyDescent="0.2">
      <c r="A23" s="284" t="s">
        <v>121</v>
      </c>
      <c r="B23" s="285">
        <v>0</v>
      </c>
      <c r="C23" s="291">
        <f>B23/'- 3 -'!$D23*100</f>
        <v>0</v>
      </c>
      <c r="D23" s="285">
        <f>B23/'- 7 -'!$E23</f>
        <v>0</v>
      </c>
      <c r="E23" s="285">
        <v>90772</v>
      </c>
      <c r="F23" s="291">
        <f>E23/'- 3 -'!$D23*100</f>
        <v>0.58486894829903346</v>
      </c>
      <c r="G23" s="285">
        <f>E23/'- 7 -'!$E23</f>
        <v>96.689390711546665</v>
      </c>
      <c r="H23" s="285">
        <v>99448</v>
      </c>
      <c r="I23" s="291">
        <f>H23/'- 3 -'!$D23*100</f>
        <v>0.64077080124313968</v>
      </c>
      <c r="J23" s="285">
        <f>H23/'- 7 -'!$E23</f>
        <v>105.93097571367704</v>
      </c>
    </row>
    <row r="24" spans="1:10" ht="14.1" customHeight="1" x14ac:dyDescent="0.2">
      <c r="A24" s="19" t="s">
        <v>122</v>
      </c>
      <c r="B24" s="20">
        <v>154711</v>
      </c>
      <c r="C24" s="70">
        <f>B24/'- 3 -'!$D24*100</f>
        <v>0.26472476878354767</v>
      </c>
      <c r="D24" s="20">
        <f>B24/'- 7 -'!$E24</f>
        <v>41.316864734944588</v>
      </c>
      <c r="E24" s="20">
        <v>106838</v>
      </c>
      <c r="F24" s="70">
        <f>E24/'- 3 -'!$D24*100</f>
        <v>0.18280965702048765</v>
      </c>
      <c r="G24" s="20">
        <f>E24/'- 7 -'!$E24</f>
        <v>28.531980237681932</v>
      </c>
      <c r="H24" s="20">
        <v>521071</v>
      </c>
      <c r="I24" s="70">
        <f>H24/'- 3 -'!$D24*100</f>
        <v>0.89160046793577674</v>
      </c>
      <c r="J24" s="20">
        <f>H24/'- 7 -'!$E24</f>
        <v>139.15636266524237</v>
      </c>
    </row>
    <row r="25" spans="1:10" ht="14.1" customHeight="1" x14ac:dyDescent="0.2">
      <c r="A25" s="284" t="s">
        <v>123</v>
      </c>
      <c r="B25" s="285">
        <v>466674</v>
      </c>
      <c r="C25" s="291">
        <f>B25/'- 3 -'!$D25*100</f>
        <v>0.24045089109717122</v>
      </c>
      <c r="D25" s="285">
        <f>B25/'- 7 -'!$E25</f>
        <v>31.088594440114317</v>
      </c>
      <c r="E25" s="285">
        <v>1755484</v>
      </c>
      <c r="F25" s="291">
        <f>E25/'- 3 -'!$D25*100</f>
        <v>0.90450226947896495</v>
      </c>
      <c r="G25" s="285">
        <f>E25/'- 7 -'!$E25</f>
        <v>116.94572682881335</v>
      </c>
      <c r="H25" s="285">
        <v>4136823</v>
      </c>
      <c r="I25" s="291">
        <f>H25/'- 3 -'!$D25*100</f>
        <v>2.1314724554212856</v>
      </c>
      <c r="J25" s="285">
        <f>H25/'- 7 -'!$E25</f>
        <v>275.58426764194496</v>
      </c>
    </row>
    <row r="26" spans="1:10" ht="14.1" customHeight="1" x14ac:dyDescent="0.2">
      <c r="A26" s="19" t="s">
        <v>124</v>
      </c>
      <c r="B26" s="20">
        <v>21032</v>
      </c>
      <c r="C26" s="70">
        <f>B26/'- 3 -'!$D26*100</f>
        <v>5.1411299070296859E-2</v>
      </c>
      <c r="D26" s="20">
        <f>B26/'- 7 -'!$E26</f>
        <v>6.867591836734694</v>
      </c>
      <c r="E26" s="20">
        <v>330984</v>
      </c>
      <c r="F26" s="70">
        <f>E26/'- 3 -'!$D26*100</f>
        <v>0.80906796364982581</v>
      </c>
      <c r="G26" s="20">
        <f>E26/'- 7 -'!$E26</f>
        <v>108.07640816326531</v>
      </c>
      <c r="H26" s="20">
        <v>500241</v>
      </c>
      <c r="I26" s="70">
        <f>H26/'- 3 -'!$D26*100</f>
        <v>1.2228052328938936</v>
      </c>
      <c r="J26" s="20">
        <f>H26/'- 7 -'!$E26</f>
        <v>163.34399999999999</v>
      </c>
    </row>
    <row r="27" spans="1:10" ht="14.1" customHeight="1" x14ac:dyDescent="0.2">
      <c r="A27" s="284" t="s">
        <v>125</v>
      </c>
      <c r="B27" s="285">
        <v>0</v>
      </c>
      <c r="C27" s="291">
        <f>B27/'- 3 -'!$D27*100</f>
        <v>0</v>
      </c>
      <c r="D27" s="285">
        <f>B27/'- 7 -'!$E27</f>
        <v>0</v>
      </c>
      <c r="E27" s="285">
        <v>560795</v>
      </c>
      <c r="F27" s="291">
        <f>E27/'- 3 -'!$D27*100</f>
        <v>1.3467529204602267</v>
      </c>
      <c r="G27" s="285">
        <f>E27/'- 7 -'!$E27</f>
        <v>185.53029450881013</v>
      </c>
      <c r="H27" s="285">
        <v>797656</v>
      </c>
      <c r="I27" s="291">
        <f>H27/'- 3 -'!$D27*100</f>
        <v>1.9155761865255978</v>
      </c>
      <c r="J27" s="285">
        <f>H27/'- 7 -'!$E27</f>
        <v>263.89206857536078</v>
      </c>
    </row>
    <row r="28" spans="1:10" ht="14.1" customHeight="1" x14ac:dyDescent="0.2">
      <c r="A28" s="19" t="s">
        <v>126</v>
      </c>
      <c r="B28" s="20">
        <v>48119</v>
      </c>
      <c r="C28" s="70">
        <f>B28/'- 3 -'!$D28*100</f>
        <v>0.17043260178494671</v>
      </c>
      <c r="D28" s="20">
        <f>B28/'- 7 -'!$E28</f>
        <v>24.204728370221329</v>
      </c>
      <c r="E28" s="20">
        <v>364</v>
      </c>
      <c r="F28" s="70">
        <f>E28/'- 3 -'!$D28*100</f>
        <v>1.289250962192078E-3</v>
      </c>
      <c r="G28" s="20">
        <f>E28/'- 7 -'!$E28</f>
        <v>0.18309859154929578</v>
      </c>
      <c r="H28" s="20">
        <v>269530</v>
      </c>
      <c r="I28" s="70">
        <f>H28/'- 3 -'!$D28*100</f>
        <v>0.95464783472426029</v>
      </c>
      <c r="J28" s="20">
        <f>H28/'- 7 -'!$E28</f>
        <v>135.5784708249497</v>
      </c>
    </row>
    <row r="29" spans="1:10" ht="14.1" customHeight="1" x14ac:dyDescent="0.2">
      <c r="A29" s="284" t="s">
        <v>127</v>
      </c>
      <c r="B29" s="285">
        <v>439022</v>
      </c>
      <c r="C29" s="291">
        <f>B29/'- 3 -'!$D29*100</f>
        <v>0.25947066570477023</v>
      </c>
      <c r="D29" s="285">
        <f>B29/'- 7 -'!$E29</f>
        <v>30.667598058048966</v>
      </c>
      <c r="E29" s="285">
        <v>769218</v>
      </c>
      <c r="F29" s="291">
        <f>E29/'- 3 -'!$D29*100</f>
        <v>0.45462301782619541</v>
      </c>
      <c r="G29" s="285">
        <f>E29/'- 7 -'!$E29</f>
        <v>53.733226223324365</v>
      </c>
      <c r="H29" s="285">
        <v>3529305</v>
      </c>
      <c r="I29" s="291">
        <f>H29/'- 3 -'!$D29*100</f>
        <v>2.085888902663589</v>
      </c>
      <c r="J29" s="285">
        <f>H29/'- 7 -'!$E29</f>
        <v>246.53731968844957</v>
      </c>
    </row>
    <row r="30" spans="1:10" ht="14.1" customHeight="1" x14ac:dyDescent="0.2">
      <c r="A30" s="19" t="s">
        <v>128</v>
      </c>
      <c r="B30" s="20">
        <v>0</v>
      </c>
      <c r="C30" s="70">
        <f>B30/'- 3 -'!$D30*100</f>
        <v>0</v>
      </c>
      <c r="D30" s="20">
        <f>B30/'- 7 -'!$E30</f>
        <v>0</v>
      </c>
      <c r="E30" s="20">
        <v>0</v>
      </c>
      <c r="F30" s="70">
        <f>E30/'- 3 -'!$D30*100</f>
        <v>0</v>
      </c>
      <c r="G30" s="20">
        <f>E30/'- 7 -'!$E30</f>
        <v>0</v>
      </c>
      <c r="H30" s="20">
        <v>394546</v>
      </c>
      <c r="I30" s="70">
        <f>H30/'- 3 -'!$D30*100</f>
        <v>2.5360980628526741</v>
      </c>
      <c r="J30" s="20">
        <f>H30/'- 7 -'!$E30</f>
        <v>384.73525109702587</v>
      </c>
    </row>
    <row r="31" spans="1:10" ht="14.1" customHeight="1" x14ac:dyDescent="0.2">
      <c r="A31" s="284" t="s">
        <v>129</v>
      </c>
      <c r="B31" s="285">
        <v>94089</v>
      </c>
      <c r="C31" s="291">
        <f>B31/'- 3 -'!$D31*100</f>
        <v>0.23548994593159453</v>
      </c>
      <c r="D31" s="285">
        <f>B31/'- 7 -'!$E31</f>
        <v>28.221055788842232</v>
      </c>
      <c r="E31" s="285">
        <v>110703</v>
      </c>
      <c r="F31" s="291">
        <f>E31/'- 3 -'!$D31*100</f>
        <v>0.27707217086445074</v>
      </c>
      <c r="G31" s="285">
        <f>E31/'- 7 -'!$E31</f>
        <v>33.204259148170365</v>
      </c>
      <c r="H31" s="285">
        <v>396627</v>
      </c>
      <c r="I31" s="291">
        <f>H31/'- 3 -'!$D31*100</f>
        <v>0.99269490360202084</v>
      </c>
      <c r="J31" s="285">
        <f>H31/'- 7 -'!$E31</f>
        <v>118.96430713857228</v>
      </c>
    </row>
    <row r="32" spans="1:10" ht="14.1" customHeight="1" x14ac:dyDescent="0.2">
      <c r="A32" s="19" t="s">
        <v>130</v>
      </c>
      <c r="B32" s="20">
        <v>0</v>
      </c>
      <c r="C32" s="70">
        <f>B32/'- 3 -'!$D32*100</f>
        <v>0</v>
      </c>
      <c r="D32" s="20">
        <f>B32/'- 7 -'!$E32</f>
        <v>0</v>
      </c>
      <c r="E32" s="20">
        <v>128269</v>
      </c>
      <c r="F32" s="70">
        <f>E32/'- 3 -'!$D32*100</f>
        <v>0.42283372668351488</v>
      </c>
      <c r="G32" s="20">
        <f>E32/'- 7 -'!$E32</f>
        <v>56.357205623901585</v>
      </c>
      <c r="H32" s="20">
        <v>297600</v>
      </c>
      <c r="I32" s="70">
        <f>H32/'- 3 -'!$D32*100</f>
        <v>0.98102672556123482</v>
      </c>
      <c r="J32" s="20">
        <f>H32/'- 7 -'!$E32</f>
        <v>130.75571177504395</v>
      </c>
    </row>
    <row r="33" spans="1:10" ht="14.1" customHeight="1" x14ac:dyDescent="0.2">
      <c r="A33" s="284" t="s">
        <v>131</v>
      </c>
      <c r="B33" s="285">
        <v>0</v>
      </c>
      <c r="C33" s="291">
        <f>B33/'- 3 -'!$D33*100</f>
        <v>0</v>
      </c>
      <c r="D33" s="285">
        <f>B33/'- 7 -'!$E33</f>
        <v>0</v>
      </c>
      <c r="E33" s="285">
        <v>90729</v>
      </c>
      <c r="F33" s="291">
        <f>E33/'- 3 -'!$D33*100</f>
        <v>0.32322197543208037</v>
      </c>
      <c r="G33" s="285">
        <f>E33/'- 7 -'!$E33</f>
        <v>44.189070718877851</v>
      </c>
      <c r="H33" s="285">
        <v>374768</v>
      </c>
      <c r="I33" s="291">
        <f>H33/'- 3 -'!$D33*100</f>
        <v>1.3351106403545712</v>
      </c>
      <c r="J33" s="285">
        <f>H33/'- 7 -'!$E33</f>
        <v>182.52873563218392</v>
      </c>
    </row>
    <row r="34" spans="1:10" ht="14.1" customHeight="1" x14ac:dyDescent="0.2">
      <c r="A34" s="19" t="s">
        <v>132</v>
      </c>
      <c r="B34" s="20">
        <v>7453</v>
      </c>
      <c r="C34" s="70">
        <f>B34/'- 3 -'!$D34*100</f>
        <v>2.4482835013088608E-2</v>
      </c>
      <c r="D34" s="20">
        <f>B34/'- 7 -'!$E34</f>
        <v>3.3514704559762571</v>
      </c>
      <c r="E34" s="20">
        <v>160580</v>
      </c>
      <c r="F34" s="70">
        <f>E34/'- 3 -'!$D34*100</f>
        <v>0.52749948294670179</v>
      </c>
      <c r="G34" s="20">
        <f>E34/'- 7 -'!$E34</f>
        <v>72.209731090925459</v>
      </c>
      <c r="H34" s="20">
        <v>174002</v>
      </c>
      <c r="I34" s="70">
        <f>H34/'- 3 -'!$D34*100</f>
        <v>0.57159026673117463</v>
      </c>
      <c r="J34" s="20">
        <f>H34/'- 7 -'!$E34</f>
        <v>78.245345804478831</v>
      </c>
    </row>
    <row r="35" spans="1:10" ht="14.1" customHeight="1" x14ac:dyDescent="0.2">
      <c r="A35" s="284" t="s">
        <v>133</v>
      </c>
      <c r="B35" s="285">
        <v>408072</v>
      </c>
      <c r="C35" s="291">
        <f>B35/'- 3 -'!$D35*100</f>
        <v>0.21300951132630649</v>
      </c>
      <c r="D35" s="285">
        <f>B35/'- 7 -'!$E35</f>
        <v>25.167103518455704</v>
      </c>
      <c r="E35" s="285">
        <v>821197</v>
      </c>
      <c r="F35" s="291">
        <f>E35/'- 3 -'!$D35*100</f>
        <v>0.42865663822224725</v>
      </c>
      <c r="G35" s="285">
        <f>E35/'- 7 -'!$E35</f>
        <v>50.645841684911652</v>
      </c>
      <c r="H35" s="285">
        <v>4600641</v>
      </c>
      <c r="I35" s="291">
        <f>H35/'- 3 -'!$D35*100</f>
        <v>2.401488686304794</v>
      </c>
      <c r="J35" s="285">
        <f>H35/'- 7 -'!$E35</f>
        <v>283.73622375034694</v>
      </c>
    </row>
    <row r="36" spans="1:10" ht="14.1" customHeight="1" x14ac:dyDescent="0.2">
      <c r="A36" s="19" t="s">
        <v>134</v>
      </c>
      <c r="B36" s="20">
        <v>19216</v>
      </c>
      <c r="C36" s="70">
        <f>B36/'- 3 -'!$D36*100</f>
        <v>8.125853640672942E-2</v>
      </c>
      <c r="D36" s="20">
        <f>B36/'- 7 -'!$E36</f>
        <v>11.194873288668802</v>
      </c>
      <c r="E36" s="20">
        <v>105739</v>
      </c>
      <c r="F36" s="70">
        <f>E36/'- 3 -'!$D36*100</f>
        <v>0.44713761350495229</v>
      </c>
      <c r="G36" s="20">
        <f>E36/'- 7 -'!$E36</f>
        <v>61.601514710166036</v>
      </c>
      <c r="H36" s="20">
        <v>190595</v>
      </c>
      <c r="I36" s="70">
        <f>H36/'- 3 -'!$D36*100</f>
        <v>0.80596746182559298</v>
      </c>
      <c r="J36" s="20">
        <f>H36/'- 7 -'!$E36</f>
        <v>111.03699388290126</v>
      </c>
    </row>
    <row r="37" spans="1:10" ht="14.1" customHeight="1" x14ac:dyDescent="0.2">
      <c r="A37" s="284" t="s">
        <v>135</v>
      </c>
      <c r="B37" s="285">
        <v>64573</v>
      </c>
      <c r="C37" s="291">
        <f>B37/'- 3 -'!$D37*100</f>
        <v>0.11766355061339367</v>
      </c>
      <c r="D37" s="285">
        <f>B37/'- 7 -'!$E37</f>
        <v>15.096320194510685</v>
      </c>
      <c r="E37" s="285">
        <v>696518</v>
      </c>
      <c r="F37" s="291">
        <f>E37/'- 3 -'!$D37*100</f>
        <v>1.2691803222111366</v>
      </c>
      <c r="G37" s="285">
        <f>E37/'- 7 -'!$E37</f>
        <v>162.8367700004676</v>
      </c>
      <c r="H37" s="285">
        <v>507324</v>
      </c>
      <c r="I37" s="291">
        <f>H37/'- 3 -'!$D37*100</f>
        <v>0.9244350293681467</v>
      </c>
      <c r="J37" s="285">
        <f>H37/'- 7 -'!$E37</f>
        <v>118.6056950483939</v>
      </c>
    </row>
    <row r="38" spans="1:10" ht="14.1" customHeight="1" x14ac:dyDescent="0.2">
      <c r="A38" s="19" t="s">
        <v>136</v>
      </c>
      <c r="B38" s="20">
        <v>129566</v>
      </c>
      <c r="C38" s="70">
        <f>B38/'- 3 -'!$D38*100</f>
        <v>8.7851454978105814E-2</v>
      </c>
      <c r="D38" s="20">
        <f>B38/'- 7 -'!$E38</f>
        <v>11.303960914325598</v>
      </c>
      <c r="E38" s="20">
        <v>506933</v>
      </c>
      <c r="F38" s="70">
        <f>E38/'- 3 -'!$D38*100</f>
        <v>0.34372290281722151</v>
      </c>
      <c r="G38" s="20">
        <f>E38/'- 7 -'!$E38</f>
        <v>44.227272727272727</v>
      </c>
      <c r="H38" s="20">
        <v>2184693</v>
      </c>
      <c r="I38" s="70">
        <f>H38/'- 3 -'!$D38*100</f>
        <v>1.4813180829112804</v>
      </c>
      <c r="J38" s="20">
        <f>H38/'- 7 -'!$E38</f>
        <v>190.60312336415984</v>
      </c>
    </row>
    <row r="39" spans="1:10" ht="14.1" customHeight="1" x14ac:dyDescent="0.2">
      <c r="A39" s="284" t="s">
        <v>137</v>
      </c>
      <c r="B39" s="285">
        <v>0</v>
      </c>
      <c r="C39" s="291">
        <f>B39/'- 3 -'!$D39*100</f>
        <v>0</v>
      </c>
      <c r="D39" s="285">
        <f>B39/'- 7 -'!$E39</f>
        <v>0</v>
      </c>
      <c r="E39" s="285">
        <v>110391</v>
      </c>
      <c r="F39" s="291">
        <f>E39/'- 3 -'!$D39*100</f>
        <v>0.50745798810888543</v>
      </c>
      <c r="G39" s="285">
        <f>E39/'- 7 -'!$E39</f>
        <v>73.741482965931866</v>
      </c>
      <c r="H39" s="285">
        <v>222940</v>
      </c>
      <c r="I39" s="291">
        <f>H39/'- 3 -'!$D39*100</f>
        <v>1.0248361176997667</v>
      </c>
      <c r="J39" s="285">
        <f>H39/'- 7 -'!$E39</f>
        <v>148.92451569806281</v>
      </c>
    </row>
    <row r="40" spans="1:10" ht="14.1" customHeight="1" x14ac:dyDescent="0.2">
      <c r="A40" s="19" t="s">
        <v>138</v>
      </c>
      <c r="B40" s="20">
        <v>34671</v>
      </c>
      <c r="C40" s="70">
        <f>B40/'- 3 -'!$D40*100</f>
        <v>3.2575874488315372E-2</v>
      </c>
      <c r="D40" s="20">
        <f>B40/'- 7 -'!$E40</f>
        <v>4.248860610264372</v>
      </c>
      <c r="E40" s="20">
        <v>672608</v>
      </c>
      <c r="F40" s="70">
        <f>E40/'- 3 -'!$D40*100</f>
        <v>0.63196313310365515</v>
      </c>
      <c r="G40" s="20">
        <f>E40/'- 7 -'!$E40</f>
        <v>82.42674388822644</v>
      </c>
      <c r="H40" s="20">
        <v>1177269</v>
      </c>
      <c r="I40" s="70">
        <f>H40/'- 3 -'!$D40*100</f>
        <v>1.1061280950357517</v>
      </c>
      <c r="J40" s="20">
        <f>H40/'- 7 -'!$E40</f>
        <v>144.27192413790567</v>
      </c>
    </row>
    <row r="41" spans="1:10" ht="14.1" customHeight="1" x14ac:dyDescent="0.2">
      <c r="A41" s="284" t="s">
        <v>139</v>
      </c>
      <c r="B41" s="285">
        <v>79987</v>
      </c>
      <c r="C41" s="291">
        <f>B41/'- 3 -'!$D41*100</f>
        <v>0.12411314118386126</v>
      </c>
      <c r="D41" s="285">
        <f>B41/'- 7 -'!$E41</f>
        <v>17.782792352156513</v>
      </c>
      <c r="E41" s="285">
        <v>513968</v>
      </c>
      <c r="F41" s="291">
        <f>E41/'- 3 -'!$D41*100</f>
        <v>0.79750688171811424</v>
      </c>
      <c r="G41" s="285">
        <f>E41/'- 7 -'!$E41</f>
        <v>114.26589595375722</v>
      </c>
      <c r="H41" s="285">
        <v>594004</v>
      </c>
      <c r="I41" s="291">
        <f>H41/'- 3 -'!$D41*100</f>
        <v>0.92169605455609449</v>
      </c>
      <c r="J41" s="285">
        <f>H41/'- 7 -'!$E41</f>
        <v>132.05958203646065</v>
      </c>
    </row>
    <row r="42" spans="1:10" ht="14.1" customHeight="1" x14ac:dyDescent="0.2">
      <c r="A42" s="19" t="s">
        <v>140</v>
      </c>
      <c r="B42" s="20">
        <v>19635</v>
      </c>
      <c r="C42" s="70">
        <f>B42/'- 3 -'!$D42*100</f>
        <v>9.6065070031118041E-2</v>
      </c>
      <c r="D42" s="20">
        <f>B42/'- 7 -'!$E42</f>
        <v>14.331070724764615</v>
      </c>
      <c r="E42" s="20">
        <v>0</v>
      </c>
      <c r="F42" s="70">
        <f>E42/'- 3 -'!$D42*100</f>
        <v>0</v>
      </c>
      <c r="G42" s="20">
        <f>E42/'- 7 -'!$E42</f>
        <v>0</v>
      </c>
      <c r="H42" s="20">
        <v>230883</v>
      </c>
      <c r="I42" s="70">
        <f>H42/'- 3 -'!$D42*100</f>
        <v>1.1296048670228991</v>
      </c>
      <c r="J42" s="20">
        <f>H42/'- 7 -'!$E42</f>
        <v>168.5154368294285</v>
      </c>
    </row>
    <row r="43" spans="1:10" ht="14.1" customHeight="1" x14ac:dyDescent="0.2">
      <c r="A43" s="284" t="s">
        <v>141</v>
      </c>
      <c r="B43" s="285">
        <v>0</v>
      </c>
      <c r="C43" s="291">
        <f>B43/'- 3 -'!$D43*100</f>
        <v>0</v>
      </c>
      <c r="D43" s="285">
        <f>B43/'- 7 -'!$E43</f>
        <v>0</v>
      </c>
      <c r="E43" s="285">
        <v>73537</v>
      </c>
      <c r="F43" s="291">
        <f>E43/'- 3 -'!$D43*100</f>
        <v>0.56342165510675524</v>
      </c>
      <c r="G43" s="285">
        <f>E43/'- 7 -'!$E43</f>
        <v>73.353615960099745</v>
      </c>
      <c r="H43" s="285">
        <v>202088</v>
      </c>
      <c r="I43" s="291">
        <f>H43/'- 3 -'!$D43*100</f>
        <v>1.5483464845889003</v>
      </c>
      <c r="J43" s="285">
        <f>H43/'- 7 -'!$E43</f>
        <v>201.58403990024937</v>
      </c>
    </row>
    <row r="44" spans="1:10" ht="14.1" customHeight="1" x14ac:dyDescent="0.2">
      <c r="A44" s="19" t="s">
        <v>142</v>
      </c>
      <c r="B44" s="20">
        <v>0</v>
      </c>
      <c r="C44" s="70">
        <f>B44/'- 3 -'!$D44*100</f>
        <v>0</v>
      </c>
      <c r="D44" s="20">
        <f>B44/'- 7 -'!$E44</f>
        <v>0</v>
      </c>
      <c r="E44" s="20">
        <v>0</v>
      </c>
      <c r="F44" s="70">
        <f>E44/'- 3 -'!$D44*100</f>
        <v>0</v>
      </c>
      <c r="G44" s="20">
        <f>E44/'- 7 -'!$E44</f>
        <v>0</v>
      </c>
      <c r="H44" s="20">
        <v>101946</v>
      </c>
      <c r="I44" s="70">
        <f>H44/'- 3 -'!$D44*100</f>
        <v>0.95857378933585957</v>
      </c>
      <c r="J44" s="20">
        <f>H44/'- 7 -'!$E44</f>
        <v>147.32080924855492</v>
      </c>
    </row>
    <row r="45" spans="1:10" ht="14.1" customHeight="1" x14ac:dyDescent="0.2">
      <c r="A45" s="284" t="s">
        <v>143</v>
      </c>
      <c r="B45" s="285">
        <v>0</v>
      </c>
      <c r="C45" s="291">
        <f>B45/'- 3 -'!$D45*100</f>
        <v>0</v>
      </c>
      <c r="D45" s="285">
        <f>B45/'- 7 -'!$E45</f>
        <v>0</v>
      </c>
      <c r="E45" s="285">
        <v>0</v>
      </c>
      <c r="F45" s="291">
        <f>E45/'- 3 -'!$D45*100</f>
        <v>0</v>
      </c>
      <c r="G45" s="285">
        <f>E45/'- 7 -'!$E45</f>
        <v>0</v>
      </c>
      <c r="H45" s="285">
        <v>191212</v>
      </c>
      <c r="I45" s="291">
        <f>H45/'- 3 -'!$D45*100</f>
        <v>0.90380382524196856</v>
      </c>
      <c r="J45" s="285">
        <f>H45/'- 7 -'!$E45</f>
        <v>99.849608355091391</v>
      </c>
    </row>
    <row r="46" spans="1:10" ht="14.1" customHeight="1" x14ac:dyDescent="0.2">
      <c r="A46" s="19" t="s">
        <v>144</v>
      </c>
      <c r="B46" s="20">
        <v>878316</v>
      </c>
      <c r="C46" s="70">
        <f>B46/'- 3 -'!$D46*100</f>
        <v>0.2124625283087313</v>
      </c>
      <c r="D46" s="20">
        <f>B46/'- 7 -'!$E46</f>
        <v>29.733409614857294</v>
      </c>
      <c r="E46" s="20">
        <v>912640</v>
      </c>
      <c r="F46" s="70">
        <f>E46/'- 3 -'!$D46*100</f>
        <v>0.22076542136962155</v>
      </c>
      <c r="G46" s="20">
        <f>E46/'- 7 -'!$E46</f>
        <v>30.895371313858977</v>
      </c>
      <c r="H46" s="20">
        <v>2915280</v>
      </c>
      <c r="I46" s="70">
        <f>H46/'- 3 -'!$D46*100</f>
        <v>0.70519922161030679</v>
      </c>
      <c r="J46" s="20">
        <f>H46/'- 7 -'!$E46</f>
        <v>98.690237206200464</v>
      </c>
    </row>
    <row r="47" spans="1:10" ht="5.0999999999999996" customHeight="1" x14ac:dyDescent="0.2">
      <c r="A47" s="21"/>
      <c r="B47" s="22"/>
      <c r="C47"/>
      <c r="D47" s="22"/>
      <c r="E47" s="22"/>
      <c r="F47"/>
      <c r="G47" s="22"/>
      <c r="H47"/>
      <c r="I47"/>
      <c r="J47"/>
    </row>
    <row r="48" spans="1:10" ht="14.1" customHeight="1" x14ac:dyDescent="0.2">
      <c r="A48" s="286" t="s">
        <v>145</v>
      </c>
      <c r="B48" s="287">
        <f>SUM(B11:B46)</f>
        <v>3349094</v>
      </c>
      <c r="C48" s="294">
        <f>B48/'- 3 -'!$D48*100</f>
        <v>0.13886541814298478</v>
      </c>
      <c r="D48" s="287">
        <f>B48/'- 7 -'!$E48</f>
        <v>18.582889428918723</v>
      </c>
      <c r="E48" s="287">
        <f>SUM(E11:E46)</f>
        <v>15007579</v>
      </c>
      <c r="F48" s="294">
        <f>E48/'- 3 -'!$D48*100</f>
        <v>0.62226791279936522</v>
      </c>
      <c r="G48" s="287">
        <f>E48/'- 7 -'!$E48</f>
        <v>83.271529898164289</v>
      </c>
      <c r="H48" s="287">
        <f>SUM(H11:H46)</f>
        <v>30892636</v>
      </c>
      <c r="I48" s="294">
        <f>H48/'- 3 -'!$D48*100</f>
        <v>1.2809192025303036</v>
      </c>
      <c r="J48" s="287">
        <f>H48/'- 7 -'!$E48</f>
        <v>171.41186212027313</v>
      </c>
    </row>
    <row r="49" spans="1:10" ht="5.0999999999999996" customHeight="1" x14ac:dyDescent="0.2">
      <c r="A49" s="21" t="s">
        <v>7</v>
      </c>
      <c r="B49" s="22"/>
      <c r="C49"/>
      <c r="D49" s="22"/>
      <c r="E49" s="22"/>
      <c r="F49"/>
      <c r="H49"/>
      <c r="I49"/>
      <c r="J49"/>
    </row>
    <row r="50" spans="1:10" ht="14.1" customHeight="1" x14ac:dyDescent="0.2">
      <c r="A50" s="19" t="s">
        <v>146</v>
      </c>
      <c r="B50" s="20">
        <v>0</v>
      </c>
      <c r="C50" s="70">
        <f>B50/'- 3 -'!$D50*100</f>
        <v>0</v>
      </c>
      <c r="D50" s="20">
        <f>B50/'- 7 -'!$E50</f>
        <v>0</v>
      </c>
      <c r="E50" s="20">
        <v>0</v>
      </c>
      <c r="F50" s="70">
        <f>E50/'- 3 -'!$D50*100</f>
        <v>0</v>
      </c>
      <c r="G50" s="20">
        <f>E50/'- 7 -'!$E50</f>
        <v>0</v>
      </c>
      <c r="H50" s="20">
        <v>8784</v>
      </c>
      <c r="I50" s="70">
        <f>H50/'- 3 -'!$D50*100</f>
        <v>0.27659033142978057</v>
      </c>
      <c r="J50" s="20">
        <f>H50/'- 7 -'!$E50</f>
        <v>46.231578947368419</v>
      </c>
    </row>
    <row r="51" spans="1:10" ht="14.1" customHeight="1" x14ac:dyDescent="0.2">
      <c r="A51" s="284" t="s">
        <v>599</v>
      </c>
      <c r="B51" s="285">
        <v>0</v>
      </c>
      <c r="C51" s="291">
        <f>B51/'- 3 -'!$D51*100</f>
        <v>0</v>
      </c>
      <c r="D51" s="285">
        <f>B51/'- 7 -'!$E51</f>
        <v>0</v>
      </c>
      <c r="E51" s="285">
        <v>554368</v>
      </c>
      <c r="F51" s="291">
        <f>E51/'- 3 -'!$D51*100</f>
        <v>1.837370528579108</v>
      </c>
      <c r="G51" s="285">
        <f>E51/'- 7 -'!$E51</f>
        <v>449.24473257698543</v>
      </c>
      <c r="H51" s="285">
        <v>2924</v>
      </c>
      <c r="I51" s="291">
        <f>H51/'- 3 -'!$D51*100</f>
        <v>9.6911643990369428E-3</v>
      </c>
      <c r="J51" s="285">
        <f>H51/'- 7 -'!$E51</f>
        <v>2.3695299837925448</v>
      </c>
    </row>
    <row r="52" spans="1:10" ht="50.1" customHeight="1" x14ac:dyDescent="0.2">
      <c r="A52" s="184"/>
      <c r="B52" s="184"/>
      <c r="C52" s="184"/>
      <c r="D52" s="184"/>
      <c r="E52" s="184"/>
      <c r="F52" s="184"/>
      <c r="G52" s="184"/>
      <c r="H52" s="184"/>
      <c r="I52" s="184"/>
      <c r="J52" s="184"/>
    </row>
  </sheetData>
  <mergeCells count="6">
    <mergeCell ref="D8:D9"/>
    <mergeCell ref="G8:G9"/>
    <mergeCell ref="J8:J9"/>
    <mergeCell ref="B6:D7"/>
    <mergeCell ref="E6:G7"/>
    <mergeCell ref="H6:J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J53"/>
  <sheetViews>
    <sheetView showGridLines="0" showZeros="0" workbookViewId="0"/>
  </sheetViews>
  <sheetFormatPr defaultColWidth="15.83203125" defaultRowHeight="12" x14ac:dyDescent="0.2"/>
  <cols>
    <col min="1" max="1" width="32.83203125" style="2" customWidth="1"/>
    <col min="2" max="2" width="15.83203125" style="2" customWidth="1"/>
    <col min="3" max="3" width="7.83203125" style="2" customWidth="1"/>
    <col min="4" max="4" width="9.83203125" style="2" customWidth="1"/>
    <col min="5" max="5" width="15.83203125" style="2" customWidth="1"/>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x14ac:dyDescent="0.2">
      <c r="A1" s="7"/>
      <c r="B1" s="8"/>
      <c r="C1" s="8"/>
      <c r="D1" s="8"/>
      <c r="E1" s="8"/>
      <c r="F1" s="8"/>
      <c r="G1" s="8"/>
      <c r="H1" s="8"/>
      <c r="I1" s="8"/>
      <c r="J1" s="8"/>
    </row>
    <row r="2" spans="1:10" ht="15.95" customHeight="1" x14ac:dyDescent="0.2">
      <c r="A2" s="134"/>
      <c r="B2" s="9" t="s">
        <v>263</v>
      </c>
      <c r="C2" s="10"/>
      <c r="D2" s="10"/>
      <c r="E2" s="10"/>
      <c r="F2" s="10"/>
      <c r="G2" s="10"/>
      <c r="H2" s="73"/>
      <c r="I2" s="153"/>
      <c r="J2" s="395" t="s">
        <v>406</v>
      </c>
    </row>
    <row r="3" spans="1:10" ht="15.95" customHeight="1" x14ac:dyDescent="0.2">
      <c r="A3" s="541"/>
      <c r="B3" s="11" t="str">
        <f>OPYEAR</f>
        <v>OPERATING FUND 2019/2020 ACTUAL</v>
      </c>
      <c r="C3" s="12"/>
      <c r="D3" s="12"/>
      <c r="E3" s="12"/>
      <c r="F3" s="12"/>
      <c r="G3" s="12"/>
      <c r="H3" s="75"/>
      <c r="I3" s="75"/>
      <c r="J3" s="66"/>
    </row>
    <row r="4" spans="1:10" ht="15.95" customHeight="1" x14ac:dyDescent="0.2">
      <c r="B4" s="8"/>
      <c r="C4" s="8"/>
      <c r="D4" s="8"/>
      <c r="E4" s="8"/>
      <c r="F4" s="8"/>
      <c r="G4" s="8"/>
      <c r="H4" s="8"/>
      <c r="I4" s="8"/>
      <c r="J4" s="8"/>
    </row>
    <row r="5" spans="1:10" ht="15.95" customHeight="1" x14ac:dyDescent="0.2">
      <c r="B5" s="393" t="s">
        <v>249</v>
      </c>
      <c r="C5" s="172"/>
      <c r="D5" s="173"/>
      <c r="E5" s="181"/>
      <c r="F5" s="181"/>
      <c r="G5" s="182"/>
    </row>
    <row r="6" spans="1:10" ht="15.95" customHeight="1" x14ac:dyDescent="0.2">
      <c r="B6" s="649" t="s">
        <v>492</v>
      </c>
      <c r="C6" s="657"/>
      <c r="D6" s="650"/>
      <c r="E6" s="387"/>
      <c r="F6" s="388"/>
      <c r="G6" s="389"/>
    </row>
    <row r="7" spans="1:10" ht="15.95" customHeight="1" x14ac:dyDescent="0.2">
      <c r="B7" s="651"/>
      <c r="C7" s="658"/>
      <c r="D7" s="652"/>
      <c r="E7" s="654" t="s">
        <v>281</v>
      </c>
      <c r="F7" s="656"/>
      <c r="G7" s="655"/>
    </row>
    <row r="8" spans="1:10" ht="15.95" customHeight="1" x14ac:dyDescent="0.2">
      <c r="A8" s="67"/>
      <c r="B8" s="137"/>
      <c r="C8" s="138"/>
      <c r="D8" s="602" t="s">
        <v>471</v>
      </c>
      <c r="E8" s="137"/>
      <c r="F8" s="139"/>
      <c r="G8" s="602" t="s">
        <v>471</v>
      </c>
    </row>
    <row r="9" spans="1:10" ht="15.95" customHeight="1" x14ac:dyDescent="0.2">
      <c r="A9" s="35" t="s">
        <v>42</v>
      </c>
      <c r="B9" s="77" t="s">
        <v>43</v>
      </c>
      <c r="C9" s="77" t="s">
        <v>44</v>
      </c>
      <c r="D9" s="604"/>
      <c r="E9" s="77" t="s">
        <v>43</v>
      </c>
      <c r="F9" s="77" t="s">
        <v>44</v>
      </c>
      <c r="G9" s="604"/>
    </row>
    <row r="10" spans="1:10" ht="5.0999999999999996" customHeight="1" x14ac:dyDescent="0.2">
      <c r="A10" s="6"/>
    </row>
    <row r="11" spans="1:10" ht="14.1" customHeight="1" x14ac:dyDescent="0.2">
      <c r="A11" s="284" t="s">
        <v>110</v>
      </c>
      <c r="B11" s="285">
        <v>153548</v>
      </c>
      <c r="C11" s="291">
        <f>B11/'- 3 -'!$D11*100</f>
        <v>0.73056456462114483</v>
      </c>
      <c r="D11" s="285">
        <f>B11/'- 7 -'!$E11</f>
        <v>77.549494949494957</v>
      </c>
      <c r="E11" s="285">
        <v>15675</v>
      </c>
      <c r="F11" s="291">
        <f>E11/'- 3 -'!$D11*100</f>
        <v>7.4579932987967584E-2</v>
      </c>
      <c r="G11" s="285">
        <f>E11/'- 7 -'!$E11</f>
        <v>7.916666666666667</v>
      </c>
    </row>
    <row r="12" spans="1:10" ht="14.1" customHeight="1" x14ac:dyDescent="0.2">
      <c r="A12" s="19" t="s">
        <v>111</v>
      </c>
      <c r="B12" s="20">
        <v>349538</v>
      </c>
      <c r="C12" s="70">
        <f>B12/'- 3 -'!$D12*100</f>
        <v>1.0419068082742791</v>
      </c>
      <c r="D12" s="20">
        <f>B12/'- 7 -'!$E12</f>
        <v>160.68053103854075</v>
      </c>
      <c r="E12" s="20">
        <v>83397</v>
      </c>
      <c r="F12" s="70">
        <f>E12/'- 3 -'!$D12*100</f>
        <v>0.24859071714563238</v>
      </c>
      <c r="G12" s="20">
        <f>E12/'- 7 -'!$E12</f>
        <v>38.337102824360102</v>
      </c>
    </row>
    <row r="13" spans="1:10" ht="14.1" customHeight="1" x14ac:dyDescent="0.2">
      <c r="A13" s="284" t="s">
        <v>112</v>
      </c>
      <c r="B13" s="285">
        <v>1198483</v>
      </c>
      <c r="C13" s="291">
        <f>B13/'- 3 -'!$D13*100</f>
        <v>1.1463940197883136</v>
      </c>
      <c r="D13" s="285">
        <f>B13/'- 7 -'!$E13</f>
        <v>138.39295612009238</v>
      </c>
      <c r="E13" s="285">
        <v>103897</v>
      </c>
      <c r="F13" s="291">
        <f>E13/'- 3 -'!$D13*100</f>
        <v>9.9381384194808298E-2</v>
      </c>
      <c r="G13" s="285">
        <f>E13/'- 7 -'!$E13</f>
        <v>11.997344110854504</v>
      </c>
    </row>
    <row r="14" spans="1:10" ht="14.1" customHeight="1" x14ac:dyDescent="0.2">
      <c r="A14" s="19" t="s">
        <v>358</v>
      </c>
      <c r="B14" s="20">
        <v>335831</v>
      </c>
      <c r="C14" s="70">
        <f>B14/'- 3 -'!$D14*100</f>
        <v>0.3748908976185083</v>
      </c>
      <c r="D14" s="20">
        <f>B14/'- 7 -'!$E14</f>
        <v>60.679336238734351</v>
      </c>
      <c r="E14" s="20">
        <v>65731</v>
      </c>
      <c r="F14" s="70">
        <f>E14/'- 3 -'!$D14*100</f>
        <v>7.3376054001453611E-2</v>
      </c>
      <c r="G14" s="20">
        <f>E14/'- 7 -'!$E14</f>
        <v>11.876549366521397</v>
      </c>
    </row>
    <row r="15" spans="1:10" ht="14.1" customHeight="1" x14ac:dyDescent="0.2">
      <c r="A15" s="284" t="s">
        <v>113</v>
      </c>
      <c r="B15" s="285">
        <v>90326</v>
      </c>
      <c r="C15" s="291">
        <f>B15/'- 3 -'!$D15*100</f>
        <v>0.45793168956646196</v>
      </c>
      <c r="D15" s="285">
        <f>B15/'- 7 -'!$E15</f>
        <v>62.058399175541048</v>
      </c>
      <c r="E15" s="285">
        <v>4742</v>
      </c>
      <c r="F15" s="291">
        <f>E15/'- 3 -'!$D15*100</f>
        <v>2.4040830679141808E-2</v>
      </c>
      <c r="G15" s="285">
        <f>E15/'- 7 -'!$E15</f>
        <v>3.257986946066644</v>
      </c>
    </row>
    <row r="16" spans="1:10" ht="14.1" customHeight="1" x14ac:dyDescent="0.2">
      <c r="A16" s="19" t="s">
        <v>114</v>
      </c>
      <c r="B16" s="20">
        <v>71461</v>
      </c>
      <c r="C16" s="70">
        <f>B16/'- 3 -'!$D16*100</f>
        <v>0.49717692892000015</v>
      </c>
      <c r="D16" s="20">
        <f>B16/'- 7 -'!$E16</f>
        <v>78.519942863421605</v>
      </c>
      <c r="E16" s="20">
        <v>51603</v>
      </c>
      <c r="F16" s="70">
        <f>E16/'- 3 -'!$D16*100</f>
        <v>0.35901850048360318</v>
      </c>
      <c r="G16" s="20">
        <f>E16/'- 7 -'!$E16</f>
        <v>56.700362597516758</v>
      </c>
    </row>
    <row r="17" spans="1:7" ht="14.1" customHeight="1" x14ac:dyDescent="0.2">
      <c r="A17" s="284" t="s">
        <v>115</v>
      </c>
      <c r="B17" s="285">
        <v>46199</v>
      </c>
      <c r="C17" s="291">
        <f>B17/'- 3 -'!$D17*100</f>
        <v>0.25665726125219235</v>
      </c>
      <c r="D17" s="285">
        <f>B17/'- 7 -'!$E17</f>
        <v>32.318293109478837</v>
      </c>
      <c r="E17" s="285">
        <v>1500</v>
      </c>
      <c r="F17" s="291">
        <f>E17/'- 3 -'!$D17*100</f>
        <v>8.3332083352083055E-3</v>
      </c>
      <c r="G17" s="285">
        <f>E17/'- 7 -'!$E17</f>
        <v>1.0493179433368311</v>
      </c>
    </row>
    <row r="18" spans="1:7" ht="14.1" customHeight="1" x14ac:dyDescent="0.2">
      <c r="A18" s="19" t="s">
        <v>116</v>
      </c>
      <c r="B18" s="20">
        <v>876911</v>
      </c>
      <c r="C18" s="70">
        <f>B18/'- 3 -'!$D18*100</f>
        <v>0.65842691521759444</v>
      </c>
      <c r="D18" s="20">
        <f>B18/'- 7 -'!$E18</f>
        <v>147.21917233274573</v>
      </c>
      <c r="E18" s="20">
        <v>1610484</v>
      </c>
      <c r="F18" s="70">
        <f>E18/'- 3 -'!$D18*100</f>
        <v>1.2092287725063231</v>
      </c>
      <c r="G18" s="20">
        <f>E18/'- 7 -'!$E18</f>
        <v>270.37421304457314</v>
      </c>
    </row>
    <row r="19" spans="1:7" ht="14.1" customHeight="1" x14ac:dyDescent="0.2">
      <c r="A19" s="284" t="s">
        <v>117</v>
      </c>
      <c r="B19" s="285">
        <v>456285</v>
      </c>
      <c r="C19" s="291">
        <f>B19/'- 3 -'!$D19*100</f>
        <v>0.91754321266871419</v>
      </c>
      <c r="D19" s="285">
        <f>B19/'- 7 -'!$E19</f>
        <v>103.59989101559839</v>
      </c>
      <c r="E19" s="285">
        <v>224798</v>
      </c>
      <c r="F19" s="291">
        <f>E19/'- 3 -'!$D19*100</f>
        <v>0.45204615343809595</v>
      </c>
      <c r="G19" s="285">
        <f>E19/'- 7 -'!$E19</f>
        <v>51.040573984515127</v>
      </c>
    </row>
    <row r="20" spans="1:7" ht="14.1" customHeight="1" x14ac:dyDescent="0.2">
      <c r="A20" s="19" t="s">
        <v>118</v>
      </c>
      <c r="B20" s="20">
        <v>784621</v>
      </c>
      <c r="C20" s="70">
        <f>B20/'- 3 -'!$D20*100</f>
        <v>0.88639909969748221</v>
      </c>
      <c r="D20" s="20">
        <f>B20/'- 7 -'!$E20</f>
        <v>97.826943457390442</v>
      </c>
      <c r="E20" s="20">
        <v>253379</v>
      </c>
      <c r="F20" s="70">
        <f>E20/'- 3 -'!$D20*100</f>
        <v>0.2862463756160597</v>
      </c>
      <c r="G20" s="20">
        <f>E20/'- 7 -'!$E20</f>
        <v>31.591421981173244</v>
      </c>
    </row>
    <row r="21" spans="1:7" ht="14.1" customHeight="1" x14ac:dyDescent="0.2">
      <c r="A21" s="284" t="s">
        <v>119</v>
      </c>
      <c r="B21" s="285">
        <v>339663</v>
      </c>
      <c r="C21" s="291">
        <f>B21/'- 3 -'!$D21*100</f>
        <v>0.90313835012869725</v>
      </c>
      <c r="D21" s="285">
        <f>B21/'- 7 -'!$E21</f>
        <v>120.31987247608927</v>
      </c>
      <c r="E21" s="285">
        <v>139799</v>
      </c>
      <c r="F21" s="291">
        <f>E21/'- 3 -'!$D21*100</f>
        <v>0.37171501814928842</v>
      </c>
      <c r="G21" s="285">
        <f>E21/'- 7 -'!$E21</f>
        <v>49.521431101664895</v>
      </c>
    </row>
    <row r="22" spans="1:7" ht="14.1" customHeight="1" x14ac:dyDescent="0.2">
      <c r="A22" s="19" t="s">
        <v>120</v>
      </c>
      <c r="B22" s="20">
        <v>93711</v>
      </c>
      <c r="C22" s="70">
        <f>B22/'- 3 -'!$D22*100</f>
        <v>0.45395452859013474</v>
      </c>
      <c r="D22" s="20">
        <f>B22/'- 7 -'!$E22</f>
        <v>61.049511400651468</v>
      </c>
      <c r="E22" s="20">
        <v>392</v>
      </c>
      <c r="F22" s="70">
        <f>E22/'- 3 -'!$D22*100</f>
        <v>1.8989251550760619E-3</v>
      </c>
      <c r="G22" s="20">
        <f>E22/'- 7 -'!$E22</f>
        <v>0.2553745928338762</v>
      </c>
    </row>
    <row r="23" spans="1:7" ht="14.1" customHeight="1" x14ac:dyDescent="0.2">
      <c r="A23" s="284" t="s">
        <v>121</v>
      </c>
      <c r="B23" s="285">
        <v>190193</v>
      </c>
      <c r="C23" s="291">
        <f>B23/'- 3 -'!$D23*100</f>
        <v>1.2254657811201477</v>
      </c>
      <c r="D23" s="285">
        <f>B23/'- 7 -'!$E23</f>
        <v>202.59160630592245</v>
      </c>
      <c r="E23" s="285">
        <v>15582</v>
      </c>
      <c r="F23" s="291">
        <f>E23/'- 3 -'!$D23*100</f>
        <v>0.10039910933322543</v>
      </c>
      <c r="G23" s="285">
        <f>E23/'- 7 -'!$E23</f>
        <v>16.597784405624203</v>
      </c>
    </row>
    <row r="24" spans="1:7" ht="14.1" customHeight="1" x14ac:dyDescent="0.2">
      <c r="A24" s="19" t="s">
        <v>122</v>
      </c>
      <c r="B24" s="20">
        <v>449852</v>
      </c>
      <c r="C24" s="70">
        <f>B24/'- 3 -'!$D24*100</f>
        <v>0.76973820017204009</v>
      </c>
      <c r="D24" s="20">
        <f>B24/'- 7 -'!$E24</f>
        <v>120.13673387635198</v>
      </c>
      <c r="E24" s="20">
        <v>233978</v>
      </c>
      <c r="F24" s="70">
        <f>E24/'- 3 -'!$D24*100</f>
        <v>0.4003579057108862</v>
      </c>
      <c r="G24" s="20">
        <f>E24/'- 7 -'!$E24</f>
        <v>62.485779142742686</v>
      </c>
    </row>
    <row r="25" spans="1:7" ht="14.1" customHeight="1" x14ac:dyDescent="0.2">
      <c r="A25" s="284" t="s">
        <v>123</v>
      </c>
      <c r="B25" s="285">
        <v>974568</v>
      </c>
      <c r="C25" s="291">
        <f>B25/'- 3 -'!$D25*100</f>
        <v>0.50214013215818309</v>
      </c>
      <c r="D25" s="285">
        <f>B25/'- 7 -'!$E25</f>
        <v>64.92315686392071</v>
      </c>
      <c r="E25" s="285">
        <v>918853</v>
      </c>
      <c r="F25" s="291">
        <f>E25/'- 3 -'!$D25*100</f>
        <v>0.47343332312772735</v>
      </c>
      <c r="G25" s="285">
        <f>E25/'- 7 -'!$E25</f>
        <v>61.211570104789132</v>
      </c>
    </row>
    <row r="26" spans="1:7" ht="14.1" customHeight="1" x14ac:dyDescent="0.2">
      <c r="A26" s="19" t="s">
        <v>124</v>
      </c>
      <c r="B26" s="20">
        <v>312819</v>
      </c>
      <c r="C26" s="70">
        <f>B26/'- 3 -'!$D26*100</f>
        <v>0.7646648518386836</v>
      </c>
      <c r="D26" s="20">
        <f>B26/'- 7 -'!$E26</f>
        <v>102.14497959183673</v>
      </c>
      <c r="E26" s="20">
        <v>207128</v>
      </c>
      <c r="F26" s="70">
        <f>E26/'- 3 -'!$D26*100</f>
        <v>0.50631036296274479</v>
      </c>
      <c r="G26" s="20">
        <f>E26/'- 7 -'!$E26</f>
        <v>67.633632653061227</v>
      </c>
    </row>
    <row r="27" spans="1:7" ht="14.1" customHeight="1" x14ac:dyDescent="0.2">
      <c r="A27" s="284" t="s">
        <v>125</v>
      </c>
      <c r="B27" s="285">
        <v>96110</v>
      </c>
      <c r="C27" s="291">
        <f>B27/'- 3 -'!$D27*100</f>
        <v>0.23080880390415817</v>
      </c>
      <c r="D27" s="285">
        <f>B27/'- 7 -'!$E27</f>
        <v>31.796497125048798</v>
      </c>
      <c r="E27" s="285">
        <v>6228</v>
      </c>
      <c r="F27" s="291">
        <f>E27/'- 3 -'!$D27*100</f>
        <v>1.495658340146808E-2</v>
      </c>
      <c r="G27" s="285">
        <f>E27/'- 7 -'!$E27</f>
        <v>2.0604368337821657</v>
      </c>
    </row>
    <row r="28" spans="1:7" ht="14.1" customHeight="1" x14ac:dyDescent="0.2">
      <c r="A28" s="19" t="s">
        <v>126</v>
      </c>
      <c r="B28" s="20">
        <v>323668</v>
      </c>
      <c r="C28" s="70">
        <f>B28/'- 3 -'!$D28*100</f>
        <v>1.1463991220625975</v>
      </c>
      <c r="D28" s="20">
        <f>B28/'- 7 -'!$E28</f>
        <v>162.81086519114689</v>
      </c>
      <c r="E28" s="20">
        <v>0</v>
      </c>
      <c r="F28" s="70">
        <f>E28/'- 3 -'!$D28*100</f>
        <v>0</v>
      </c>
      <c r="G28" s="20">
        <f>E28/'- 7 -'!$E28</f>
        <v>0</v>
      </c>
    </row>
    <row r="29" spans="1:7" ht="14.1" customHeight="1" x14ac:dyDescent="0.2">
      <c r="A29" s="284" t="s">
        <v>127</v>
      </c>
      <c r="B29" s="285">
        <v>1215960</v>
      </c>
      <c r="C29" s="291">
        <f>B29/'- 3 -'!$D29*100</f>
        <v>0.71865635587823029</v>
      </c>
      <c r="D29" s="285">
        <f>B29/'- 7 -'!$E29</f>
        <v>84.940099891725751</v>
      </c>
      <c r="E29" s="285">
        <v>470426</v>
      </c>
      <c r="F29" s="291">
        <f>E29/'- 3 -'!$D29*100</f>
        <v>0.27803104943449813</v>
      </c>
      <c r="G29" s="285">
        <f>E29/'- 7 -'!$E29</f>
        <v>32.861304180783065</v>
      </c>
    </row>
    <row r="30" spans="1:7" ht="14.1" customHeight="1" x14ac:dyDescent="0.2">
      <c r="A30" s="19" t="s">
        <v>128</v>
      </c>
      <c r="B30" s="20">
        <v>133281</v>
      </c>
      <c r="C30" s="70">
        <f>B30/'- 3 -'!$D30*100</f>
        <v>0.85671553105358378</v>
      </c>
      <c r="D30" s="20">
        <f>B30/'- 7 -'!$E30</f>
        <v>129.96684544124818</v>
      </c>
      <c r="E30" s="20">
        <v>2358</v>
      </c>
      <c r="F30" s="70">
        <f>E30/'- 3 -'!$D30*100</f>
        <v>1.5156963274767975E-2</v>
      </c>
      <c r="G30" s="20">
        <f>E30/'- 7 -'!$E30</f>
        <v>2.2993661628473916</v>
      </c>
    </row>
    <row r="31" spans="1:7" ht="14.1" customHeight="1" x14ac:dyDescent="0.2">
      <c r="A31" s="284" t="s">
        <v>129</v>
      </c>
      <c r="B31" s="285">
        <v>348191</v>
      </c>
      <c r="C31" s="291">
        <f>B31/'- 3 -'!$D31*100</f>
        <v>0.87146722532780474</v>
      </c>
      <c r="D31" s="285">
        <f>B31/'- 7 -'!$E31</f>
        <v>104.43641271745651</v>
      </c>
      <c r="E31" s="285">
        <v>485363</v>
      </c>
      <c r="F31" s="291">
        <f>E31/'- 3 -'!$D31*100</f>
        <v>1.2147871337477973</v>
      </c>
      <c r="G31" s="285">
        <f>E31/'- 7 -'!$E31</f>
        <v>145.57978404319135</v>
      </c>
    </row>
    <row r="32" spans="1:7" ht="14.1" customHeight="1" x14ac:dyDescent="0.2">
      <c r="A32" s="19" t="s">
        <v>130</v>
      </c>
      <c r="B32" s="20">
        <v>385503</v>
      </c>
      <c r="C32" s="70">
        <f>B32/'- 3 -'!$D32*100</f>
        <v>1.2707955167474216</v>
      </c>
      <c r="D32" s="20">
        <f>B32/'- 7 -'!$E32</f>
        <v>169.37741652021089</v>
      </c>
      <c r="E32" s="20">
        <v>1525</v>
      </c>
      <c r="F32" s="70">
        <f>E32/'- 3 -'!$D32*100</f>
        <v>5.0271026763470533E-3</v>
      </c>
      <c r="G32" s="20">
        <f>E32/'- 7 -'!$E32</f>
        <v>0.67003514938488573</v>
      </c>
    </row>
    <row r="33" spans="1:7" ht="14.1" customHeight="1" x14ac:dyDescent="0.2">
      <c r="A33" s="284" t="s">
        <v>131</v>
      </c>
      <c r="B33" s="285">
        <v>169487</v>
      </c>
      <c r="C33" s="291">
        <f>B33/'- 3 -'!$D33*100</f>
        <v>0.6037972748521091</v>
      </c>
      <c r="D33" s="285">
        <f>B33/'- 7 -'!$E33</f>
        <v>82.547730372102095</v>
      </c>
      <c r="E33" s="285">
        <v>8433</v>
      </c>
      <c r="F33" s="291">
        <f>E33/'- 3 -'!$D33*100</f>
        <v>3.0042554407286905E-2</v>
      </c>
      <c r="G33" s="285">
        <f>E33/'- 7 -'!$E33</f>
        <v>4.1072472238457047</v>
      </c>
    </row>
    <row r="34" spans="1:7" ht="14.1" customHeight="1" x14ac:dyDescent="0.2">
      <c r="A34" s="19" t="s">
        <v>132</v>
      </c>
      <c r="B34" s="20">
        <v>329696</v>
      </c>
      <c r="C34" s="70">
        <f>B34/'- 3 -'!$D34*100</f>
        <v>1.0830394166745285</v>
      </c>
      <c r="D34" s="20">
        <f>B34/'- 7 -'!$E34</f>
        <v>148.25793686482598</v>
      </c>
      <c r="E34" s="20">
        <v>81134</v>
      </c>
      <c r="F34" s="70">
        <f>E34/'- 3 -'!$D34*100</f>
        <v>0.26652225089922599</v>
      </c>
      <c r="G34" s="20">
        <f>E34/'- 7 -'!$E34</f>
        <v>36.484396078784066</v>
      </c>
    </row>
    <row r="35" spans="1:7" ht="14.1" customHeight="1" x14ac:dyDescent="0.2">
      <c r="A35" s="284" t="s">
        <v>133</v>
      </c>
      <c r="B35" s="285">
        <v>1436860</v>
      </c>
      <c r="C35" s="291">
        <f>B35/'- 3 -'!$D35*100</f>
        <v>0.75002657973180409</v>
      </c>
      <c r="D35" s="285">
        <f>B35/'- 7 -'!$E35</f>
        <v>88.615745166363439</v>
      </c>
      <c r="E35" s="285">
        <v>497258</v>
      </c>
      <c r="F35" s="291">
        <f>E35/'- 3 -'!$D35*100</f>
        <v>0.25956371322486355</v>
      </c>
      <c r="G35" s="285">
        <f>E35/'- 7 -'!$E35</f>
        <v>30.667488975916619</v>
      </c>
    </row>
    <row r="36" spans="1:7" ht="14.1" customHeight="1" x14ac:dyDescent="0.2">
      <c r="A36" s="19" t="s">
        <v>134</v>
      </c>
      <c r="B36" s="20">
        <v>146789</v>
      </c>
      <c r="C36" s="70">
        <f>B36/'- 3 -'!$D36*100</f>
        <v>0.62072540073935289</v>
      </c>
      <c r="D36" s="20">
        <f>B36/'- 7 -'!$E36</f>
        <v>85.516457908534804</v>
      </c>
      <c r="E36" s="20">
        <v>11650</v>
      </c>
      <c r="F36" s="70">
        <f>E36/'- 3 -'!$D36*100</f>
        <v>4.9264256304038183E-2</v>
      </c>
      <c r="G36" s="20">
        <f>E36/'- 7 -'!$E36</f>
        <v>6.7870667055053886</v>
      </c>
    </row>
    <row r="37" spans="1:7" ht="14.1" customHeight="1" x14ac:dyDescent="0.2">
      <c r="A37" s="284" t="s">
        <v>135</v>
      </c>
      <c r="B37" s="285">
        <v>500671</v>
      </c>
      <c r="C37" s="291">
        <f>B37/'- 3 -'!$D37*100</f>
        <v>0.9123120739187961</v>
      </c>
      <c r="D37" s="285">
        <f>B37/'- 7 -'!$E37</f>
        <v>117.05031093655025</v>
      </c>
      <c r="E37" s="285">
        <v>144402</v>
      </c>
      <c r="F37" s="291">
        <f>E37/'- 3 -'!$D37*100</f>
        <v>0.26312626075411194</v>
      </c>
      <c r="G37" s="285">
        <f>E37/'- 7 -'!$E37</f>
        <v>33.759293028475248</v>
      </c>
    </row>
    <row r="38" spans="1:7" ht="14.1" customHeight="1" x14ac:dyDescent="0.2">
      <c r="A38" s="19" t="s">
        <v>136</v>
      </c>
      <c r="B38" s="20">
        <v>807463</v>
      </c>
      <c r="C38" s="70">
        <f>B38/'- 3 -'!$D38*100</f>
        <v>0.54749548022618788</v>
      </c>
      <c r="D38" s="20">
        <f>B38/'- 7 -'!$E38</f>
        <v>70.446955156168201</v>
      </c>
      <c r="E38" s="20">
        <v>1982515</v>
      </c>
      <c r="F38" s="70">
        <f>E38/'- 3 -'!$D38*100</f>
        <v>1.344232493601095</v>
      </c>
      <c r="G38" s="20">
        <f>E38/'- 7 -'!$E38</f>
        <v>172.96414238352818</v>
      </c>
    </row>
    <row r="39" spans="1:7" ht="14.1" customHeight="1" x14ac:dyDescent="0.2">
      <c r="A39" s="284" t="s">
        <v>137</v>
      </c>
      <c r="B39" s="285">
        <v>69864</v>
      </c>
      <c r="C39" s="291">
        <f>B39/'- 3 -'!$D39*100</f>
        <v>0.32115883433648734</v>
      </c>
      <c r="D39" s="285">
        <f>B39/'- 7 -'!$E39</f>
        <v>46.669338677354709</v>
      </c>
      <c r="E39" s="285">
        <v>21978</v>
      </c>
      <c r="F39" s="291">
        <f>E39/'- 3 -'!$D39*100</f>
        <v>0.10103098678929517</v>
      </c>
      <c r="G39" s="285">
        <f>E39/'- 7 -'!$E39</f>
        <v>14.681362725450901</v>
      </c>
    </row>
    <row r="40" spans="1:7" ht="14.1" customHeight="1" x14ac:dyDescent="0.2">
      <c r="A40" s="19" t="s">
        <v>138</v>
      </c>
      <c r="B40" s="20">
        <v>1558350</v>
      </c>
      <c r="C40" s="70">
        <f>B40/'- 3 -'!$D40*100</f>
        <v>1.4641808430349936</v>
      </c>
      <c r="D40" s="20">
        <f>B40/'- 7 -'!$E40</f>
        <v>190.97262646031223</v>
      </c>
      <c r="E40" s="20">
        <v>258822</v>
      </c>
      <c r="F40" s="70">
        <f>E40/'- 3 -'!$D40*100</f>
        <v>0.24318170767542793</v>
      </c>
      <c r="G40" s="20">
        <f>E40/'- 7 -'!$E40</f>
        <v>31.718110261309029</v>
      </c>
    </row>
    <row r="41" spans="1:7" ht="14.1" customHeight="1" x14ac:dyDescent="0.2">
      <c r="A41" s="284" t="s">
        <v>139</v>
      </c>
      <c r="B41" s="285">
        <v>376365</v>
      </c>
      <c r="C41" s="291">
        <f>B41/'- 3 -'!$D41*100</f>
        <v>0.58399292862170038</v>
      </c>
      <c r="D41" s="285">
        <f>B41/'- 7 -'!$E41</f>
        <v>83.673855046687422</v>
      </c>
      <c r="E41" s="285">
        <v>30622</v>
      </c>
      <c r="F41" s="291">
        <f>E41/'- 3 -'!$D41*100</f>
        <v>4.7515128825086572E-2</v>
      </c>
      <c r="G41" s="285">
        <f>E41/'- 7 -'!$E41</f>
        <v>6.8079146287238776</v>
      </c>
    </row>
    <row r="42" spans="1:7" ht="14.1" customHeight="1" x14ac:dyDescent="0.2">
      <c r="A42" s="19" t="s">
        <v>140</v>
      </c>
      <c r="B42" s="20">
        <v>99100</v>
      </c>
      <c r="C42" s="70">
        <f>B42/'- 3 -'!$D42*100</f>
        <v>0.48485095187592553</v>
      </c>
      <c r="D42" s="20">
        <f>B42/'- 7 -'!$E42</f>
        <v>72.330486825779133</v>
      </c>
      <c r="E42" s="20">
        <v>34491</v>
      </c>
      <c r="F42" s="70">
        <f>E42/'- 3 -'!$D42*100</f>
        <v>0.16874867993090362</v>
      </c>
      <c r="G42" s="20">
        <f>E42/'- 7 -'!$E42</f>
        <v>25.174074885044885</v>
      </c>
    </row>
    <row r="43" spans="1:7" ht="14.1" customHeight="1" x14ac:dyDescent="0.2">
      <c r="A43" s="284" t="s">
        <v>141</v>
      </c>
      <c r="B43" s="285">
        <v>118040</v>
      </c>
      <c r="C43" s="291">
        <f>B43/'- 3 -'!$D43*100</f>
        <v>0.90439224021650866</v>
      </c>
      <c r="D43" s="285">
        <f>B43/'- 7 -'!$E43</f>
        <v>117.74563591022444</v>
      </c>
      <c r="E43" s="285">
        <v>16736</v>
      </c>
      <c r="F43" s="291">
        <f>E43/'- 3 -'!$D43*100</f>
        <v>0.12822694452951108</v>
      </c>
      <c r="G43" s="285">
        <f>E43/'- 7 -'!$E43</f>
        <v>16.69426433915212</v>
      </c>
    </row>
    <row r="44" spans="1:7" ht="14.1" customHeight="1" x14ac:dyDescent="0.2">
      <c r="A44" s="19" t="s">
        <v>142</v>
      </c>
      <c r="B44" s="20">
        <v>23997</v>
      </c>
      <c r="C44" s="70">
        <f>B44/'- 3 -'!$D44*100</f>
        <v>0.22563803604548116</v>
      </c>
      <c r="D44" s="20">
        <f>B44/'- 7 -'!$E44</f>
        <v>34.677745664739888</v>
      </c>
      <c r="E44" s="20">
        <v>72666</v>
      </c>
      <c r="F44" s="70">
        <f>E44/'- 3 -'!$D44*100</f>
        <v>0.6832609712581128</v>
      </c>
      <c r="G44" s="20">
        <f>E44/'- 7 -'!$E44</f>
        <v>105.00867052023122</v>
      </c>
    </row>
    <row r="45" spans="1:7" ht="14.1" customHeight="1" x14ac:dyDescent="0.2">
      <c r="A45" s="284" t="s">
        <v>143</v>
      </c>
      <c r="B45" s="285">
        <v>77012</v>
      </c>
      <c r="C45" s="291">
        <f>B45/'- 3 -'!$D45*100</f>
        <v>0.36401345202986468</v>
      </c>
      <c r="D45" s="285">
        <f>B45/'- 7 -'!$E45</f>
        <v>40.215143603133157</v>
      </c>
      <c r="E45" s="285">
        <v>147464</v>
      </c>
      <c r="F45" s="291">
        <f>E45/'- 3 -'!$D45*100</f>
        <v>0.69701968122022495</v>
      </c>
      <c r="G45" s="285">
        <f>E45/'- 7 -'!$E45</f>
        <v>77.004699738903398</v>
      </c>
    </row>
    <row r="46" spans="1:7" ht="14.1" customHeight="1" x14ac:dyDescent="0.2">
      <c r="A46" s="19" t="s">
        <v>144</v>
      </c>
      <c r="B46" s="20">
        <v>1731822</v>
      </c>
      <c r="C46" s="70">
        <f>B46/'- 3 -'!$D46*100</f>
        <v>0.41892357727820473</v>
      </c>
      <c r="D46" s="20">
        <f>B46/'- 7 -'!$E46</f>
        <v>58.626932568712611</v>
      </c>
      <c r="E46" s="20">
        <v>3420486</v>
      </c>
      <c r="F46" s="70">
        <f>E46/'- 3 -'!$D46*100</f>
        <v>0.82740733813868717</v>
      </c>
      <c r="G46" s="20">
        <f>E46/'- 7 -'!$E46</f>
        <v>115.79284826860123</v>
      </c>
    </row>
    <row r="47" spans="1:7" ht="5.0999999999999996" customHeight="1" x14ac:dyDescent="0.2">
      <c r="A47" s="21"/>
      <c r="B47" s="22"/>
      <c r="C47"/>
      <c r="D47" s="22"/>
      <c r="E47" s="22"/>
      <c r="F47"/>
      <c r="G47"/>
    </row>
    <row r="48" spans="1:7" ht="14.1" customHeight="1" x14ac:dyDescent="0.2">
      <c r="A48" s="286" t="s">
        <v>145</v>
      </c>
      <c r="B48" s="287">
        <f>SUM(B11:B46)</f>
        <v>16672238</v>
      </c>
      <c r="C48" s="294">
        <f>B48/'- 3 -'!$D48*100</f>
        <v>0.6912906300179571</v>
      </c>
      <c r="D48" s="287">
        <f>B48/'- 7 -'!$E48</f>
        <v>92.508109741505322</v>
      </c>
      <c r="E48" s="287">
        <f>SUM(E11:E46)</f>
        <v>11625495</v>
      </c>
      <c r="F48" s="294">
        <f>E48/'- 3 -'!$D48*100</f>
        <v>0.48203461123939151</v>
      </c>
      <c r="G48" s="287">
        <f>E48/'- 7 -'!$E48</f>
        <v>64.505591106564182</v>
      </c>
    </row>
    <row r="49" spans="1:10" ht="5.0999999999999996" customHeight="1" x14ac:dyDescent="0.2">
      <c r="A49" s="21" t="s">
        <v>7</v>
      </c>
      <c r="B49" s="22"/>
      <c r="C49"/>
      <c r="D49" s="22"/>
      <c r="E49" s="22"/>
      <c r="F49"/>
      <c r="G49"/>
    </row>
    <row r="50" spans="1:10" ht="14.1" customHeight="1" x14ac:dyDescent="0.2">
      <c r="A50" s="19" t="s">
        <v>146</v>
      </c>
      <c r="B50" s="20">
        <v>30764</v>
      </c>
      <c r="C50" s="70">
        <f>B50/'- 3 -'!$D50*100</f>
        <v>0.96869591941094824</v>
      </c>
      <c r="D50" s="20">
        <f>B50/'- 7 -'!$E50</f>
        <v>161.91578947368421</v>
      </c>
      <c r="E50" s="20">
        <v>86366</v>
      </c>
      <c r="F50" s="70">
        <f>E50/'- 3 -'!$D50*100</f>
        <v>2.7194900460228175</v>
      </c>
      <c r="G50" s="20">
        <f>E50/'- 7 -'!$E50</f>
        <v>454.55789473684212</v>
      </c>
    </row>
    <row r="51" spans="1:10" ht="14.1" customHeight="1" x14ac:dyDescent="0.2">
      <c r="A51" s="284" t="s">
        <v>599</v>
      </c>
      <c r="B51" s="285">
        <v>12218</v>
      </c>
      <c r="C51" s="291">
        <f>B51/'- 3 -'!$D51*100</f>
        <v>4.0494749188588704E-2</v>
      </c>
      <c r="D51" s="285">
        <f>B51/'- 7 -'!$E51</f>
        <v>9.9011345218800653</v>
      </c>
      <c r="E51" s="285">
        <v>626</v>
      </c>
      <c r="F51" s="291">
        <f>E51/'- 3 -'!$D51*100</f>
        <v>2.074784170245255E-3</v>
      </c>
      <c r="G51" s="285">
        <f>E51/'- 7 -'!$E51</f>
        <v>0.50729335494327388</v>
      </c>
    </row>
    <row r="52" spans="1:10" ht="50.1" customHeight="1" x14ac:dyDescent="0.2">
      <c r="A52" s="23"/>
      <c r="B52" s="23"/>
      <c r="C52" s="23"/>
      <c r="D52" s="23"/>
      <c r="E52" s="23"/>
      <c r="F52" s="23"/>
      <c r="G52" s="23"/>
      <c r="H52" s="23"/>
      <c r="I52" s="23"/>
      <c r="J52" s="23"/>
    </row>
    <row r="53" spans="1:10" ht="15" customHeight="1" x14ac:dyDescent="0.2">
      <c r="A53" s="85" t="s">
        <v>346</v>
      </c>
    </row>
  </sheetData>
  <mergeCells count="4">
    <mergeCell ref="D8:D9"/>
    <mergeCell ref="G8:G9"/>
    <mergeCell ref="B6:D7"/>
    <mergeCell ref="E7:G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G52"/>
  <sheetViews>
    <sheetView showGridLines="0" showZeros="0" workbookViewId="0"/>
  </sheetViews>
  <sheetFormatPr defaultColWidth="15.83203125" defaultRowHeight="12" x14ac:dyDescent="0.2"/>
  <cols>
    <col min="1" max="1" width="32.83203125" style="2" customWidth="1"/>
    <col min="2" max="2" width="16.83203125" style="2" customWidth="1"/>
    <col min="3" max="3" width="15.83203125" style="2"/>
    <col min="4" max="4" width="17.83203125" style="2" customWidth="1"/>
    <col min="5" max="5" width="15.83203125" style="2"/>
    <col min="6" max="6" width="17.83203125" style="2" customWidth="1"/>
    <col min="7" max="16384" width="15.83203125" style="2"/>
  </cols>
  <sheetData>
    <row r="1" spans="1:7" ht="6.95" customHeight="1" x14ac:dyDescent="0.2">
      <c r="A1" s="7"/>
      <c r="B1" s="8"/>
      <c r="C1" s="8"/>
      <c r="D1" s="8"/>
      <c r="E1" s="8"/>
      <c r="F1" s="8"/>
      <c r="G1" s="8"/>
    </row>
    <row r="2" spans="1:7" ht="15.95" customHeight="1" x14ac:dyDescent="0.2">
      <c r="A2" s="134"/>
      <c r="B2" s="9" t="s">
        <v>263</v>
      </c>
      <c r="C2" s="10"/>
      <c r="D2" s="10"/>
      <c r="E2" s="10"/>
      <c r="F2" s="73"/>
      <c r="G2" s="395" t="s">
        <v>407</v>
      </c>
    </row>
    <row r="3" spans="1:7" ht="15.95" customHeight="1" x14ac:dyDescent="0.2">
      <c r="A3" s="11"/>
      <c r="B3" s="11" t="str">
        <f>OPYEAR</f>
        <v>OPERATING FUND 2019/2020 ACTUAL</v>
      </c>
      <c r="C3" s="12"/>
      <c r="D3" s="12"/>
      <c r="E3" s="12"/>
      <c r="F3" s="75"/>
      <c r="G3" s="66"/>
    </row>
    <row r="4" spans="1:7" ht="15.95" customHeight="1" x14ac:dyDescent="0.2">
      <c r="B4" s="8"/>
      <c r="C4" s="8"/>
      <c r="D4" s="8"/>
      <c r="E4" s="8"/>
      <c r="F4" s="8"/>
      <c r="G4" s="8"/>
    </row>
    <row r="5" spans="1:7" ht="15.95" customHeight="1" x14ac:dyDescent="0.2">
      <c r="B5" s="8"/>
      <c r="C5" s="8"/>
      <c r="D5" s="8"/>
      <c r="E5" s="8"/>
      <c r="F5" s="8"/>
      <c r="G5" s="8"/>
    </row>
    <row r="6" spans="1:7" ht="15.95" customHeight="1" x14ac:dyDescent="0.2">
      <c r="B6" s="164" t="s">
        <v>15</v>
      </c>
      <c r="C6" s="165"/>
      <c r="D6" s="166"/>
      <c r="E6" s="166"/>
      <c r="F6" s="166"/>
      <c r="G6" s="167"/>
    </row>
    <row r="7" spans="1:7" ht="15.95" customHeight="1" x14ac:dyDescent="0.2">
      <c r="B7" s="309"/>
      <c r="C7" s="310"/>
      <c r="D7" s="309"/>
      <c r="E7" s="310"/>
      <c r="F7" s="649" t="s">
        <v>493</v>
      </c>
      <c r="G7" s="650"/>
    </row>
    <row r="8" spans="1:7" ht="15.95" customHeight="1" x14ac:dyDescent="0.2">
      <c r="A8" s="67"/>
      <c r="B8" s="695" t="s">
        <v>19</v>
      </c>
      <c r="C8" s="655"/>
      <c r="D8" s="654" t="s">
        <v>34</v>
      </c>
      <c r="E8" s="655"/>
      <c r="F8" s="651"/>
      <c r="G8" s="652"/>
    </row>
    <row r="9" spans="1:7" ht="15.95" customHeight="1" x14ac:dyDescent="0.2">
      <c r="A9" s="35" t="s">
        <v>42</v>
      </c>
      <c r="B9" s="168" t="s">
        <v>43</v>
      </c>
      <c r="C9" s="168" t="s">
        <v>44</v>
      </c>
      <c r="D9" s="168" t="s">
        <v>43</v>
      </c>
      <c r="E9" s="168" t="s">
        <v>44</v>
      </c>
      <c r="F9" s="168" t="s">
        <v>43</v>
      </c>
      <c r="G9" s="168" t="s">
        <v>44</v>
      </c>
    </row>
    <row r="10" spans="1:7" ht="5.0999999999999996" customHeight="1" x14ac:dyDescent="0.2">
      <c r="A10" s="6"/>
    </row>
    <row r="11" spans="1:7" ht="14.1" customHeight="1" x14ac:dyDescent="0.2">
      <c r="A11" s="284" t="s">
        <v>110</v>
      </c>
      <c r="B11" s="285">
        <v>91381</v>
      </c>
      <c r="C11" s="291">
        <f>B11/'- 3 -'!$D11*100</f>
        <v>0.43478078828538858</v>
      </c>
      <c r="D11" s="285">
        <v>898723</v>
      </c>
      <c r="E11" s="291">
        <f>D11/'- 3 -'!$D11*100</f>
        <v>4.2760255894574284</v>
      </c>
      <c r="F11" s="285">
        <v>8743</v>
      </c>
      <c r="G11" s="291">
        <f>F11/'- 3 -'!$D11*100</f>
        <v>4.1598236307100515E-2</v>
      </c>
    </row>
    <row r="12" spans="1:7" ht="14.1" customHeight="1" x14ac:dyDescent="0.2">
      <c r="A12" s="19" t="s">
        <v>111</v>
      </c>
      <c r="B12" s="20">
        <v>130957</v>
      </c>
      <c r="C12" s="70">
        <f>B12/'- 3 -'!$D12*100</f>
        <v>0.39035810095375828</v>
      </c>
      <c r="D12" s="20">
        <v>1993267</v>
      </c>
      <c r="E12" s="70">
        <f>D12/'- 3 -'!$D12*100</f>
        <v>5.9415527296272437</v>
      </c>
      <c r="F12" s="20">
        <v>0</v>
      </c>
      <c r="G12" s="70">
        <f>F12/'- 3 -'!$D12*100</f>
        <v>0</v>
      </c>
    </row>
    <row r="13" spans="1:7" ht="14.1" customHeight="1" x14ac:dyDescent="0.2">
      <c r="A13" s="284" t="s">
        <v>112</v>
      </c>
      <c r="B13" s="285">
        <v>206482</v>
      </c>
      <c r="C13" s="291">
        <f>B13/'- 3 -'!$D13*100</f>
        <v>0.1975077910941837</v>
      </c>
      <c r="D13" s="285">
        <v>1721093</v>
      </c>
      <c r="E13" s="291">
        <f>D13/'- 3 -'!$D13*100</f>
        <v>1.646290120677163</v>
      </c>
      <c r="F13" s="285">
        <v>474</v>
      </c>
      <c r="G13" s="291">
        <f>F13/'- 3 -'!$D13*100</f>
        <v>4.5339880947803233E-4</v>
      </c>
    </row>
    <row r="14" spans="1:7" ht="14.1" customHeight="1" x14ac:dyDescent="0.2">
      <c r="A14" s="19" t="s">
        <v>358</v>
      </c>
      <c r="B14" s="20">
        <v>255863</v>
      </c>
      <c r="C14" s="70">
        <f>B14/'- 3 -'!$D14*100</f>
        <v>0.28562196383706207</v>
      </c>
      <c r="D14" s="20">
        <v>6277288</v>
      </c>
      <c r="E14" s="70">
        <f>D14/'- 3 -'!$D14*100</f>
        <v>7.0073880402044191</v>
      </c>
      <c r="F14" s="20">
        <v>148236</v>
      </c>
      <c r="G14" s="70">
        <f>F14/'- 3 -'!$D14*100</f>
        <v>0.16547706167500079</v>
      </c>
    </row>
    <row r="15" spans="1:7" ht="14.1" customHeight="1" x14ac:dyDescent="0.2">
      <c r="A15" s="284" t="s">
        <v>113</v>
      </c>
      <c r="B15" s="285">
        <v>206340</v>
      </c>
      <c r="C15" s="291">
        <f>B15/'- 3 -'!$D15*100</f>
        <v>1.046095529804749</v>
      </c>
      <c r="D15" s="285">
        <v>1345505</v>
      </c>
      <c r="E15" s="291">
        <f>D15/'- 3 -'!$D15*100</f>
        <v>6.8213955889790583</v>
      </c>
      <c r="F15" s="285">
        <v>1676</v>
      </c>
      <c r="G15" s="291">
        <f>F15/'- 3 -'!$D15*100</f>
        <v>8.4969279245553919E-3</v>
      </c>
    </row>
    <row r="16" spans="1:7" ht="14.1" customHeight="1" x14ac:dyDescent="0.2">
      <c r="A16" s="19" t="s">
        <v>114</v>
      </c>
      <c r="B16" s="20">
        <v>0</v>
      </c>
      <c r="C16" s="70">
        <f>B16/'- 3 -'!$D16*100</f>
        <v>0</v>
      </c>
      <c r="D16" s="20">
        <v>257679</v>
      </c>
      <c r="E16" s="70">
        <f>D16/'- 3 -'!$D16*100</f>
        <v>1.7927548434415514</v>
      </c>
      <c r="F16" s="20">
        <v>0</v>
      </c>
      <c r="G16" s="70">
        <f>F16/'- 3 -'!$D16*100</f>
        <v>0</v>
      </c>
    </row>
    <row r="17" spans="1:7" ht="14.1" customHeight="1" x14ac:dyDescent="0.2">
      <c r="A17" s="284" t="s">
        <v>115</v>
      </c>
      <c r="B17" s="285">
        <v>91675</v>
      </c>
      <c r="C17" s="291">
        <f>B17/'- 3 -'!$D17*100</f>
        <v>0.5092979160868143</v>
      </c>
      <c r="D17" s="285">
        <v>1252470</v>
      </c>
      <c r="E17" s="291">
        <f>D17/'- 3 -'!$D17*100</f>
        <v>6.9580622957322316</v>
      </c>
      <c r="F17" s="285">
        <v>0</v>
      </c>
      <c r="G17" s="291">
        <f>F17/'- 3 -'!$D17*100</f>
        <v>0</v>
      </c>
    </row>
    <row r="18" spans="1:7" ht="14.1" customHeight="1" x14ac:dyDescent="0.2">
      <c r="A18" s="19" t="s">
        <v>116</v>
      </c>
      <c r="B18" s="20">
        <v>331569</v>
      </c>
      <c r="C18" s="70">
        <f>B18/'- 3 -'!$D18*100</f>
        <v>0.2489579374095918</v>
      </c>
      <c r="D18" s="20">
        <v>7116804</v>
      </c>
      <c r="E18" s="70">
        <f>D18/'- 3 -'!$D18*100</f>
        <v>5.3436384124822665</v>
      </c>
      <c r="F18" s="20">
        <v>38221</v>
      </c>
      <c r="G18" s="70">
        <f>F18/'- 3 -'!$D18*100</f>
        <v>2.8698163355838475E-2</v>
      </c>
    </row>
    <row r="19" spans="1:7" ht="14.1" customHeight="1" x14ac:dyDescent="0.2">
      <c r="A19" s="284" t="s">
        <v>117</v>
      </c>
      <c r="B19" s="285">
        <v>149894</v>
      </c>
      <c r="C19" s="291">
        <f>B19/'- 3 -'!$D19*100</f>
        <v>0.30142174807360367</v>
      </c>
      <c r="D19" s="285">
        <v>2570944</v>
      </c>
      <c r="E19" s="291">
        <f>D19/'- 3 -'!$D19*100</f>
        <v>5.1699096340036483</v>
      </c>
      <c r="F19" s="285">
        <v>23416</v>
      </c>
      <c r="G19" s="291">
        <f>F19/'- 3 -'!$D19*100</f>
        <v>4.708721932093015E-2</v>
      </c>
    </row>
    <row r="20" spans="1:7" ht="14.1" customHeight="1" x14ac:dyDescent="0.2">
      <c r="A20" s="19" t="s">
        <v>118</v>
      </c>
      <c r="B20" s="20">
        <v>308205</v>
      </c>
      <c r="C20" s="70">
        <f>B20/'- 3 -'!$D20*100</f>
        <v>0.34818419915126225</v>
      </c>
      <c r="D20" s="20">
        <v>2726418</v>
      </c>
      <c r="E20" s="70">
        <f>D20/'- 3 -'!$D20*100</f>
        <v>3.0800787394156037</v>
      </c>
      <c r="F20" s="20">
        <v>1135</v>
      </c>
      <c r="G20" s="70">
        <f>F20/'- 3 -'!$D20*100</f>
        <v>1.2822279522937093E-3</v>
      </c>
    </row>
    <row r="21" spans="1:7" ht="14.1" customHeight="1" x14ac:dyDescent="0.2">
      <c r="A21" s="284" t="s">
        <v>119</v>
      </c>
      <c r="B21" s="285">
        <v>151693</v>
      </c>
      <c r="C21" s="291">
        <f>B21/'- 3 -'!$D21*100</f>
        <v>0.40334026887259566</v>
      </c>
      <c r="D21" s="285">
        <v>1601949</v>
      </c>
      <c r="E21" s="291">
        <f>D21/'- 3 -'!$D21*100</f>
        <v>4.2594618102363713</v>
      </c>
      <c r="F21" s="285">
        <v>363</v>
      </c>
      <c r="G21" s="291">
        <f>F21/'- 3 -'!$D21*100</f>
        <v>9.6518967652266241E-4</v>
      </c>
    </row>
    <row r="22" spans="1:7" ht="14.1" customHeight="1" x14ac:dyDescent="0.2">
      <c r="A22" s="19" t="s">
        <v>120</v>
      </c>
      <c r="B22" s="20">
        <v>83573</v>
      </c>
      <c r="C22" s="70">
        <f>B22/'- 3 -'!$D22*100</f>
        <v>0.40484406118666255</v>
      </c>
      <c r="D22" s="20">
        <v>376674</v>
      </c>
      <c r="E22" s="70">
        <f>D22/'- 3 -'!$D22*100</f>
        <v>1.8246829945487768</v>
      </c>
      <c r="F22" s="20">
        <v>2064</v>
      </c>
      <c r="G22" s="70">
        <f>F22/'- 3 -'!$D22*100</f>
        <v>9.9984222450943665E-3</v>
      </c>
    </row>
    <row r="23" spans="1:7" ht="14.1" customHeight="1" x14ac:dyDescent="0.2">
      <c r="A23" s="284" t="s">
        <v>121</v>
      </c>
      <c r="B23" s="285">
        <v>86821</v>
      </c>
      <c r="C23" s="291">
        <f>B23/'- 3 -'!$D23*100</f>
        <v>0.55941156920934187</v>
      </c>
      <c r="D23" s="285">
        <v>1287293</v>
      </c>
      <c r="E23" s="291">
        <f>D23/'- 3 -'!$D23*100</f>
        <v>8.2943826627452033</v>
      </c>
      <c r="F23" s="285">
        <v>0</v>
      </c>
      <c r="G23" s="291">
        <f>F23/'- 3 -'!$D23*100</f>
        <v>0</v>
      </c>
    </row>
    <row r="24" spans="1:7" ht="14.1" customHeight="1" x14ac:dyDescent="0.2">
      <c r="A24" s="19" t="s">
        <v>122</v>
      </c>
      <c r="B24" s="20">
        <v>162543</v>
      </c>
      <c r="C24" s="70">
        <f>B24/'- 3 -'!$D24*100</f>
        <v>0.27812604205508457</v>
      </c>
      <c r="D24" s="20">
        <v>2127581</v>
      </c>
      <c r="E24" s="70">
        <f>D24/'- 3 -'!$D24*100</f>
        <v>3.6404870260890898</v>
      </c>
      <c r="F24" s="20">
        <v>8884</v>
      </c>
      <c r="G24" s="70">
        <f>F24/'- 3 -'!$D24*100</f>
        <v>1.5201342153260192E-2</v>
      </c>
    </row>
    <row r="25" spans="1:7" ht="14.1" customHeight="1" x14ac:dyDescent="0.2">
      <c r="A25" s="284" t="s">
        <v>123</v>
      </c>
      <c r="B25" s="285">
        <v>393518</v>
      </c>
      <c r="C25" s="291">
        <f>B25/'- 3 -'!$D25*100</f>
        <v>0.20275771472757559</v>
      </c>
      <c r="D25" s="285">
        <v>3394428</v>
      </c>
      <c r="E25" s="291">
        <f>D25/'- 3 -'!$D25*100</f>
        <v>1.7489580250135826</v>
      </c>
      <c r="F25" s="285">
        <v>1057</v>
      </c>
      <c r="G25" s="291">
        <f>F25/'- 3 -'!$D25*100</f>
        <v>5.4461271013536206E-4</v>
      </c>
    </row>
    <row r="26" spans="1:7" ht="14.1" customHeight="1" x14ac:dyDescent="0.2">
      <c r="A26" s="19" t="s">
        <v>124</v>
      </c>
      <c r="B26" s="20">
        <v>227537</v>
      </c>
      <c r="C26" s="70">
        <f>B26/'- 3 -'!$D26*100</f>
        <v>0.55619878074163831</v>
      </c>
      <c r="D26" s="20">
        <v>2270827</v>
      </c>
      <c r="E26" s="70">
        <f>D26/'- 3 -'!$D26*100</f>
        <v>5.5508827517071611</v>
      </c>
      <c r="F26" s="20">
        <v>6913</v>
      </c>
      <c r="G26" s="70">
        <f>F26/'- 3 -'!$D26*100</f>
        <v>1.6898360140403298E-2</v>
      </c>
    </row>
    <row r="27" spans="1:7" ht="14.1" customHeight="1" x14ac:dyDescent="0.2">
      <c r="A27" s="284" t="s">
        <v>125</v>
      </c>
      <c r="B27" s="285">
        <v>0</v>
      </c>
      <c r="C27" s="291">
        <f>B27/'- 3 -'!$D27*100</f>
        <v>0</v>
      </c>
      <c r="D27" s="285">
        <v>9550</v>
      </c>
      <c r="E27" s="291">
        <f>D27/'- 3 -'!$D27*100</f>
        <v>2.2934388484910109E-2</v>
      </c>
      <c r="F27" s="285">
        <v>144542</v>
      </c>
      <c r="G27" s="291">
        <f>F27/'- 3 -'!$D27*100</f>
        <v>0.34711857386239547</v>
      </c>
    </row>
    <row r="28" spans="1:7" ht="14.1" customHeight="1" x14ac:dyDescent="0.2">
      <c r="A28" s="19" t="s">
        <v>126</v>
      </c>
      <c r="B28" s="20">
        <v>55733</v>
      </c>
      <c r="C28" s="70">
        <f>B28/'- 3 -'!$D28*100</f>
        <v>0.19740061504354692</v>
      </c>
      <c r="D28" s="20">
        <v>1543886</v>
      </c>
      <c r="E28" s="70">
        <f>D28/'- 3 -'!$D28*100</f>
        <v>5.4682871181727428</v>
      </c>
      <c r="F28" s="20">
        <v>4610</v>
      </c>
      <c r="G28" s="70">
        <f>F28/'- 3 -'!$D28*100</f>
        <v>1.63281509222678E-2</v>
      </c>
    </row>
    <row r="29" spans="1:7" ht="14.1" customHeight="1" x14ac:dyDescent="0.2">
      <c r="A29" s="284" t="s">
        <v>127</v>
      </c>
      <c r="B29" s="285">
        <v>190922</v>
      </c>
      <c r="C29" s="291">
        <f>B29/'- 3 -'!$D29*100</f>
        <v>0.11283866967415333</v>
      </c>
      <c r="D29" s="285">
        <v>2310211</v>
      </c>
      <c r="E29" s="291">
        <f>D29/'- 3 -'!$D29*100</f>
        <v>1.3653802909386841</v>
      </c>
      <c r="F29" s="285">
        <v>50477</v>
      </c>
      <c r="G29" s="291">
        <f>F29/'- 3 -'!$D29*100</f>
        <v>2.9832903118248488E-2</v>
      </c>
    </row>
    <row r="30" spans="1:7" ht="14.1" customHeight="1" x14ac:dyDescent="0.2">
      <c r="A30" s="19" t="s">
        <v>128</v>
      </c>
      <c r="B30" s="20">
        <v>90573</v>
      </c>
      <c r="C30" s="70">
        <f>B30/'- 3 -'!$D30*100</f>
        <v>0.58219322929837147</v>
      </c>
      <c r="D30" s="20">
        <v>890405</v>
      </c>
      <c r="E30" s="70">
        <f>D30/'- 3 -'!$D30*100</f>
        <v>5.7234248874765816</v>
      </c>
      <c r="F30" s="20">
        <v>0</v>
      </c>
      <c r="G30" s="70">
        <f>F30/'- 3 -'!$D30*100</f>
        <v>0</v>
      </c>
    </row>
    <row r="31" spans="1:7" ht="14.1" customHeight="1" x14ac:dyDescent="0.2">
      <c r="A31" s="284" t="s">
        <v>129</v>
      </c>
      <c r="B31" s="285">
        <v>121179</v>
      </c>
      <c r="C31" s="291">
        <f>B31/'- 3 -'!$D31*100</f>
        <v>0.3032919486661001</v>
      </c>
      <c r="D31" s="285">
        <v>837265</v>
      </c>
      <c r="E31" s="291">
        <f>D31/'- 3 -'!$D31*100</f>
        <v>2.0955424075122115</v>
      </c>
      <c r="F31" s="285">
        <v>251</v>
      </c>
      <c r="G31" s="291">
        <f>F31/'- 3 -'!$D31*100</f>
        <v>6.2821346202882619E-4</v>
      </c>
    </row>
    <row r="32" spans="1:7" ht="14.1" customHeight="1" x14ac:dyDescent="0.2">
      <c r="A32" s="19" t="s">
        <v>130</v>
      </c>
      <c r="B32" s="20">
        <v>166428</v>
      </c>
      <c r="C32" s="70">
        <f>B32/'- 3 -'!$D32*100</f>
        <v>0.54862337325841803</v>
      </c>
      <c r="D32" s="20">
        <v>1697910</v>
      </c>
      <c r="E32" s="70">
        <f>D32/'- 3 -'!$D32*100</f>
        <v>5.5970937083255246</v>
      </c>
      <c r="F32" s="20">
        <v>0</v>
      </c>
      <c r="G32" s="70">
        <f>F32/'- 3 -'!$D32*100</f>
        <v>0</v>
      </c>
    </row>
    <row r="33" spans="1:7" ht="14.1" customHeight="1" x14ac:dyDescent="0.2">
      <c r="A33" s="284" t="s">
        <v>131</v>
      </c>
      <c r="B33" s="285">
        <v>120071</v>
      </c>
      <c r="C33" s="291">
        <f>B33/'- 3 -'!$D33*100</f>
        <v>0.42775282227408351</v>
      </c>
      <c r="D33" s="285">
        <v>1874309</v>
      </c>
      <c r="E33" s="291">
        <f>D33/'- 3 -'!$D33*100</f>
        <v>6.6772240138227819</v>
      </c>
      <c r="F33" s="285">
        <v>0</v>
      </c>
      <c r="G33" s="291">
        <f>F33/'- 3 -'!$D33*100</f>
        <v>0</v>
      </c>
    </row>
    <row r="34" spans="1:7" ht="14.1" customHeight="1" x14ac:dyDescent="0.2">
      <c r="A34" s="19" t="s">
        <v>132</v>
      </c>
      <c r="B34" s="20">
        <v>169819</v>
      </c>
      <c r="C34" s="70">
        <f>B34/'- 3 -'!$D34*100</f>
        <v>0.55784926326146445</v>
      </c>
      <c r="D34" s="20">
        <v>2036591</v>
      </c>
      <c r="E34" s="70">
        <f>D34/'- 3 -'!$D34*100</f>
        <v>6.6901276589482279</v>
      </c>
      <c r="F34" s="20">
        <v>12684</v>
      </c>
      <c r="G34" s="70">
        <f>F34/'- 3 -'!$D34*100</f>
        <v>4.1666480518719434E-2</v>
      </c>
    </row>
    <row r="35" spans="1:7" ht="14.1" customHeight="1" x14ac:dyDescent="0.2">
      <c r="A35" s="284" t="s">
        <v>133</v>
      </c>
      <c r="B35" s="285">
        <v>314420</v>
      </c>
      <c r="C35" s="291">
        <f>B35/'- 3 -'!$D35*100</f>
        <v>0.16412410199968949</v>
      </c>
      <c r="D35" s="285">
        <v>3490230</v>
      </c>
      <c r="E35" s="291">
        <f>D35/'- 3 -'!$D35*100</f>
        <v>1.8218652265198656</v>
      </c>
      <c r="F35" s="285">
        <v>10699</v>
      </c>
      <c r="G35" s="291">
        <f>F35/'- 3 -'!$D35*100</f>
        <v>5.5847712209613817E-3</v>
      </c>
    </row>
    <row r="36" spans="1:7" ht="14.1" customHeight="1" x14ac:dyDescent="0.2">
      <c r="A36" s="19" t="s">
        <v>134</v>
      </c>
      <c r="B36" s="20">
        <v>57080</v>
      </c>
      <c r="C36" s="70">
        <f>B36/'- 3 -'!$D36*100</f>
        <v>0.24137371243214589</v>
      </c>
      <c r="D36" s="20">
        <v>1293703</v>
      </c>
      <c r="E36" s="70">
        <f>D36/'- 3 -'!$D36*100</f>
        <v>5.4706709161633578</v>
      </c>
      <c r="F36" s="20">
        <v>1313</v>
      </c>
      <c r="G36" s="70">
        <f>F36/'- 3 -'!$D36*100</f>
        <v>5.5522719765838738E-3</v>
      </c>
    </row>
    <row r="37" spans="1:7" ht="14.1" customHeight="1" x14ac:dyDescent="0.2">
      <c r="A37" s="284" t="s">
        <v>135</v>
      </c>
      <c r="B37" s="285">
        <v>228470</v>
      </c>
      <c r="C37" s="291">
        <f>B37/'- 3 -'!$D37*100</f>
        <v>0.41631318675982298</v>
      </c>
      <c r="D37" s="285">
        <v>2651387</v>
      </c>
      <c r="E37" s="291">
        <f>D37/'- 3 -'!$D37*100</f>
        <v>4.8313011393336849</v>
      </c>
      <c r="F37" s="285">
        <v>0</v>
      </c>
      <c r="G37" s="291">
        <f>F37/'- 3 -'!$D37*100</f>
        <v>0</v>
      </c>
    </row>
    <row r="38" spans="1:7" ht="14.1" customHeight="1" x14ac:dyDescent="0.2">
      <c r="A38" s="19" t="s">
        <v>136</v>
      </c>
      <c r="B38" s="20">
        <v>327750</v>
      </c>
      <c r="C38" s="70">
        <f>B38/'- 3 -'!$D38*100</f>
        <v>0.22222893636505087</v>
      </c>
      <c r="D38" s="20">
        <v>2944683</v>
      </c>
      <c r="E38" s="70">
        <f>D38/'- 3 -'!$D38*100</f>
        <v>1.9966247780999151</v>
      </c>
      <c r="F38" s="20">
        <v>196570</v>
      </c>
      <c r="G38" s="70">
        <f>F38/'- 3 -'!$D38*100</f>
        <v>0.13328311829528008</v>
      </c>
    </row>
    <row r="39" spans="1:7" ht="14.1" customHeight="1" x14ac:dyDescent="0.2">
      <c r="A39" s="284" t="s">
        <v>137</v>
      </c>
      <c r="B39" s="285">
        <v>107469</v>
      </c>
      <c r="C39" s="291">
        <f>B39/'- 3 -'!$D39*100</f>
        <v>0.49402580395207774</v>
      </c>
      <c r="D39" s="285">
        <v>1517636</v>
      </c>
      <c r="E39" s="291">
        <f>D39/'- 3 -'!$D39*100</f>
        <v>6.9764429277895532</v>
      </c>
      <c r="F39" s="285">
        <v>0</v>
      </c>
      <c r="G39" s="291">
        <f>F39/'- 3 -'!$D39*100</f>
        <v>0</v>
      </c>
    </row>
    <row r="40" spans="1:7" ht="14.1" customHeight="1" x14ac:dyDescent="0.2">
      <c r="A40" s="19" t="s">
        <v>138</v>
      </c>
      <c r="B40" s="20">
        <v>149573</v>
      </c>
      <c r="C40" s="70">
        <f>B40/'- 3 -'!$D40*100</f>
        <v>0.14053448919387371</v>
      </c>
      <c r="D40" s="20">
        <v>1709760</v>
      </c>
      <c r="E40" s="70">
        <f>D40/'- 3 -'!$D40*100</f>
        <v>1.6064413245981395</v>
      </c>
      <c r="F40" s="20">
        <v>1363</v>
      </c>
      <c r="G40" s="70">
        <f>F40/'- 3 -'!$D40*100</f>
        <v>1.2806356011529478E-3</v>
      </c>
    </row>
    <row r="41" spans="1:7" ht="14.1" customHeight="1" x14ac:dyDescent="0.2">
      <c r="A41" s="284" t="s">
        <v>139</v>
      </c>
      <c r="B41" s="285">
        <v>503766</v>
      </c>
      <c r="C41" s="291">
        <f>B41/'- 3 -'!$D41*100</f>
        <v>0.78167678099727522</v>
      </c>
      <c r="D41" s="285">
        <v>3949223</v>
      </c>
      <c r="E41" s="291">
        <f>D41/'- 3 -'!$D41*100</f>
        <v>6.1278766770294189</v>
      </c>
      <c r="F41" s="285">
        <v>5761</v>
      </c>
      <c r="G41" s="291">
        <f>F41/'- 3 -'!$D41*100</f>
        <v>8.9391501914089129E-3</v>
      </c>
    </row>
    <row r="42" spans="1:7" ht="14.1" customHeight="1" x14ac:dyDescent="0.2">
      <c r="A42" s="19" t="s">
        <v>140</v>
      </c>
      <c r="B42" s="20">
        <v>126782</v>
      </c>
      <c r="C42" s="70">
        <f>B42/'- 3 -'!$D42*100</f>
        <v>0.62028631060276074</v>
      </c>
      <c r="D42" s="20">
        <v>1259693</v>
      </c>
      <c r="E42" s="70">
        <f>D42/'- 3 -'!$D42*100</f>
        <v>6.1631014139398612</v>
      </c>
      <c r="F42" s="20">
        <v>0</v>
      </c>
      <c r="G42" s="70">
        <f>F42/'- 3 -'!$D42*100</f>
        <v>0</v>
      </c>
    </row>
    <row r="43" spans="1:7" ht="14.1" customHeight="1" x14ac:dyDescent="0.2">
      <c r="A43" s="284" t="s">
        <v>141</v>
      </c>
      <c r="B43" s="285">
        <v>92644</v>
      </c>
      <c r="C43" s="291">
        <f>B43/'- 3 -'!$D43*100</f>
        <v>0.7098145942275349</v>
      </c>
      <c r="D43" s="285">
        <v>795857</v>
      </c>
      <c r="E43" s="291">
        <f>D43/'- 3 -'!$D43*100</f>
        <v>6.0976524493560644</v>
      </c>
      <c r="F43" s="285">
        <v>0</v>
      </c>
      <c r="G43" s="291">
        <f>F43/'- 3 -'!$D43*100</f>
        <v>0</v>
      </c>
    </row>
    <row r="44" spans="1:7" ht="14.1" customHeight="1" x14ac:dyDescent="0.2">
      <c r="A44" s="19" t="s">
        <v>142</v>
      </c>
      <c r="B44" s="20">
        <v>53434</v>
      </c>
      <c r="C44" s="70">
        <f>B44/'- 3 -'!$D44*100</f>
        <v>0.5024270874715272</v>
      </c>
      <c r="D44" s="20">
        <v>801423</v>
      </c>
      <c r="E44" s="70">
        <f>D44/'- 3 -'!$D44*100</f>
        <v>7.5355882719372271</v>
      </c>
      <c r="F44" s="20">
        <v>0</v>
      </c>
      <c r="G44" s="70">
        <f>F44/'- 3 -'!$D44*100</f>
        <v>0</v>
      </c>
    </row>
    <row r="45" spans="1:7" ht="14.1" customHeight="1" x14ac:dyDescent="0.2">
      <c r="A45" s="284" t="s">
        <v>143</v>
      </c>
      <c r="B45" s="285">
        <v>49092</v>
      </c>
      <c r="C45" s="291">
        <f>B45/'- 3 -'!$D45*100</f>
        <v>0.2320436865300228</v>
      </c>
      <c r="D45" s="285">
        <v>556959</v>
      </c>
      <c r="E45" s="291">
        <f>D45/'- 3 -'!$D45*100</f>
        <v>2.6325841197359034</v>
      </c>
      <c r="F45" s="285">
        <v>16910</v>
      </c>
      <c r="G45" s="291">
        <f>F45/'- 3 -'!$D45*100</f>
        <v>7.9928679606100506E-2</v>
      </c>
    </row>
    <row r="46" spans="1:7" ht="14.1" customHeight="1" x14ac:dyDescent="0.2">
      <c r="A46" s="19" t="s">
        <v>144</v>
      </c>
      <c r="B46" s="20">
        <v>580815</v>
      </c>
      <c r="C46" s="70">
        <f>B46/'- 3 -'!$D46*100</f>
        <v>0.14049775181100627</v>
      </c>
      <c r="D46" s="20">
        <v>5843688</v>
      </c>
      <c r="E46" s="70">
        <f>D46/'- 3 -'!$D46*100</f>
        <v>1.4135740748516403</v>
      </c>
      <c r="F46" s="20">
        <v>0</v>
      </c>
      <c r="G46" s="70">
        <f>F46/'- 3 -'!$D46*100</f>
        <v>0</v>
      </c>
    </row>
    <row r="47" spans="1:7" ht="5.0999999999999996" customHeight="1" x14ac:dyDescent="0.2">
      <c r="A47"/>
      <c r="B47" s="22"/>
      <c r="C47"/>
      <c r="D47" s="22"/>
      <c r="E47"/>
      <c r="F47" s="22"/>
      <c r="G47"/>
    </row>
    <row r="48" spans="1:7" ht="14.1" customHeight="1" x14ac:dyDescent="0.2">
      <c r="A48" s="286" t="s">
        <v>145</v>
      </c>
      <c r="B48" s="287">
        <f>SUM(B11:B46)</f>
        <v>6384071</v>
      </c>
      <c r="C48" s="294">
        <f>B48/'- 3 -'!$D48*100</f>
        <v>0.26470642175749709</v>
      </c>
      <c r="D48" s="287">
        <f>SUM(D11:D46)</f>
        <v>75233312</v>
      </c>
      <c r="E48" s="294">
        <f>D48/'- 3 -'!$D48*100</f>
        <v>3.1194422518930889</v>
      </c>
      <c r="F48" s="287">
        <f>SUM(F11:F46)</f>
        <v>686362</v>
      </c>
      <c r="G48" s="294">
        <f>F48/'- 3 -'!$D48*100</f>
        <v>2.8459023881519992E-2</v>
      </c>
    </row>
    <row r="49" spans="1:7" ht="5.0999999999999996" customHeight="1" x14ac:dyDescent="0.2">
      <c r="A49" s="21" t="s">
        <v>7</v>
      </c>
      <c r="B49" s="22"/>
      <c r="C49"/>
      <c r="D49" s="22"/>
      <c r="E49"/>
      <c r="F49" s="22"/>
      <c r="G49"/>
    </row>
    <row r="50" spans="1:7" ht="14.1" customHeight="1" x14ac:dyDescent="0.2">
      <c r="A50" s="19" t="s">
        <v>146</v>
      </c>
      <c r="B50" s="20">
        <v>0</v>
      </c>
      <c r="C50" s="70">
        <f>B50/'- 3 -'!$D50*100</f>
        <v>0</v>
      </c>
      <c r="D50" s="20">
        <v>0</v>
      </c>
      <c r="E50" s="70">
        <f>D50/'- 3 -'!$D50*100</f>
        <v>0</v>
      </c>
      <c r="F50" s="20">
        <v>8380</v>
      </c>
      <c r="G50" s="70">
        <f>F50/'- 3 -'!$D50*100</f>
        <v>0.26386919141411214</v>
      </c>
    </row>
    <row r="51" spans="1:7" ht="14.1" customHeight="1" x14ac:dyDescent="0.2">
      <c r="A51" s="284" t="s">
        <v>599</v>
      </c>
      <c r="B51" s="285">
        <v>0</v>
      </c>
      <c r="C51" s="291">
        <f>B51/'- 3 -'!$D51*100</f>
        <v>0</v>
      </c>
      <c r="D51" s="285">
        <v>0</v>
      </c>
      <c r="E51" s="291">
        <f>D51/'- 3 -'!$D51*100</f>
        <v>0</v>
      </c>
      <c r="F51" s="285">
        <v>0</v>
      </c>
      <c r="G51" s="291">
        <f>F51/'- 3 -'!$D51*100</f>
        <v>0</v>
      </c>
    </row>
    <row r="52" spans="1:7" ht="50.1" customHeight="1" x14ac:dyDescent="0.2"/>
  </sheetData>
  <mergeCells count="3">
    <mergeCell ref="D8:E8"/>
    <mergeCell ref="B8:C8"/>
    <mergeCell ref="F7:G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G52"/>
  <sheetViews>
    <sheetView showGridLines="0" showZeros="0" workbookViewId="0"/>
  </sheetViews>
  <sheetFormatPr defaultColWidth="15.83203125" defaultRowHeight="12" x14ac:dyDescent="0.2"/>
  <cols>
    <col min="1" max="1" width="33.83203125" style="2" customWidth="1"/>
    <col min="2" max="2" width="19.83203125" style="2" customWidth="1"/>
    <col min="3" max="3" width="15.83203125" style="2"/>
    <col min="4" max="4" width="19.83203125" style="2" customWidth="1"/>
    <col min="5" max="5" width="15.83203125" style="2"/>
    <col min="6" max="6" width="11.83203125" style="2" customWidth="1"/>
    <col min="7" max="16384" width="15.83203125" style="2"/>
  </cols>
  <sheetData>
    <row r="1" spans="1:7" ht="6.95" customHeight="1" x14ac:dyDescent="0.2">
      <c r="A1" s="7"/>
      <c r="B1" s="8"/>
      <c r="C1" s="8"/>
      <c r="D1" s="8"/>
      <c r="E1" s="8"/>
      <c r="F1" s="8"/>
      <c r="G1" s="8"/>
    </row>
    <row r="2" spans="1:7" ht="15.95" customHeight="1" x14ac:dyDescent="0.2">
      <c r="A2" s="134"/>
      <c r="B2" s="9" t="s">
        <v>263</v>
      </c>
      <c r="C2" s="10"/>
      <c r="D2" s="10"/>
      <c r="E2" s="10"/>
      <c r="F2" s="73"/>
      <c r="G2" s="395" t="s">
        <v>408</v>
      </c>
    </row>
    <row r="3" spans="1:7" ht="15.95" customHeight="1" x14ac:dyDescent="0.2">
      <c r="A3" s="541"/>
      <c r="B3" s="11" t="str">
        <f>OPYEAR</f>
        <v>OPERATING FUND 2019/2020 ACTUAL</v>
      </c>
      <c r="C3" s="12"/>
      <c r="D3" s="12"/>
      <c r="E3" s="12"/>
      <c r="F3" s="75"/>
      <c r="G3" s="66"/>
    </row>
    <row r="4" spans="1:7" ht="15.95" customHeight="1" x14ac:dyDescent="0.2">
      <c r="B4" s="8"/>
      <c r="C4" s="8"/>
      <c r="D4" s="8"/>
      <c r="E4" s="8"/>
      <c r="F4" s="8"/>
      <c r="G4" s="8"/>
    </row>
    <row r="5" spans="1:7" ht="15.95" customHeight="1" x14ac:dyDescent="0.2">
      <c r="B5" s="8"/>
      <c r="C5" s="8"/>
      <c r="D5" s="8"/>
      <c r="E5" s="8"/>
      <c r="F5" s="8"/>
      <c r="G5" s="8"/>
    </row>
    <row r="6" spans="1:7" ht="15.95" customHeight="1" x14ac:dyDescent="0.2">
      <c r="B6" s="557" t="s">
        <v>15</v>
      </c>
      <c r="C6" s="72"/>
      <c r="D6" s="173"/>
      <c r="E6" s="174"/>
      <c r="F6" s="8"/>
      <c r="G6" s="43"/>
    </row>
    <row r="7" spans="1:7" ht="15.95" customHeight="1" x14ac:dyDescent="0.2">
      <c r="B7" s="676" t="s">
        <v>494</v>
      </c>
      <c r="C7" s="677"/>
      <c r="D7" s="696" t="s">
        <v>495</v>
      </c>
      <c r="E7" s="650"/>
      <c r="F7" s="69"/>
      <c r="G7" s="8"/>
    </row>
    <row r="8" spans="1:7" ht="15.95" customHeight="1" x14ac:dyDescent="0.2">
      <c r="A8" s="403"/>
      <c r="B8" s="678"/>
      <c r="C8" s="679"/>
      <c r="D8" s="683"/>
      <c r="E8" s="652"/>
      <c r="F8" s="8"/>
      <c r="G8" s="8"/>
    </row>
    <row r="9" spans="1:7" ht="15.95" customHeight="1" x14ac:dyDescent="0.2">
      <c r="A9" s="35" t="s">
        <v>42</v>
      </c>
      <c r="B9" s="77" t="s">
        <v>43</v>
      </c>
      <c r="C9" s="77" t="s">
        <v>44</v>
      </c>
      <c r="D9" s="168" t="s">
        <v>43</v>
      </c>
      <c r="E9" s="168" t="s">
        <v>44</v>
      </c>
    </row>
    <row r="10" spans="1:7" ht="5.0999999999999996" customHeight="1" x14ac:dyDescent="0.2">
      <c r="A10" s="6"/>
    </row>
    <row r="11" spans="1:7" ht="14.1" customHeight="1" x14ac:dyDescent="0.2">
      <c r="A11" s="284" t="s">
        <v>110</v>
      </c>
      <c r="B11" s="285">
        <v>0</v>
      </c>
      <c r="C11" s="291">
        <f>B11/'- 3 -'!$D11*100</f>
        <v>0</v>
      </c>
      <c r="D11" s="285">
        <v>98115</v>
      </c>
      <c r="E11" s="291">
        <f>D11/'- 3 -'!$D11*100</f>
        <v>0.46682042265482865</v>
      </c>
    </row>
    <row r="12" spans="1:7" ht="14.1" customHeight="1" x14ac:dyDescent="0.2">
      <c r="A12" s="19" t="s">
        <v>111</v>
      </c>
      <c r="B12" s="20">
        <v>0</v>
      </c>
      <c r="C12" s="70">
        <f>B12/'- 3 -'!$D12*100</f>
        <v>0</v>
      </c>
      <c r="D12" s="20">
        <v>159024</v>
      </c>
      <c r="E12" s="70">
        <f>D12/'- 3 -'!$D12*100</f>
        <v>0.47402053075490774</v>
      </c>
    </row>
    <row r="13" spans="1:7" ht="14.1" customHeight="1" x14ac:dyDescent="0.2">
      <c r="A13" s="284" t="s">
        <v>112</v>
      </c>
      <c r="B13" s="285">
        <v>0</v>
      </c>
      <c r="C13" s="291">
        <f>B13/'- 3 -'!$D13*100</f>
        <v>0</v>
      </c>
      <c r="D13" s="285">
        <v>47283</v>
      </c>
      <c r="E13" s="291">
        <f>D13/'- 3 -'!$D13*100</f>
        <v>4.5227966051792835E-2</v>
      </c>
    </row>
    <row r="14" spans="1:7" ht="14.1" customHeight="1" x14ac:dyDescent="0.2">
      <c r="A14" s="19" t="s">
        <v>358</v>
      </c>
      <c r="B14" s="20">
        <v>0</v>
      </c>
      <c r="C14" s="70">
        <f>B14/'- 3 -'!$D14*100</f>
        <v>0</v>
      </c>
      <c r="D14" s="20">
        <v>377309</v>
      </c>
      <c r="E14" s="70">
        <f>D14/'- 3 -'!$D14*100</f>
        <v>0.42119312895337757</v>
      </c>
    </row>
    <row r="15" spans="1:7" ht="14.1" customHeight="1" x14ac:dyDescent="0.2">
      <c r="A15" s="284" t="s">
        <v>113</v>
      </c>
      <c r="B15" s="285">
        <v>0</v>
      </c>
      <c r="C15" s="291">
        <f>B15/'- 3 -'!$D15*100</f>
        <v>0</v>
      </c>
      <c r="D15" s="285">
        <v>82452</v>
      </c>
      <c r="E15" s="291">
        <f>D15/'- 3 -'!$D15*100</f>
        <v>0.41801235157245886</v>
      </c>
    </row>
    <row r="16" spans="1:7" ht="14.1" customHeight="1" x14ac:dyDescent="0.2">
      <c r="A16" s="19" t="s">
        <v>114</v>
      </c>
      <c r="B16" s="20">
        <v>0</v>
      </c>
      <c r="C16" s="70">
        <f>B16/'- 3 -'!$D16*100</f>
        <v>0</v>
      </c>
      <c r="D16" s="20">
        <v>88392</v>
      </c>
      <c r="E16" s="70">
        <f>D16/'- 3 -'!$D16*100</f>
        <v>0.61497128645130428</v>
      </c>
    </row>
    <row r="17" spans="1:5" ht="14.1" customHeight="1" x14ac:dyDescent="0.2">
      <c r="A17" s="284" t="s">
        <v>115</v>
      </c>
      <c r="B17" s="285">
        <v>0</v>
      </c>
      <c r="C17" s="291">
        <f>B17/'- 3 -'!$D17*100</f>
        <v>0</v>
      </c>
      <c r="D17" s="285">
        <v>0</v>
      </c>
      <c r="E17" s="291">
        <f>D17/'- 3 -'!$D17*100</f>
        <v>0</v>
      </c>
    </row>
    <row r="18" spans="1:5" ht="14.1" customHeight="1" x14ac:dyDescent="0.2">
      <c r="A18" s="19" t="s">
        <v>116</v>
      </c>
      <c r="B18" s="20">
        <v>2405225</v>
      </c>
      <c r="C18" s="70">
        <f>B18/'- 3 -'!$D18*100</f>
        <v>1.8059585033763272</v>
      </c>
      <c r="D18" s="20">
        <v>792383</v>
      </c>
      <c r="E18" s="70">
        <f>D18/'- 3 -'!$D18*100</f>
        <v>0.59495923116583449</v>
      </c>
    </row>
    <row r="19" spans="1:5" ht="14.1" customHeight="1" x14ac:dyDescent="0.2">
      <c r="A19" s="284" t="s">
        <v>117</v>
      </c>
      <c r="B19" s="285">
        <v>0</v>
      </c>
      <c r="C19" s="291">
        <f>B19/'- 3 -'!$D19*100</f>
        <v>0</v>
      </c>
      <c r="D19" s="285">
        <v>111611</v>
      </c>
      <c r="E19" s="291">
        <f>D19/'- 3 -'!$D19*100</f>
        <v>0.22443848802649191</v>
      </c>
    </row>
    <row r="20" spans="1:5" ht="14.1" customHeight="1" x14ac:dyDescent="0.2">
      <c r="A20" s="19" t="s">
        <v>118</v>
      </c>
      <c r="B20" s="20">
        <v>0</v>
      </c>
      <c r="C20" s="70">
        <f>B20/'- 3 -'!$D20*100</f>
        <v>0</v>
      </c>
      <c r="D20" s="20">
        <v>312610</v>
      </c>
      <c r="E20" s="70">
        <f>D20/'- 3 -'!$D20*100</f>
        <v>0.35316059926567089</v>
      </c>
    </row>
    <row r="21" spans="1:5" ht="14.1" customHeight="1" x14ac:dyDescent="0.2">
      <c r="A21" s="284" t="s">
        <v>119</v>
      </c>
      <c r="B21" s="285">
        <v>0</v>
      </c>
      <c r="C21" s="291">
        <f>B21/'- 3 -'!$D21*100</f>
        <v>0</v>
      </c>
      <c r="D21" s="285">
        <v>95998</v>
      </c>
      <c r="E21" s="291">
        <f>D21/'- 3 -'!$D21*100</f>
        <v>0.25525145610694916</v>
      </c>
    </row>
    <row r="22" spans="1:5" ht="14.1" customHeight="1" x14ac:dyDescent="0.2">
      <c r="A22" s="19" t="s">
        <v>120</v>
      </c>
      <c r="B22" s="20">
        <v>0</v>
      </c>
      <c r="C22" s="70">
        <f>B22/'- 3 -'!$D22*100</f>
        <v>0</v>
      </c>
      <c r="D22" s="20">
        <v>40744</v>
      </c>
      <c r="E22" s="70">
        <f>D22/'- 3 -'!$D22*100</f>
        <v>0.19737195540413024</v>
      </c>
    </row>
    <row r="23" spans="1:5" ht="14.1" customHeight="1" x14ac:dyDescent="0.2">
      <c r="A23" s="284" t="s">
        <v>121</v>
      </c>
      <c r="B23" s="285">
        <v>0</v>
      </c>
      <c r="C23" s="291">
        <f>B23/'- 3 -'!$D23*100</f>
        <v>0</v>
      </c>
      <c r="D23" s="285">
        <v>0</v>
      </c>
      <c r="E23" s="291">
        <f>D23/'- 3 -'!$D23*100</f>
        <v>0</v>
      </c>
    </row>
    <row r="24" spans="1:5" ht="14.1" customHeight="1" x14ac:dyDescent="0.2">
      <c r="A24" s="19" t="s">
        <v>122</v>
      </c>
      <c r="B24" s="20">
        <v>0</v>
      </c>
      <c r="C24" s="70">
        <f>B24/'- 3 -'!$D24*100</f>
        <v>0</v>
      </c>
      <c r="D24" s="20">
        <v>11109</v>
      </c>
      <c r="E24" s="70">
        <f>D24/'- 3 -'!$D24*100</f>
        <v>1.9008522059946811E-2</v>
      </c>
    </row>
    <row r="25" spans="1:5" ht="14.1" customHeight="1" x14ac:dyDescent="0.2">
      <c r="A25" s="284" t="s">
        <v>123</v>
      </c>
      <c r="B25" s="285">
        <v>0</v>
      </c>
      <c r="C25" s="291">
        <f>B25/'- 3 -'!$D25*100</f>
        <v>0</v>
      </c>
      <c r="D25" s="285">
        <v>56764</v>
      </c>
      <c r="E25" s="291">
        <f>D25/'- 3 -'!$D25*100</f>
        <v>2.9247299790088638E-2</v>
      </c>
    </row>
    <row r="26" spans="1:5" ht="14.1" customHeight="1" x14ac:dyDescent="0.2">
      <c r="A26" s="19" t="s">
        <v>124</v>
      </c>
      <c r="B26" s="20">
        <v>0</v>
      </c>
      <c r="C26" s="70">
        <f>B26/'- 3 -'!$D26*100</f>
        <v>0</v>
      </c>
      <c r="D26" s="20">
        <v>121268</v>
      </c>
      <c r="E26" s="70">
        <f>D26/'- 3 -'!$D26*100</f>
        <v>0.29643141002552109</v>
      </c>
    </row>
    <row r="27" spans="1:5" ht="14.1" customHeight="1" x14ac:dyDescent="0.2">
      <c r="A27" s="284" t="s">
        <v>125</v>
      </c>
      <c r="B27" s="285">
        <v>0</v>
      </c>
      <c r="C27" s="291">
        <f>B27/'- 3 -'!$D27*100</f>
        <v>0</v>
      </c>
      <c r="D27" s="285">
        <v>66294</v>
      </c>
      <c r="E27" s="291">
        <f>D27/'- 3 -'!$D27*100</f>
        <v>0.15920548169828594</v>
      </c>
    </row>
    <row r="28" spans="1:5" ht="14.1" customHeight="1" x14ac:dyDescent="0.2">
      <c r="A28" s="19" t="s">
        <v>126</v>
      </c>
      <c r="B28" s="20">
        <v>0</v>
      </c>
      <c r="C28" s="70">
        <f>B28/'- 3 -'!$D28*100</f>
        <v>0</v>
      </c>
      <c r="D28" s="20">
        <v>0</v>
      </c>
      <c r="E28" s="70">
        <f>D28/'- 3 -'!$D28*100</f>
        <v>0</v>
      </c>
    </row>
    <row r="29" spans="1:5" ht="14.1" customHeight="1" x14ac:dyDescent="0.2">
      <c r="A29" s="284" t="s">
        <v>127</v>
      </c>
      <c r="B29" s="285">
        <v>0</v>
      </c>
      <c r="C29" s="291">
        <f>B29/'- 3 -'!$D29*100</f>
        <v>0</v>
      </c>
      <c r="D29" s="285">
        <v>411859</v>
      </c>
      <c r="E29" s="291">
        <f>D29/'- 3 -'!$D29*100</f>
        <v>0.2434167966673674</v>
      </c>
    </row>
    <row r="30" spans="1:5" ht="14.1" customHeight="1" x14ac:dyDescent="0.2">
      <c r="A30" s="19" t="s">
        <v>128</v>
      </c>
      <c r="B30" s="20">
        <v>0</v>
      </c>
      <c r="C30" s="70">
        <f>B30/'- 3 -'!$D30*100</f>
        <v>0</v>
      </c>
      <c r="D30" s="20">
        <v>38727</v>
      </c>
      <c r="E30" s="70">
        <f>D30/'- 3 -'!$D30*100</f>
        <v>0.24893287393636104</v>
      </c>
    </row>
    <row r="31" spans="1:5" ht="14.1" customHeight="1" x14ac:dyDescent="0.2">
      <c r="A31" s="284" t="s">
        <v>129</v>
      </c>
      <c r="B31" s="285">
        <v>0</v>
      </c>
      <c r="C31" s="291">
        <f>B31/'- 3 -'!$D31*100</f>
        <v>0</v>
      </c>
      <c r="D31" s="285">
        <v>24123</v>
      </c>
      <c r="E31" s="291">
        <f>D31/'- 3 -'!$D31*100</f>
        <v>6.0376069101678781E-2</v>
      </c>
    </row>
    <row r="32" spans="1:5" ht="14.1" customHeight="1" x14ac:dyDescent="0.2">
      <c r="A32" s="19" t="s">
        <v>130</v>
      </c>
      <c r="B32" s="20">
        <v>0</v>
      </c>
      <c r="C32" s="70">
        <f>B32/'- 3 -'!$D32*100</f>
        <v>0</v>
      </c>
      <c r="D32" s="20">
        <v>59930</v>
      </c>
      <c r="E32" s="70">
        <f>D32/'- 3 -'!$D32*100</f>
        <v>0.19755689402851076</v>
      </c>
    </row>
    <row r="33" spans="1:6" ht="14.1" customHeight="1" x14ac:dyDescent="0.2">
      <c r="A33" s="284" t="s">
        <v>131</v>
      </c>
      <c r="B33" s="285">
        <v>0</v>
      </c>
      <c r="C33" s="291">
        <f>B33/'- 3 -'!$D33*100</f>
        <v>0</v>
      </c>
      <c r="D33" s="285">
        <v>38892</v>
      </c>
      <c r="E33" s="291">
        <f>D33/'- 3 -'!$D33*100</f>
        <v>0.13855271267736302</v>
      </c>
    </row>
    <row r="34" spans="1:6" ht="14.1" customHeight="1" x14ac:dyDescent="0.2">
      <c r="A34" s="19" t="s">
        <v>132</v>
      </c>
      <c r="B34" s="20">
        <v>0</v>
      </c>
      <c r="C34" s="70">
        <f>B34/'- 3 -'!$D34*100</f>
        <v>0</v>
      </c>
      <c r="D34" s="20">
        <v>112641</v>
      </c>
      <c r="E34" s="70">
        <f>D34/'- 3 -'!$D34*100</f>
        <v>0.37002160454975369</v>
      </c>
    </row>
    <row r="35" spans="1:6" ht="14.1" customHeight="1" x14ac:dyDescent="0.2">
      <c r="A35" s="284" t="s">
        <v>133</v>
      </c>
      <c r="B35" s="285">
        <v>0</v>
      </c>
      <c r="C35" s="291">
        <f>B35/'- 3 -'!$D35*100</f>
        <v>0</v>
      </c>
      <c r="D35" s="285">
        <v>121473</v>
      </c>
      <c r="E35" s="291">
        <f>D35/'- 3 -'!$D35*100</f>
        <v>6.3407693665187587E-2</v>
      </c>
    </row>
    <row r="36" spans="1:6" ht="14.1" customHeight="1" x14ac:dyDescent="0.2">
      <c r="A36" s="19" t="s">
        <v>134</v>
      </c>
      <c r="B36" s="20">
        <v>0</v>
      </c>
      <c r="C36" s="70">
        <f>B36/'- 3 -'!$D36*100</f>
        <v>0</v>
      </c>
      <c r="D36" s="20">
        <v>59123</v>
      </c>
      <c r="E36" s="70">
        <f>D36/'- 3 -'!$D36*100</f>
        <v>0.25001292922434759</v>
      </c>
    </row>
    <row r="37" spans="1:6" ht="14.1" customHeight="1" x14ac:dyDescent="0.2">
      <c r="A37" s="284" t="s">
        <v>135</v>
      </c>
      <c r="B37" s="285">
        <v>0</v>
      </c>
      <c r="C37" s="291">
        <f>B37/'- 3 -'!$D37*100</f>
        <v>0</v>
      </c>
      <c r="D37" s="285">
        <v>48013</v>
      </c>
      <c r="E37" s="291">
        <f>D37/'- 3 -'!$D37*100</f>
        <v>8.7488269951850925E-2</v>
      </c>
    </row>
    <row r="38" spans="1:6" ht="14.1" customHeight="1" x14ac:dyDescent="0.2">
      <c r="A38" s="19" t="s">
        <v>136</v>
      </c>
      <c r="B38" s="20">
        <v>0</v>
      </c>
      <c r="C38" s="70">
        <f>B38/'- 3 -'!$D38*100</f>
        <v>0</v>
      </c>
      <c r="D38" s="20">
        <v>315260</v>
      </c>
      <c r="E38" s="70">
        <f>D38/'- 3 -'!$D38*100</f>
        <v>0.21376016621951471</v>
      </c>
    </row>
    <row r="39" spans="1:6" ht="14.1" customHeight="1" x14ac:dyDescent="0.2">
      <c r="A39" s="284" t="s">
        <v>137</v>
      </c>
      <c r="B39" s="285">
        <v>0</v>
      </c>
      <c r="C39" s="291">
        <f>B39/'- 3 -'!$D39*100</f>
        <v>0</v>
      </c>
      <c r="D39" s="285">
        <v>6262</v>
      </c>
      <c r="E39" s="291">
        <f>D39/'- 3 -'!$D39*100</f>
        <v>2.8785878572871348E-2</v>
      </c>
    </row>
    <row r="40" spans="1:6" ht="14.1" customHeight="1" x14ac:dyDescent="0.2">
      <c r="A40" s="19" t="s">
        <v>138</v>
      </c>
      <c r="B40" s="20">
        <v>0</v>
      </c>
      <c r="C40" s="70">
        <f>B40/'- 3 -'!$D40*100</f>
        <v>0</v>
      </c>
      <c r="D40" s="20">
        <v>86492</v>
      </c>
      <c r="E40" s="70">
        <f>D40/'- 3 -'!$D40*100</f>
        <v>8.1265395755627856E-2</v>
      </c>
    </row>
    <row r="41" spans="1:6" ht="14.1" customHeight="1" x14ac:dyDescent="0.2">
      <c r="A41" s="284" t="s">
        <v>139</v>
      </c>
      <c r="B41" s="285">
        <v>0</v>
      </c>
      <c r="C41" s="291">
        <f>B41/'- 3 -'!$D41*100</f>
        <v>0</v>
      </c>
      <c r="D41" s="285">
        <v>84520</v>
      </c>
      <c r="E41" s="291">
        <f>D41/'- 3 -'!$D41*100</f>
        <v>0.13114684502306567</v>
      </c>
    </row>
    <row r="42" spans="1:6" ht="14.1" customHeight="1" x14ac:dyDescent="0.2">
      <c r="A42" s="19" t="s">
        <v>140</v>
      </c>
      <c r="B42" s="20">
        <v>0</v>
      </c>
      <c r="C42" s="70">
        <f>B42/'- 3 -'!$D42*100</f>
        <v>0</v>
      </c>
      <c r="D42" s="20">
        <v>52863</v>
      </c>
      <c r="E42" s="70">
        <f>D42/'- 3 -'!$D42*100</f>
        <v>0.25863446891036379</v>
      </c>
    </row>
    <row r="43" spans="1:6" ht="14.1" customHeight="1" x14ac:dyDescent="0.2">
      <c r="A43" s="284" t="s">
        <v>141</v>
      </c>
      <c r="B43" s="285">
        <v>0</v>
      </c>
      <c r="C43" s="291">
        <f>B43/'- 3 -'!$D43*100</f>
        <v>0</v>
      </c>
      <c r="D43" s="285">
        <v>49573</v>
      </c>
      <c r="E43" s="291">
        <f>D43/'- 3 -'!$D43*100</f>
        <v>0.37981562626442716</v>
      </c>
    </row>
    <row r="44" spans="1:6" ht="14.1" customHeight="1" x14ac:dyDescent="0.2">
      <c r="A44" s="19" t="s">
        <v>142</v>
      </c>
      <c r="B44" s="20">
        <v>0</v>
      </c>
      <c r="C44" s="70">
        <f>B44/'- 3 -'!$D44*100</f>
        <v>0</v>
      </c>
      <c r="D44" s="20">
        <v>25239</v>
      </c>
      <c r="E44" s="70">
        <f>D44/'- 3 -'!$D44*100</f>
        <v>0.23731626418935278</v>
      </c>
    </row>
    <row r="45" spans="1:6" ht="14.1" customHeight="1" x14ac:dyDescent="0.2">
      <c r="A45" s="284" t="s">
        <v>143</v>
      </c>
      <c r="B45" s="285">
        <v>0</v>
      </c>
      <c r="C45" s="291">
        <f>B45/'- 3 -'!$D45*100</f>
        <v>0</v>
      </c>
      <c r="D45" s="285">
        <v>51171</v>
      </c>
      <c r="E45" s="291">
        <f>D45/'- 3 -'!$D45*100</f>
        <v>0.24187051828053036</v>
      </c>
    </row>
    <row r="46" spans="1:6" ht="14.1" customHeight="1" x14ac:dyDescent="0.2">
      <c r="A46" s="19" t="s">
        <v>144</v>
      </c>
      <c r="B46" s="20">
        <v>0</v>
      </c>
      <c r="C46" s="70">
        <f>B46/'- 3 -'!$D46*100</f>
        <v>0</v>
      </c>
      <c r="D46" s="20">
        <v>268868</v>
      </c>
      <c r="E46" s="70">
        <f>D46/'- 3 -'!$D46*100</f>
        <v>6.5038522651656092E-2</v>
      </c>
    </row>
    <row r="47" spans="1:6" ht="5.0999999999999996" customHeight="1" x14ac:dyDescent="0.2">
      <c r="A47"/>
      <c r="B47" s="22"/>
      <c r="C47"/>
      <c r="D47" s="22"/>
      <c r="E47"/>
    </row>
    <row r="48" spans="1:6" ht="14.1" customHeight="1" x14ac:dyDescent="0.2">
      <c r="A48" s="286" t="s">
        <v>145</v>
      </c>
      <c r="B48" s="287">
        <f>SUM(B11:B46)</f>
        <v>2405225</v>
      </c>
      <c r="C48" s="294">
        <f>B48/'- 3 -'!$D48*100</f>
        <v>9.9729232847140317E-2</v>
      </c>
      <c r="D48" s="287">
        <f>SUM(D11:D46)</f>
        <v>4316385</v>
      </c>
      <c r="E48" s="294">
        <f>D48/'- 3 -'!$D48*100</f>
        <v>0.17897276334767173</v>
      </c>
      <c r="F48" s="6"/>
    </row>
    <row r="49" spans="1:5" ht="5.0999999999999996" customHeight="1" x14ac:dyDescent="0.2">
      <c r="A49" s="21" t="s">
        <v>7</v>
      </c>
      <c r="B49" s="22"/>
      <c r="C49"/>
      <c r="D49" s="22"/>
      <c r="E49"/>
    </row>
    <row r="50" spans="1:5" ht="14.1" customHeight="1" x14ac:dyDescent="0.2">
      <c r="A50" s="19" t="s">
        <v>146</v>
      </c>
      <c r="B50" s="20">
        <v>0</v>
      </c>
      <c r="C50" s="70">
        <f>B50/'- 3 -'!$D50*100</f>
        <v>0</v>
      </c>
      <c r="D50" s="20">
        <v>57220</v>
      </c>
      <c r="E50" s="70">
        <f>D50/'- 3 -'!$D50*100</f>
        <v>1.8017416626152145</v>
      </c>
    </row>
    <row r="51" spans="1:5" ht="14.1" customHeight="1" x14ac:dyDescent="0.2">
      <c r="A51" s="284" t="s">
        <v>599</v>
      </c>
      <c r="B51" s="285">
        <v>0</v>
      </c>
      <c r="C51" s="291">
        <f>B51/'- 3 -'!$D51*100</f>
        <v>0</v>
      </c>
      <c r="D51" s="285">
        <v>0</v>
      </c>
      <c r="E51" s="291">
        <f>D51/'- 3 -'!$D51*100</f>
        <v>0</v>
      </c>
    </row>
    <row r="52" spans="1:5" ht="50.1" customHeight="1" x14ac:dyDescent="0.2"/>
  </sheetData>
  <mergeCells count="2">
    <mergeCell ref="B7:C8"/>
    <mergeCell ref="D7:E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G52"/>
  <sheetViews>
    <sheetView showGridLines="0" showZeros="0" workbookViewId="0"/>
  </sheetViews>
  <sheetFormatPr defaultColWidth="15.83203125" defaultRowHeight="12" x14ac:dyDescent="0.2"/>
  <cols>
    <col min="1" max="1" width="33.83203125" style="2" customWidth="1"/>
    <col min="2" max="2" width="17.83203125" style="2" customWidth="1"/>
    <col min="3" max="3" width="14.83203125" style="2" customWidth="1"/>
    <col min="4" max="4" width="18.83203125" style="2" customWidth="1"/>
    <col min="5" max="5" width="14.83203125" style="2" customWidth="1"/>
    <col min="6" max="6" width="17.83203125" style="2" customWidth="1"/>
    <col min="7" max="7" width="14.83203125" style="2" customWidth="1"/>
    <col min="8" max="16384" width="15.83203125" style="2"/>
  </cols>
  <sheetData>
    <row r="1" spans="1:7" ht="6.95" customHeight="1" x14ac:dyDescent="0.2">
      <c r="A1" s="7"/>
      <c r="B1" s="8"/>
      <c r="C1" s="8"/>
      <c r="D1" s="8"/>
      <c r="E1" s="8"/>
      <c r="F1" s="8"/>
      <c r="G1" s="8"/>
    </row>
    <row r="2" spans="1:7" ht="15.95" customHeight="1" x14ac:dyDescent="0.2">
      <c r="A2" s="134"/>
      <c r="B2" s="9" t="s">
        <v>263</v>
      </c>
      <c r="C2" s="10"/>
      <c r="D2" s="158"/>
      <c r="E2" s="10"/>
      <c r="F2" s="73"/>
      <c r="G2" s="395" t="s">
        <v>409</v>
      </c>
    </row>
    <row r="3" spans="1:7" ht="15.95" customHeight="1" x14ac:dyDescent="0.2">
      <c r="A3" s="541"/>
      <c r="B3" s="11" t="str">
        <f>OPYEAR</f>
        <v>OPERATING FUND 2019/2020 ACTUAL</v>
      </c>
      <c r="C3" s="12"/>
      <c r="D3" s="159"/>
      <c r="E3" s="12"/>
      <c r="F3" s="75"/>
      <c r="G3" s="75"/>
    </row>
    <row r="4" spans="1:7" ht="15.95" customHeight="1" x14ac:dyDescent="0.2">
      <c r="B4" s="8"/>
      <c r="C4" s="8"/>
      <c r="D4" s="8"/>
      <c r="E4" s="8"/>
      <c r="F4" s="8"/>
      <c r="G4" s="8"/>
    </row>
    <row r="5" spans="1:7" ht="15.95" customHeight="1" x14ac:dyDescent="0.2">
      <c r="B5" s="8"/>
      <c r="C5" s="8"/>
      <c r="D5" s="8"/>
      <c r="E5" s="8"/>
      <c r="F5" s="8"/>
      <c r="G5" s="8"/>
    </row>
    <row r="6" spans="1:7" ht="15.95" customHeight="1" x14ac:dyDescent="0.2">
      <c r="B6" s="154" t="s">
        <v>16</v>
      </c>
      <c r="C6" s="165"/>
      <c r="D6" s="166"/>
      <c r="E6" s="166"/>
      <c r="F6" s="166"/>
      <c r="G6" s="167"/>
    </row>
    <row r="7" spans="1:7" ht="15.95" customHeight="1" x14ac:dyDescent="0.2">
      <c r="B7" s="318"/>
      <c r="C7" s="310"/>
      <c r="D7" s="697" t="s">
        <v>25</v>
      </c>
      <c r="E7" s="698"/>
      <c r="F7" s="698"/>
      <c r="G7" s="699"/>
    </row>
    <row r="8" spans="1:7" ht="15.95" customHeight="1" x14ac:dyDescent="0.2">
      <c r="A8" s="67"/>
      <c r="B8" s="695" t="s">
        <v>19</v>
      </c>
      <c r="C8" s="655"/>
      <c r="D8" s="654" t="s">
        <v>29</v>
      </c>
      <c r="E8" s="655"/>
      <c r="F8" s="654" t="s">
        <v>109</v>
      </c>
      <c r="G8" s="655"/>
    </row>
    <row r="9" spans="1:7" ht="15.95" customHeight="1" x14ac:dyDescent="0.2">
      <c r="A9" s="35" t="s">
        <v>42</v>
      </c>
      <c r="B9" s="168" t="s">
        <v>43</v>
      </c>
      <c r="C9" s="168" t="s">
        <v>44</v>
      </c>
      <c r="D9" s="168" t="s">
        <v>43</v>
      </c>
      <c r="E9" s="168" t="s">
        <v>44</v>
      </c>
      <c r="F9" s="168" t="s">
        <v>43</v>
      </c>
      <c r="G9" s="168" t="s">
        <v>44</v>
      </c>
    </row>
    <row r="10" spans="1:7" ht="5.0999999999999996" customHeight="1" x14ac:dyDescent="0.2">
      <c r="A10" s="6"/>
    </row>
    <row r="11" spans="1:7" ht="14.1" customHeight="1" x14ac:dyDescent="0.2">
      <c r="A11" s="284" t="s">
        <v>110</v>
      </c>
      <c r="B11" s="285">
        <v>76325</v>
      </c>
      <c r="C11" s="291">
        <f>B11/'- 3 -'!$D11*100</f>
        <v>0.36314598949324561</v>
      </c>
      <c r="D11" s="285">
        <v>1667989</v>
      </c>
      <c r="E11" s="291">
        <f>D11/'- 3 -'!$D11*100</f>
        <v>7.9361089534077864</v>
      </c>
      <c r="F11" s="285">
        <v>209388</v>
      </c>
      <c r="G11" s="291">
        <f>F11/'- 3 -'!$D11*100</f>
        <v>0.99624516800539431</v>
      </c>
    </row>
    <row r="12" spans="1:7" ht="14.1" customHeight="1" x14ac:dyDescent="0.2">
      <c r="A12" s="19" t="s">
        <v>111</v>
      </c>
      <c r="B12" s="20">
        <v>124264</v>
      </c>
      <c r="C12" s="70">
        <f>B12/'- 3 -'!$D12*100</f>
        <v>0.37040753115081909</v>
      </c>
      <c r="D12" s="20">
        <v>2739261</v>
      </c>
      <c r="E12" s="70">
        <f>D12/'- 3 -'!$D12*100</f>
        <v>8.165220049151193</v>
      </c>
      <c r="F12" s="20">
        <v>297492</v>
      </c>
      <c r="G12" s="70">
        <f>F12/'- 3 -'!$D12*100</f>
        <v>0.88676750512714442</v>
      </c>
    </row>
    <row r="13" spans="1:7" ht="14.1" customHeight="1" x14ac:dyDescent="0.2">
      <c r="A13" s="284" t="s">
        <v>112</v>
      </c>
      <c r="B13" s="285">
        <v>398909</v>
      </c>
      <c r="C13" s="291">
        <f>B13/'- 3 -'!$D13*100</f>
        <v>0.38157144660352826</v>
      </c>
      <c r="D13" s="285">
        <v>6930894</v>
      </c>
      <c r="E13" s="291">
        <f>D13/'- 3 -'!$D13*100</f>
        <v>6.6296605236675896</v>
      </c>
      <c r="F13" s="285">
        <v>749059</v>
      </c>
      <c r="G13" s="291">
        <f>F13/'- 3 -'!$D13*100</f>
        <v>0.71650307769790178</v>
      </c>
    </row>
    <row r="14" spans="1:7" ht="14.1" customHeight="1" x14ac:dyDescent="0.2">
      <c r="A14" s="19" t="s">
        <v>358</v>
      </c>
      <c r="B14" s="20">
        <v>252065</v>
      </c>
      <c r="C14" s="70">
        <f>B14/'- 3 -'!$D14*100</f>
        <v>0.28138222531037721</v>
      </c>
      <c r="D14" s="20">
        <v>8467911</v>
      </c>
      <c r="E14" s="70">
        <f>D14/'- 3 -'!$D14*100</f>
        <v>9.4527984484566332</v>
      </c>
      <c r="F14" s="20">
        <v>737354</v>
      </c>
      <c r="G14" s="70">
        <f>F14/'- 3 -'!$D14*100</f>
        <v>0.82311431321884387</v>
      </c>
    </row>
    <row r="15" spans="1:7" ht="14.1" customHeight="1" x14ac:dyDescent="0.2">
      <c r="A15" s="284" t="s">
        <v>113</v>
      </c>
      <c r="B15" s="285">
        <v>90623</v>
      </c>
      <c r="C15" s="291">
        <f>B15/'- 3 -'!$D15*100</f>
        <v>0.45943741008769884</v>
      </c>
      <c r="D15" s="285">
        <v>2097126</v>
      </c>
      <c r="E15" s="291">
        <f>D15/'- 3 -'!$D15*100</f>
        <v>10.631938228347941</v>
      </c>
      <c r="F15" s="285">
        <v>149752</v>
      </c>
      <c r="G15" s="291">
        <f>F15/'- 3 -'!$D15*100</f>
        <v>0.75920760773151497</v>
      </c>
    </row>
    <row r="16" spans="1:7" ht="14.1" customHeight="1" x14ac:dyDescent="0.2">
      <c r="A16" s="19" t="s">
        <v>114</v>
      </c>
      <c r="B16" s="20">
        <v>120497</v>
      </c>
      <c r="C16" s="70">
        <f>B16/'- 3 -'!$D16*100</f>
        <v>0.83833599311615092</v>
      </c>
      <c r="D16" s="20">
        <v>1968516</v>
      </c>
      <c r="E16" s="70">
        <f>D16/'- 3 -'!$D16*100</f>
        <v>13.695592552719427</v>
      </c>
      <c r="F16" s="20">
        <v>100290</v>
      </c>
      <c r="G16" s="70">
        <f>F16/'- 3 -'!$D16*100</f>
        <v>0.6977494605643193</v>
      </c>
    </row>
    <row r="17" spans="1:7" ht="14.1" customHeight="1" x14ac:dyDescent="0.2">
      <c r="A17" s="284" t="s">
        <v>115</v>
      </c>
      <c r="B17" s="285">
        <v>88345</v>
      </c>
      <c r="C17" s="291">
        <f>B17/'- 3 -'!$D17*100</f>
        <v>0.49079819358265181</v>
      </c>
      <c r="D17" s="285">
        <v>1514207</v>
      </c>
      <c r="E17" s="291">
        <f>D17/'- 3 -'!$D17*100</f>
        <v>8.4121349290871734</v>
      </c>
      <c r="F17" s="285">
        <v>69482</v>
      </c>
      <c r="G17" s="291">
        <f>F17/'- 3 -'!$D17*100</f>
        <v>0.38600532103129565</v>
      </c>
    </row>
    <row r="18" spans="1:7" ht="14.1" customHeight="1" x14ac:dyDescent="0.2">
      <c r="A18" s="19" t="s">
        <v>116</v>
      </c>
      <c r="B18" s="20">
        <v>911986</v>
      </c>
      <c r="C18" s="70">
        <f>B18/'- 3 -'!$D18*100</f>
        <v>0.68476291060510475</v>
      </c>
      <c r="D18" s="20">
        <v>17619611</v>
      </c>
      <c r="E18" s="70">
        <f>D18/'- 3 -'!$D18*100</f>
        <v>13.229650578067778</v>
      </c>
      <c r="F18" s="20">
        <v>1884788</v>
      </c>
      <c r="G18" s="70">
        <f>F18/'- 3 -'!$D18*100</f>
        <v>1.4151893962775461</v>
      </c>
    </row>
    <row r="19" spans="1:7" ht="14.1" customHeight="1" x14ac:dyDescent="0.2">
      <c r="A19" s="284" t="s">
        <v>117</v>
      </c>
      <c r="B19" s="285">
        <v>121063</v>
      </c>
      <c r="C19" s="291">
        <f>B19/'- 3 -'!$D19*100</f>
        <v>0.24344550873974061</v>
      </c>
      <c r="D19" s="285">
        <v>4280271</v>
      </c>
      <c r="E19" s="291">
        <f>D19/'- 3 -'!$D19*100</f>
        <v>8.607194197557952</v>
      </c>
      <c r="F19" s="285">
        <v>154481</v>
      </c>
      <c r="G19" s="291">
        <f>F19/'- 3 -'!$D19*100</f>
        <v>0.31064574341973905</v>
      </c>
    </row>
    <row r="20" spans="1:7" ht="14.1" customHeight="1" x14ac:dyDescent="0.2">
      <c r="A20" s="19" t="s">
        <v>118</v>
      </c>
      <c r="B20" s="20">
        <v>244096</v>
      </c>
      <c r="C20" s="70">
        <f>B20/'- 3 -'!$D20*100</f>
        <v>0.27575921959743194</v>
      </c>
      <c r="D20" s="20">
        <v>7368339</v>
      </c>
      <c r="E20" s="70">
        <f>D20/'- 3 -'!$D20*100</f>
        <v>8.3241323592739001</v>
      </c>
      <c r="F20" s="20">
        <v>975157</v>
      </c>
      <c r="G20" s="70">
        <f>F20/'- 3 -'!$D20*100</f>
        <v>1.1016507165417415</v>
      </c>
    </row>
    <row r="21" spans="1:7" ht="14.1" customHeight="1" x14ac:dyDescent="0.2">
      <c r="A21" s="284" t="s">
        <v>119</v>
      </c>
      <c r="B21" s="285">
        <v>166779</v>
      </c>
      <c r="C21" s="291">
        <f>B21/'- 3 -'!$D21*100</f>
        <v>0.44345280732995351</v>
      </c>
      <c r="D21" s="285">
        <v>2953039</v>
      </c>
      <c r="E21" s="291">
        <f>D21/'- 3 -'!$D21*100</f>
        <v>7.8519084219526363</v>
      </c>
      <c r="F21" s="285">
        <v>404621</v>
      </c>
      <c r="G21" s="291">
        <f>F21/'- 3 -'!$D21*100</f>
        <v>1.0758567826564083</v>
      </c>
    </row>
    <row r="22" spans="1:7" ht="14.1" customHeight="1" x14ac:dyDescent="0.2">
      <c r="A22" s="19" t="s">
        <v>120</v>
      </c>
      <c r="B22" s="20">
        <v>87972</v>
      </c>
      <c r="C22" s="70">
        <f>B22/'- 3 -'!$D22*100</f>
        <v>0.42615368301620232</v>
      </c>
      <c r="D22" s="20">
        <v>2317647</v>
      </c>
      <c r="E22" s="70">
        <f>D22/'- 3 -'!$D22*100</f>
        <v>11.227138236955534</v>
      </c>
      <c r="F22" s="20">
        <v>93331</v>
      </c>
      <c r="G22" s="70">
        <f>F22/'- 3 -'!$D22*100</f>
        <v>0.4521137337969488</v>
      </c>
    </row>
    <row r="23" spans="1:7" ht="14.1" customHeight="1" x14ac:dyDescent="0.2">
      <c r="A23" s="284" t="s">
        <v>121</v>
      </c>
      <c r="B23" s="285">
        <v>74068</v>
      </c>
      <c r="C23" s="291">
        <f>B23/'- 3 -'!$D23*100</f>
        <v>0.47724048453942636</v>
      </c>
      <c r="D23" s="285">
        <v>1286629</v>
      </c>
      <c r="E23" s="291">
        <f>D23/'- 3 -'!$D23*100</f>
        <v>8.2901043282183604</v>
      </c>
      <c r="F23" s="285">
        <v>136895</v>
      </c>
      <c r="G23" s="291">
        <f>F23/'- 3 -'!$D23*100</f>
        <v>0.8820521160423499</v>
      </c>
    </row>
    <row r="24" spans="1:7" ht="14.1" customHeight="1" x14ac:dyDescent="0.2">
      <c r="A24" s="19" t="s">
        <v>122</v>
      </c>
      <c r="B24" s="20">
        <v>147601</v>
      </c>
      <c r="C24" s="70">
        <f>B24/'- 3 -'!$D24*100</f>
        <v>0.2525589040030794</v>
      </c>
      <c r="D24" s="20">
        <v>5261777</v>
      </c>
      <c r="E24" s="70">
        <f>D24/'- 3 -'!$D24*100</f>
        <v>9.0033850192655276</v>
      </c>
      <c r="F24" s="20">
        <v>671873</v>
      </c>
      <c r="G24" s="70">
        <f>F24/'- 3 -'!$D24*100</f>
        <v>1.1496365777282063</v>
      </c>
    </row>
    <row r="25" spans="1:7" ht="14.1" customHeight="1" x14ac:dyDescent="0.2">
      <c r="A25" s="284" t="s">
        <v>123</v>
      </c>
      <c r="B25" s="285">
        <v>743901</v>
      </c>
      <c r="C25" s="291">
        <f>B25/'- 3 -'!$D25*100</f>
        <v>0.38329038758978806</v>
      </c>
      <c r="D25" s="285">
        <v>17964908</v>
      </c>
      <c r="E25" s="291">
        <f>D25/'- 3 -'!$D25*100</f>
        <v>9.2563076946191547</v>
      </c>
      <c r="F25" s="285">
        <v>873346</v>
      </c>
      <c r="G25" s="291">
        <f>F25/'- 3 -'!$D25*100</f>
        <v>0.44998612293838974</v>
      </c>
    </row>
    <row r="26" spans="1:7" ht="14.1" customHeight="1" x14ac:dyDescent="0.2">
      <c r="A26" s="19" t="s">
        <v>124</v>
      </c>
      <c r="B26" s="20">
        <v>197647</v>
      </c>
      <c r="C26" s="70">
        <f>B26/'- 3 -'!$D26*100</f>
        <v>0.48313470080577042</v>
      </c>
      <c r="D26" s="20">
        <v>4203843</v>
      </c>
      <c r="E26" s="70">
        <f>D26/'- 3 -'!$D26*100</f>
        <v>10.276009400797545</v>
      </c>
      <c r="F26" s="20">
        <v>319913</v>
      </c>
      <c r="G26" s="70">
        <f>F26/'- 3 -'!$D26*100</f>
        <v>0.78200565421623625</v>
      </c>
    </row>
    <row r="27" spans="1:7" ht="14.1" customHeight="1" x14ac:dyDescent="0.2">
      <c r="A27" s="284" t="s">
        <v>125</v>
      </c>
      <c r="B27" s="285">
        <v>201417</v>
      </c>
      <c r="C27" s="291">
        <f>B27/'- 3 -'!$D27*100</f>
        <v>0.48370426444661146</v>
      </c>
      <c r="D27" s="285">
        <v>4186083</v>
      </c>
      <c r="E27" s="291">
        <f>D27/'- 3 -'!$D27*100</f>
        <v>10.052906152050047</v>
      </c>
      <c r="F27" s="285">
        <v>332049</v>
      </c>
      <c r="G27" s="291">
        <f>F27/'- 3 -'!$D27*100</f>
        <v>0.7974178808404101</v>
      </c>
    </row>
    <row r="28" spans="1:7" ht="14.1" customHeight="1" x14ac:dyDescent="0.2">
      <c r="A28" s="19" t="s">
        <v>126</v>
      </c>
      <c r="B28" s="20">
        <v>52432</v>
      </c>
      <c r="C28" s="70">
        <f>B28/'- 3 -'!$D28*100</f>
        <v>0.18570880892762373</v>
      </c>
      <c r="D28" s="20">
        <v>2887968</v>
      </c>
      <c r="E28" s="70">
        <f>D28/'- 3 -'!$D28*100</f>
        <v>10.228888798845965</v>
      </c>
      <c r="F28" s="20">
        <v>110780</v>
      </c>
      <c r="G28" s="70">
        <f>F28/'- 3 -'!$D28*100</f>
        <v>0.39237148788911647</v>
      </c>
    </row>
    <row r="29" spans="1:7" ht="14.1" customHeight="1" x14ac:dyDescent="0.2">
      <c r="A29" s="284" t="s">
        <v>127</v>
      </c>
      <c r="B29" s="285">
        <v>940865</v>
      </c>
      <c r="C29" s="291">
        <f>B29/'- 3 -'!$D29*100</f>
        <v>0.55606978212553959</v>
      </c>
      <c r="D29" s="285">
        <v>15157730</v>
      </c>
      <c r="E29" s="291">
        <f>D29/'- 3 -'!$D29*100</f>
        <v>8.9585175541844535</v>
      </c>
      <c r="F29" s="285">
        <v>2053473</v>
      </c>
      <c r="G29" s="291">
        <f>F29/'- 3 -'!$D29*100</f>
        <v>1.2136430664448972</v>
      </c>
    </row>
    <row r="30" spans="1:7" ht="14.1" customHeight="1" x14ac:dyDescent="0.2">
      <c r="A30" s="19" t="s">
        <v>128</v>
      </c>
      <c r="B30" s="20">
        <v>133742</v>
      </c>
      <c r="C30" s="70">
        <f>B30/'- 3 -'!$D30*100</f>
        <v>0.85967878808058462</v>
      </c>
      <c r="D30" s="20">
        <v>1259465</v>
      </c>
      <c r="E30" s="70">
        <f>D30/'- 3 -'!$D30*100</f>
        <v>8.095701760328943</v>
      </c>
      <c r="F30" s="20">
        <v>112435</v>
      </c>
      <c r="G30" s="70">
        <f>F30/'- 3 -'!$D30*100</f>
        <v>0.72271974800616512</v>
      </c>
    </row>
    <row r="31" spans="1:7" ht="14.1" customHeight="1" x14ac:dyDescent="0.2">
      <c r="A31" s="284" t="s">
        <v>129</v>
      </c>
      <c r="B31" s="285">
        <v>117795</v>
      </c>
      <c r="C31" s="291">
        <f>B31/'- 3 -'!$D31*100</f>
        <v>0.29482232971986283</v>
      </c>
      <c r="D31" s="285">
        <v>3423659</v>
      </c>
      <c r="E31" s="291">
        <f>D31/'- 3 -'!$D31*100</f>
        <v>8.5688791760802747</v>
      </c>
      <c r="F31" s="285">
        <v>134114</v>
      </c>
      <c r="G31" s="291">
        <f>F31/'- 3 -'!$D31*100</f>
        <v>0.33566621612164937</v>
      </c>
    </row>
    <row r="32" spans="1:7" ht="14.1" customHeight="1" x14ac:dyDescent="0.2">
      <c r="A32" s="19" t="s">
        <v>130</v>
      </c>
      <c r="B32" s="20">
        <v>154519</v>
      </c>
      <c r="C32" s="70">
        <f>B32/'- 3 -'!$D32*100</f>
        <v>0.50936582193211166</v>
      </c>
      <c r="D32" s="20">
        <v>2399194</v>
      </c>
      <c r="E32" s="70">
        <f>D32/'- 3 -'!$D32*100</f>
        <v>7.9088489039185532</v>
      </c>
      <c r="F32" s="20">
        <v>194471</v>
      </c>
      <c r="G32" s="70">
        <f>F32/'- 3 -'!$D32*100</f>
        <v>0.64106602267009039</v>
      </c>
    </row>
    <row r="33" spans="1:7" ht="14.1" customHeight="1" x14ac:dyDescent="0.2">
      <c r="A33" s="284" t="s">
        <v>131</v>
      </c>
      <c r="B33" s="285">
        <v>120052</v>
      </c>
      <c r="C33" s="291">
        <f>B33/'- 3 -'!$D33*100</f>
        <v>0.42768513479231685</v>
      </c>
      <c r="D33" s="285">
        <v>2778113</v>
      </c>
      <c r="E33" s="291">
        <f>D33/'- 3 -'!$D33*100</f>
        <v>9.8970248964889187</v>
      </c>
      <c r="F33" s="285">
        <v>293875</v>
      </c>
      <c r="G33" s="291">
        <f>F33/'- 3 -'!$D33*100</f>
        <v>1.0469294054833913</v>
      </c>
    </row>
    <row r="34" spans="1:7" ht="14.1" customHeight="1" x14ac:dyDescent="0.2">
      <c r="A34" s="19" t="s">
        <v>132</v>
      </c>
      <c r="B34" s="20">
        <v>123542</v>
      </c>
      <c r="C34" s="70">
        <f>B34/'- 3 -'!$D34*100</f>
        <v>0.40583099465812333</v>
      </c>
      <c r="D34" s="20">
        <v>2255353</v>
      </c>
      <c r="E34" s="70">
        <f>D34/'- 3 -'!$D34*100</f>
        <v>7.4087529042364739</v>
      </c>
      <c r="F34" s="20">
        <v>334613</v>
      </c>
      <c r="G34" s="70">
        <f>F34/'- 3 -'!$D34*100</f>
        <v>1.0991915835548931</v>
      </c>
    </row>
    <row r="35" spans="1:7" ht="14.1" customHeight="1" x14ac:dyDescent="0.2">
      <c r="A35" s="284" t="s">
        <v>133</v>
      </c>
      <c r="B35" s="285">
        <v>989632</v>
      </c>
      <c r="C35" s="291">
        <f>B35/'- 3 -'!$D35*100</f>
        <v>0.51657802719342505</v>
      </c>
      <c r="D35" s="285">
        <v>18972643</v>
      </c>
      <c r="E35" s="291">
        <f>D35/'- 3 -'!$D35*100</f>
        <v>9.9035302936699132</v>
      </c>
      <c r="F35" s="285">
        <v>558894</v>
      </c>
      <c r="G35" s="291">
        <f>F35/'- 3 -'!$D35*100</f>
        <v>0.29173709008019355</v>
      </c>
    </row>
    <row r="36" spans="1:7" ht="14.1" customHeight="1" x14ac:dyDescent="0.2">
      <c r="A36" s="19" t="s">
        <v>134</v>
      </c>
      <c r="B36" s="20">
        <v>67557</v>
      </c>
      <c r="C36" s="70">
        <f>B36/'- 3 -'!$D36*100</f>
        <v>0.28567771357355431</v>
      </c>
      <c r="D36" s="20">
        <v>2493104</v>
      </c>
      <c r="E36" s="70">
        <f>D36/'- 3 -'!$D36*100</f>
        <v>10.542567763830284</v>
      </c>
      <c r="F36" s="20">
        <v>125967</v>
      </c>
      <c r="G36" s="70">
        <f>F36/'- 3 -'!$D36*100</f>
        <v>0.53267558573826423</v>
      </c>
    </row>
    <row r="37" spans="1:7" ht="14.1" customHeight="1" x14ac:dyDescent="0.2">
      <c r="A37" s="284" t="s">
        <v>135</v>
      </c>
      <c r="B37" s="285">
        <v>124078</v>
      </c>
      <c r="C37" s="291">
        <f>B37/'- 3 -'!$D37*100</f>
        <v>0.22609229914993356</v>
      </c>
      <c r="D37" s="285">
        <v>4148570</v>
      </c>
      <c r="E37" s="291">
        <f>D37/'- 3 -'!$D37*100</f>
        <v>7.5594362375637898</v>
      </c>
      <c r="F37" s="285">
        <v>417254</v>
      </c>
      <c r="G37" s="291">
        <f>F37/'- 3 -'!$D37*100</f>
        <v>0.76031138630141015</v>
      </c>
    </row>
    <row r="38" spans="1:7" ht="14.1" customHeight="1" x14ac:dyDescent="0.2">
      <c r="A38" s="19" t="s">
        <v>136</v>
      </c>
      <c r="B38" s="20">
        <v>668631</v>
      </c>
      <c r="C38" s="70">
        <f>B38/'- 3 -'!$D38*100</f>
        <v>0.45336126910968833</v>
      </c>
      <c r="D38" s="20">
        <v>11754700</v>
      </c>
      <c r="E38" s="70">
        <f>D38/'- 3 -'!$D38*100</f>
        <v>7.9702043578650308</v>
      </c>
      <c r="F38" s="20">
        <v>638604</v>
      </c>
      <c r="G38" s="70">
        <f>F38/'- 3 -'!$D38*100</f>
        <v>0.43300164051401052</v>
      </c>
    </row>
    <row r="39" spans="1:7" ht="14.1" customHeight="1" x14ac:dyDescent="0.2">
      <c r="A39" s="284" t="s">
        <v>137</v>
      </c>
      <c r="B39" s="285">
        <v>105016</v>
      </c>
      <c r="C39" s="291">
        <f>B39/'- 3 -'!$D39*100</f>
        <v>0.48274957269381308</v>
      </c>
      <c r="D39" s="285">
        <v>1922148</v>
      </c>
      <c r="E39" s="291">
        <f>D39/'- 3 -'!$D39*100</f>
        <v>8.8359500043256958</v>
      </c>
      <c r="F39" s="285">
        <v>60251</v>
      </c>
      <c r="G39" s="291">
        <f>F39/'- 3 -'!$D39*100</f>
        <v>0.27696869528809831</v>
      </c>
    </row>
    <row r="40" spans="1:7" ht="14.1" customHeight="1" x14ac:dyDescent="0.2">
      <c r="A40" s="19" t="s">
        <v>138</v>
      </c>
      <c r="B40" s="20">
        <v>480224</v>
      </c>
      <c r="C40" s="70">
        <f>B40/'- 3 -'!$D40*100</f>
        <v>0.45120465952169719</v>
      </c>
      <c r="D40" s="20">
        <v>8204620</v>
      </c>
      <c r="E40" s="70">
        <f>D40/'- 3 -'!$D40*100</f>
        <v>7.7088249933466608</v>
      </c>
      <c r="F40" s="20">
        <v>1128079</v>
      </c>
      <c r="G40" s="70">
        <f>F40/'- 3 -'!$D40*100</f>
        <v>1.0599105857028732</v>
      </c>
    </row>
    <row r="41" spans="1:7" ht="14.1" customHeight="1" x14ac:dyDescent="0.2">
      <c r="A41" s="284" t="s">
        <v>139</v>
      </c>
      <c r="B41" s="285">
        <v>191266</v>
      </c>
      <c r="C41" s="291">
        <f>B41/'- 3 -'!$D41*100</f>
        <v>0.29678102768790438</v>
      </c>
      <c r="D41" s="285">
        <v>5113487</v>
      </c>
      <c r="E41" s="291">
        <f>D41/'- 3 -'!$D41*100</f>
        <v>7.9344260188885585</v>
      </c>
      <c r="F41" s="285">
        <v>228288</v>
      </c>
      <c r="G41" s="291">
        <f>F41/'- 3 -'!$D41*100</f>
        <v>0.3542268215407669</v>
      </c>
    </row>
    <row r="42" spans="1:7" ht="14.1" customHeight="1" x14ac:dyDescent="0.2">
      <c r="A42" s="19" t="s">
        <v>140</v>
      </c>
      <c r="B42" s="20">
        <v>107113</v>
      </c>
      <c r="C42" s="70">
        <f>B42/'- 3 -'!$D42*100</f>
        <v>0.52405489413003037</v>
      </c>
      <c r="D42" s="20">
        <v>1941548</v>
      </c>
      <c r="E42" s="70">
        <f>D42/'- 3 -'!$D42*100</f>
        <v>9.4991059123390453</v>
      </c>
      <c r="F42" s="20">
        <v>254373</v>
      </c>
      <c r="G42" s="70">
        <f>F42/'- 3 -'!$D42*100</f>
        <v>1.2445306880074147</v>
      </c>
    </row>
    <row r="43" spans="1:7" ht="14.1" customHeight="1" x14ac:dyDescent="0.2">
      <c r="A43" s="284" t="s">
        <v>141</v>
      </c>
      <c r="B43" s="285">
        <v>42622</v>
      </c>
      <c r="C43" s="291">
        <f>B43/'- 3 -'!$D43*100</f>
        <v>0.32655884498905485</v>
      </c>
      <c r="D43" s="285">
        <v>792297</v>
      </c>
      <c r="E43" s="291">
        <f>D43/'- 3 -'!$D43*100</f>
        <v>6.0703766413658009</v>
      </c>
      <c r="F43" s="285">
        <v>101489</v>
      </c>
      <c r="G43" s="291">
        <f>F43/'- 3 -'!$D43*100</f>
        <v>0.77758271829323311</v>
      </c>
    </row>
    <row r="44" spans="1:7" ht="14.1" customHeight="1" x14ac:dyDescent="0.2">
      <c r="A44" s="19" t="s">
        <v>142</v>
      </c>
      <c r="B44" s="20">
        <v>52355</v>
      </c>
      <c r="C44" s="70">
        <f>B44/'- 3 -'!$D44*100</f>
        <v>0.49228150923703651</v>
      </c>
      <c r="D44" s="20">
        <v>1057525</v>
      </c>
      <c r="E44" s="70">
        <f>D44/'- 3 -'!$D44*100</f>
        <v>9.9436539596198479</v>
      </c>
      <c r="F44" s="20">
        <v>82068</v>
      </c>
      <c r="G44" s="70">
        <f>F44/'- 3 -'!$D44*100</f>
        <v>0.77166572247283194</v>
      </c>
    </row>
    <row r="45" spans="1:7" ht="14.1" customHeight="1" x14ac:dyDescent="0.2">
      <c r="A45" s="284" t="s">
        <v>143</v>
      </c>
      <c r="B45" s="285">
        <v>48850</v>
      </c>
      <c r="C45" s="291">
        <f>B45/'- 3 -'!$D45*100</f>
        <v>0.23089982251673621</v>
      </c>
      <c r="D45" s="285">
        <v>1691518</v>
      </c>
      <c r="E45" s="291">
        <f>D45/'- 3 -'!$D45*100</f>
        <v>7.9953163968037799</v>
      </c>
      <c r="F45" s="285">
        <v>309408</v>
      </c>
      <c r="G45" s="291">
        <f>F45/'- 3 -'!$D45*100</f>
        <v>1.4624821348056976</v>
      </c>
    </row>
    <row r="46" spans="1:7" ht="14.1" customHeight="1" x14ac:dyDescent="0.2">
      <c r="A46" s="19" t="s">
        <v>144</v>
      </c>
      <c r="B46" s="20">
        <v>1194816</v>
      </c>
      <c r="C46" s="70">
        <f>B46/'- 3 -'!$D46*100</f>
        <v>0.28902311721945761</v>
      </c>
      <c r="D46" s="20">
        <v>39500441</v>
      </c>
      <c r="E46" s="70">
        <f>D46/'- 3 -'!$D46*100</f>
        <v>9.5550616909743997</v>
      </c>
      <c r="F46" s="20">
        <v>7266582</v>
      </c>
      <c r="G46" s="70">
        <f>F46/'- 3 -'!$D46*100</f>
        <v>1.7577687118106895</v>
      </c>
    </row>
    <row r="47" spans="1:7" ht="5.0999999999999996" customHeight="1" x14ac:dyDescent="0.2">
      <c r="A47"/>
      <c r="B47" s="22"/>
      <c r="C47"/>
      <c r="D47" s="22"/>
      <c r="E47"/>
      <c r="F47" s="22"/>
      <c r="G47"/>
    </row>
    <row r="48" spans="1:7" ht="14.1" customHeight="1" x14ac:dyDescent="0.2">
      <c r="A48" s="286" t="s">
        <v>145</v>
      </c>
      <c r="B48" s="287">
        <f>SUM(B11:B46)</f>
        <v>9762665</v>
      </c>
      <c r="C48" s="294">
        <f>B48/'- 3 -'!$D48*100</f>
        <v>0.40479501543249674</v>
      </c>
      <c r="D48" s="287">
        <f>SUM(D11:D46)</f>
        <v>220582134</v>
      </c>
      <c r="E48" s="294">
        <f>D48/'- 3 -'!$D48*100</f>
        <v>9.1461243765573315</v>
      </c>
      <c r="F48" s="287">
        <f>SUM(F11:F46)</f>
        <v>22564289</v>
      </c>
      <c r="G48" s="294">
        <f>F48/'- 3 -'!$D48*100</f>
        <v>0.93559614244453915</v>
      </c>
    </row>
    <row r="49" spans="1:7" ht="5.0999999999999996" customHeight="1" x14ac:dyDescent="0.2">
      <c r="A49" s="21" t="s">
        <v>7</v>
      </c>
      <c r="B49" s="22"/>
      <c r="C49"/>
      <c r="D49" s="22"/>
      <c r="E49"/>
      <c r="F49" s="22"/>
      <c r="G49"/>
    </row>
    <row r="50" spans="1:7" ht="14.1" customHeight="1" x14ac:dyDescent="0.2">
      <c r="A50" s="19" t="s">
        <v>146</v>
      </c>
      <c r="B50" s="20">
        <v>28380</v>
      </c>
      <c r="C50" s="70">
        <f>B50/'- 3 -'!$D50*100</f>
        <v>0.89362859813037021</v>
      </c>
      <c r="D50" s="20">
        <v>405123</v>
      </c>
      <c r="E50" s="70">
        <f>D50/'- 3 -'!$D50*100</f>
        <v>12.756501006355531</v>
      </c>
      <c r="F50" s="20">
        <v>0</v>
      </c>
      <c r="G50" s="70">
        <f>F50/'- 3 -'!$D50*100</f>
        <v>0</v>
      </c>
    </row>
    <row r="51" spans="1:7" ht="14.1" customHeight="1" x14ac:dyDescent="0.2">
      <c r="A51" s="284" t="s">
        <v>599</v>
      </c>
      <c r="B51" s="285">
        <v>90401</v>
      </c>
      <c r="C51" s="291">
        <f>B51/'- 3 -'!$D51*100</f>
        <v>0.29962070890469861</v>
      </c>
      <c r="D51" s="285">
        <v>3905335</v>
      </c>
      <c r="E51" s="291">
        <f>D51/'- 3 -'!$D51*100</f>
        <v>12.943653734033154</v>
      </c>
      <c r="F51" s="285">
        <v>0</v>
      </c>
      <c r="G51" s="291">
        <f>F51/'- 3 -'!$D51*100</f>
        <v>0</v>
      </c>
    </row>
    <row r="52" spans="1:7" ht="50.1" customHeight="1" x14ac:dyDescent="0.2"/>
  </sheetData>
  <mergeCells count="4">
    <mergeCell ref="D8:E8"/>
    <mergeCell ref="F8:G8"/>
    <mergeCell ref="D7:G7"/>
    <mergeCell ref="B8:C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F52"/>
  <sheetViews>
    <sheetView showGridLines="0" showZeros="0" workbookViewId="0"/>
  </sheetViews>
  <sheetFormatPr defaultColWidth="15.83203125" defaultRowHeight="12" x14ac:dyDescent="0.2"/>
  <cols>
    <col min="1" max="1" width="32.83203125" style="2" customWidth="1"/>
    <col min="2" max="2" width="19.83203125" style="2" customWidth="1"/>
    <col min="3" max="3" width="15.83203125" style="2" customWidth="1"/>
    <col min="4" max="4" width="19.83203125" style="2" customWidth="1"/>
    <col min="5" max="5" width="15.83203125" style="2"/>
    <col min="6" max="6" width="28.83203125" style="2" customWidth="1"/>
    <col min="7" max="16384" width="15.83203125" style="2"/>
  </cols>
  <sheetData>
    <row r="1" spans="1:6" ht="6.95" customHeight="1" x14ac:dyDescent="0.2">
      <c r="A1" s="7"/>
      <c r="B1" s="7"/>
      <c r="C1" s="7"/>
      <c r="D1" s="8"/>
      <c r="E1" s="8"/>
      <c r="F1" s="8"/>
    </row>
    <row r="2" spans="1:6" ht="15.95" customHeight="1" x14ac:dyDescent="0.2">
      <c r="A2" s="134"/>
      <c r="B2" s="9" t="s">
        <v>263</v>
      </c>
      <c r="C2" s="169"/>
      <c r="D2" s="158"/>
      <c r="E2" s="10"/>
      <c r="F2" s="395" t="s">
        <v>410</v>
      </c>
    </row>
    <row r="3" spans="1:6" ht="15.95" customHeight="1" x14ac:dyDescent="0.2">
      <c r="A3" s="541"/>
      <c r="B3" s="11" t="str">
        <f>OPYEAR</f>
        <v>OPERATING FUND 2019/2020 ACTUAL</v>
      </c>
      <c r="C3" s="29"/>
      <c r="D3" s="159"/>
      <c r="E3" s="12"/>
      <c r="F3" s="66"/>
    </row>
    <row r="4" spans="1:6" ht="15.95" customHeight="1" x14ac:dyDescent="0.2">
      <c r="D4" s="8"/>
      <c r="E4" s="8"/>
      <c r="F4" s="8"/>
    </row>
    <row r="5" spans="1:6" ht="15.95" customHeight="1" x14ac:dyDescent="0.2">
      <c r="D5" s="8"/>
      <c r="E5" s="8"/>
      <c r="F5" s="8"/>
    </row>
    <row r="6" spans="1:6" ht="15.95" customHeight="1" x14ac:dyDescent="0.2">
      <c r="B6" s="154" t="s">
        <v>16</v>
      </c>
      <c r="C6" s="166"/>
      <c r="D6" s="39"/>
      <c r="E6" s="170"/>
      <c r="F6" s="43"/>
    </row>
    <row r="7" spans="1:6" ht="15.95" customHeight="1" x14ac:dyDescent="0.2">
      <c r="B7" s="360"/>
      <c r="C7" s="310"/>
      <c r="D7" s="360"/>
      <c r="E7" s="310"/>
      <c r="F7" s="8"/>
    </row>
    <row r="8" spans="1:6" ht="15.95" customHeight="1" x14ac:dyDescent="0.2">
      <c r="A8" s="67"/>
      <c r="B8" s="695" t="s">
        <v>35</v>
      </c>
      <c r="C8" s="655"/>
      <c r="D8" s="654" t="s">
        <v>36</v>
      </c>
      <c r="E8" s="655"/>
      <c r="F8" s="8"/>
    </row>
    <row r="9" spans="1:6" ht="15.95" customHeight="1" x14ac:dyDescent="0.2">
      <c r="A9" s="35" t="s">
        <v>42</v>
      </c>
      <c r="B9" s="168" t="s">
        <v>43</v>
      </c>
      <c r="C9" s="168" t="s">
        <v>44</v>
      </c>
      <c r="D9" s="171" t="s">
        <v>43</v>
      </c>
      <c r="E9" s="168" t="s">
        <v>44</v>
      </c>
    </row>
    <row r="10" spans="1:6" ht="5.0999999999999996" customHeight="1" x14ac:dyDescent="0.2">
      <c r="A10" s="6"/>
    </row>
    <row r="11" spans="1:6" ht="14.1" customHeight="1" x14ac:dyDescent="0.2">
      <c r="A11" s="284" t="s">
        <v>110</v>
      </c>
      <c r="B11" s="285">
        <v>67653</v>
      </c>
      <c r="C11" s="291">
        <f>B11/'- 3 -'!$D11*100</f>
        <v>0.32188556340892954</v>
      </c>
      <c r="D11" s="285">
        <v>21583</v>
      </c>
      <c r="E11" s="291">
        <f>D11/'- 3 -'!$D11*100</f>
        <v>0.10268954983600027</v>
      </c>
    </row>
    <row r="12" spans="1:6" ht="14.1" customHeight="1" x14ac:dyDescent="0.2">
      <c r="A12" s="19" t="s">
        <v>111</v>
      </c>
      <c r="B12" s="20">
        <v>276386</v>
      </c>
      <c r="C12" s="70">
        <f>B12/'- 3 -'!$D12*100</f>
        <v>0.82385450254820602</v>
      </c>
      <c r="D12" s="20">
        <v>87091</v>
      </c>
      <c r="E12" s="70">
        <f>D12/'- 3 -'!$D12*100</f>
        <v>0.25960183396201625</v>
      </c>
    </row>
    <row r="13" spans="1:6" ht="14.1" customHeight="1" x14ac:dyDescent="0.2">
      <c r="A13" s="284" t="s">
        <v>112</v>
      </c>
      <c r="B13" s="285">
        <v>409862</v>
      </c>
      <c r="C13" s="291">
        <f>B13/'- 3 -'!$D13*100</f>
        <v>0.39204840263773266</v>
      </c>
      <c r="D13" s="285">
        <v>279299</v>
      </c>
      <c r="E13" s="291">
        <f>D13/'- 3 -'!$D13*100</f>
        <v>0.26715998752828052</v>
      </c>
    </row>
    <row r="14" spans="1:6" ht="14.1" customHeight="1" x14ac:dyDescent="0.2">
      <c r="A14" s="19" t="s">
        <v>358</v>
      </c>
      <c r="B14" s="20">
        <v>370423</v>
      </c>
      <c r="C14" s="70">
        <f>B14/'- 3 -'!$D14*100</f>
        <v>0.41350623071884579</v>
      </c>
      <c r="D14" s="20">
        <v>303888</v>
      </c>
      <c r="E14" s="70">
        <f>D14/'- 3 -'!$D14*100</f>
        <v>0.33923266492817294</v>
      </c>
    </row>
    <row r="15" spans="1:6" ht="14.1" customHeight="1" x14ac:dyDescent="0.2">
      <c r="A15" s="284" t="s">
        <v>113</v>
      </c>
      <c r="B15" s="285">
        <v>99443</v>
      </c>
      <c r="C15" s="291">
        <f>B15/'- 3 -'!$D15*100</f>
        <v>0.50415274677897481</v>
      </c>
      <c r="D15" s="285">
        <v>78917</v>
      </c>
      <c r="E15" s="291">
        <f>D15/'- 3 -'!$D15*100</f>
        <v>0.40009072853349514</v>
      </c>
    </row>
    <row r="16" spans="1:6" ht="14.1" customHeight="1" x14ac:dyDescent="0.2">
      <c r="A16" s="19" t="s">
        <v>114</v>
      </c>
      <c r="B16" s="20">
        <v>21589</v>
      </c>
      <c r="C16" s="70">
        <f>B16/'- 3 -'!$D16*100</f>
        <v>0.15020154655621784</v>
      </c>
      <c r="D16" s="20">
        <v>25920</v>
      </c>
      <c r="E16" s="70">
        <f>D16/'- 3 -'!$D16*100</f>
        <v>0.18033369247010822</v>
      </c>
    </row>
    <row r="17" spans="1:5" ht="14.1" customHeight="1" x14ac:dyDescent="0.2">
      <c r="A17" s="284" t="s">
        <v>115</v>
      </c>
      <c r="B17" s="285">
        <v>97810</v>
      </c>
      <c r="C17" s="291">
        <f>B17/'- 3 -'!$D17*100</f>
        <v>0.54338073817781629</v>
      </c>
      <c r="D17" s="285">
        <v>29456</v>
      </c>
      <c r="E17" s="291">
        <f>D17/'- 3 -'!$D17*100</f>
        <v>0.16364198981459721</v>
      </c>
    </row>
    <row r="18" spans="1:5" ht="14.1" customHeight="1" x14ac:dyDescent="0.2">
      <c r="A18" s="19" t="s">
        <v>116</v>
      </c>
      <c r="B18" s="20">
        <v>3661955</v>
      </c>
      <c r="C18" s="70">
        <f>B18/'- 3 -'!$D18*100</f>
        <v>2.749571774462455</v>
      </c>
      <c r="D18" s="20">
        <v>80940</v>
      </c>
      <c r="E18" s="70">
        <f>D18/'- 3 -'!$D18*100</f>
        <v>6.0773641244906369E-2</v>
      </c>
    </row>
    <row r="19" spans="1:5" ht="14.1" customHeight="1" x14ac:dyDescent="0.2">
      <c r="A19" s="284" t="s">
        <v>117</v>
      </c>
      <c r="B19" s="285">
        <v>89327</v>
      </c>
      <c r="C19" s="291">
        <f>B19/'- 3 -'!$D19*100</f>
        <v>0.17962760677659409</v>
      </c>
      <c r="D19" s="285">
        <v>173056</v>
      </c>
      <c r="E19" s="291">
        <f>D19/'- 3 -'!$D19*100</f>
        <v>0.34799819895810075</v>
      </c>
    </row>
    <row r="20" spans="1:5" ht="14.1" customHeight="1" x14ac:dyDescent="0.2">
      <c r="A20" s="19" t="s">
        <v>118</v>
      </c>
      <c r="B20" s="20">
        <v>233546</v>
      </c>
      <c r="C20" s="70">
        <f>B20/'- 3 -'!$D20*100</f>
        <v>0.26384071308051688</v>
      </c>
      <c r="D20" s="20">
        <v>332946</v>
      </c>
      <c r="E20" s="70">
        <f>D20/'- 3 -'!$D20*100</f>
        <v>0.37613450907875007</v>
      </c>
    </row>
    <row r="21" spans="1:5" ht="14.1" customHeight="1" x14ac:dyDescent="0.2">
      <c r="A21" s="284" t="s">
        <v>119</v>
      </c>
      <c r="B21" s="285">
        <v>156232</v>
      </c>
      <c r="C21" s="291">
        <f>B21/'- 3 -'!$D21*100</f>
        <v>0.415409128216222</v>
      </c>
      <c r="D21" s="285">
        <v>95963</v>
      </c>
      <c r="E21" s="291">
        <f>D21/'- 3 -'!$D21*100</f>
        <v>0.25515839374144428</v>
      </c>
    </row>
    <row r="22" spans="1:5" ht="14.1" customHeight="1" x14ac:dyDescent="0.2">
      <c r="A22" s="19" t="s">
        <v>120</v>
      </c>
      <c r="B22" s="20">
        <v>70228</v>
      </c>
      <c r="C22" s="70">
        <f>B22/'- 3 -'!$D22*100</f>
        <v>0.34019825456806546</v>
      </c>
      <c r="D22" s="20">
        <v>43590</v>
      </c>
      <c r="E22" s="70">
        <f>D22/'- 3 -'!$D22*100</f>
        <v>0.21115853956572844</v>
      </c>
    </row>
    <row r="23" spans="1:5" ht="14.1" customHeight="1" x14ac:dyDescent="0.2">
      <c r="A23" s="284" t="s">
        <v>121</v>
      </c>
      <c r="B23" s="285">
        <v>78876</v>
      </c>
      <c r="C23" s="291">
        <f>B23/'- 3 -'!$D23*100</f>
        <v>0.50821975020969634</v>
      </c>
      <c r="D23" s="285">
        <v>9840</v>
      </c>
      <c r="E23" s="291">
        <f>D23/'- 3 -'!$D23*100</f>
        <v>6.3401824915860494E-2</v>
      </c>
    </row>
    <row r="24" spans="1:5" ht="14.1" customHeight="1" x14ac:dyDescent="0.2">
      <c r="A24" s="19" t="s">
        <v>122</v>
      </c>
      <c r="B24" s="20">
        <v>166527</v>
      </c>
      <c r="C24" s="70">
        <f>B24/'- 3 -'!$D24*100</f>
        <v>0.28494303295316975</v>
      </c>
      <c r="D24" s="20">
        <v>108635</v>
      </c>
      <c r="E24" s="70">
        <f>D24/'- 3 -'!$D24*100</f>
        <v>0.18588448951141612</v>
      </c>
    </row>
    <row r="25" spans="1:5" ht="14.1" customHeight="1" x14ac:dyDescent="0.2">
      <c r="A25" s="284" t="s">
        <v>123</v>
      </c>
      <c r="B25" s="285">
        <v>612363</v>
      </c>
      <c r="C25" s="291">
        <f>B25/'- 3 -'!$D25*100</f>
        <v>0.31551624694098462</v>
      </c>
      <c r="D25" s="285">
        <v>420757</v>
      </c>
      <c r="E25" s="291">
        <f>D25/'- 3 -'!$D25*100</f>
        <v>0.2167924409445833</v>
      </c>
    </row>
    <row r="26" spans="1:5" ht="14.1" customHeight="1" x14ac:dyDescent="0.2">
      <c r="A26" s="19" t="s">
        <v>124</v>
      </c>
      <c r="B26" s="20">
        <v>200449</v>
      </c>
      <c r="C26" s="70">
        <f>B26/'- 3 -'!$D26*100</f>
        <v>0.48998399996871128</v>
      </c>
      <c r="D26" s="20">
        <v>42568</v>
      </c>
      <c r="E26" s="70">
        <f>D26/'- 3 -'!$D26*100</f>
        <v>0.10405459199431327</v>
      </c>
    </row>
    <row r="27" spans="1:5" ht="14.1" customHeight="1" x14ac:dyDescent="0.2">
      <c r="A27" s="284" t="s">
        <v>125</v>
      </c>
      <c r="B27" s="285">
        <v>123152</v>
      </c>
      <c r="C27" s="291">
        <f>B27/'- 3 -'!$D27*100</f>
        <v>0.29575034666949213</v>
      </c>
      <c r="D27" s="285">
        <v>42179</v>
      </c>
      <c r="E27" s="291">
        <f>D27/'- 3 -'!$D27*100</f>
        <v>0.10129314889057839</v>
      </c>
    </row>
    <row r="28" spans="1:5" ht="14.1" customHeight="1" x14ac:dyDescent="0.2">
      <c r="A28" s="19" t="s">
        <v>126</v>
      </c>
      <c r="B28" s="20">
        <v>67277</v>
      </c>
      <c r="C28" s="70">
        <f>B28/'- 3 -'!$D28*100</f>
        <v>0.23828828841592425</v>
      </c>
      <c r="D28" s="20">
        <v>90984</v>
      </c>
      <c r="E28" s="70">
        <f>D28/'- 3 -'!$D28*100</f>
        <v>0.32225607017605501</v>
      </c>
    </row>
    <row r="29" spans="1:5" ht="14.1" customHeight="1" x14ac:dyDescent="0.2">
      <c r="A29" s="284" t="s">
        <v>127</v>
      </c>
      <c r="B29" s="285">
        <v>496571</v>
      </c>
      <c r="C29" s="291">
        <f>B29/'- 3 -'!$D29*100</f>
        <v>0.29348326038258554</v>
      </c>
      <c r="D29" s="285">
        <v>693037</v>
      </c>
      <c r="E29" s="291">
        <f>D29/'- 3 -'!$D29*100</f>
        <v>0.40959854346259833</v>
      </c>
    </row>
    <row r="30" spans="1:5" ht="14.1" customHeight="1" x14ac:dyDescent="0.2">
      <c r="A30" s="19" t="s">
        <v>128</v>
      </c>
      <c r="B30" s="20">
        <v>41413</v>
      </c>
      <c r="C30" s="70">
        <f>B30/'- 3 -'!$D30*100</f>
        <v>0.26619818494400604</v>
      </c>
      <c r="D30" s="20">
        <v>55419</v>
      </c>
      <c r="E30" s="70">
        <f>D30/'- 3 -'!$D30*100</f>
        <v>0.35622720429362442</v>
      </c>
    </row>
    <row r="31" spans="1:5" ht="14.1" customHeight="1" x14ac:dyDescent="0.2">
      <c r="A31" s="284" t="s">
        <v>129</v>
      </c>
      <c r="B31" s="285">
        <v>124549</v>
      </c>
      <c r="C31" s="291">
        <f>B31/'- 3 -'!$D31*100</f>
        <v>0.31172652781764254</v>
      </c>
      <c r="D31" s="285">
        <v>118218</v>
      </c>
      <c r="E31" s="291">
        <f>D31/'- 3 -'!$D31*100</f>
        <v>0.29588103208814254</v>
      </c>
    </row>
    <row r="32" spans="1:5" ht="14.1" customHeight="1" x14ac:dyDescent="0.2">
      <c r="A32" s="19" t="s">
        <v>130</v>
      </c>
      <c r="B32" s="20">
        <v>114322</v>
      </c>
      <c r="C32" s="70">
        <f>B32/'- 3 -'!$D32*100</f>
        <v>0.37685798830514611</v>
      </c>
      <c r="D32" s="20">
        <v>102923</v>
      </c>
      <c r="E32" s="70">
        <f>D32/'- 3 -'!$D32*100</f>
        <v>0.33928163197224115</v>
      </c>
    </row>
    <row r="33" spans="1:5" ht="14.1" customHeight="1" x14ac:dyDescent="0.2">
      <c r="A33" s="284" t="s">
        <v>131</v>
      </c>
      <c r="B33" s="285">
        <v>116521</v>
      </c>
      <c r="C33" s="291">
        <f>B33/'- 3 -'!$D33*100</f>
        <v>0.41510595068083456</v>
      </c>
      <c r="D33" s="285">
        <v>36371</v>
      </c>
      <c r="E33" s="291">
        <f>D33/'- 3 -'!$D33*100</f>
        <v>0.12957165259663608</v>
      </c>
    </row>
    <row r="34" spans="1:5" ht="14.1" customHeight="1" x14ac:dyDescent="0.2">
      <c r="A34" s="19" t="s">
        <v>132</v>
      </c>
      <c r="B34" s="20">
        <v>146141</v>
      </c>
      <c r="C34" s="70">
        <f>B34/'- 3 -'!$D34*100</f>
        <v>0.4800678910033252</v>
      </c>
      <c r="D34" s="20">
        <v>158010</v>
      </c>
      <c r="E34" s="70">
        <f>D34/'- 3 -'!$D34*100</f>
        <v>0.51905712604563681</v>
      </c>
    </row>
    <row r="35" spans="1:5" ht="14.1" customHeight="1" x14ac:dyDescent="0.2">
      <c r="A35" s="284" t="s">
        <v>133</v>
      </c>
      <c r="B35" s="285">
        <v>452608</v>
      </c>
      <c r="C35" s="291">
        <f>B35/'- 3 -'!$D35*100</f>
        <v>0.2362568588444611</v>
      </c>
      <c r="D35" s="285">
        <v>897802</v>
      </c>
      <c r="E35" s="291">
        <f>D35/'- 3 -'!$D35*100</f>
        <v>0.46864368368273396</v>
      </c>
    </row>
    <row r="36" spans="1:5" ht="14.1" customHeight="1" x14ac:dyDescent="0.2">
      <c r="A36" s="19" t="s">
        <v>134</v>
      </c>
      <c r="B36" s="20">
        <v>161951</v>
      </c>
      <c r="C36" s="70">
        <f>B36/'- 3 -'!$D36*100</f>
        <v>0.68484082169058269</v>
      </c>
      <c r="D36" s="20">
        <v>110749</v>
      </c>
      <c r="E36" s="70">
        <f>D36/'- 3 -'!$D36*100</f>
        <v>0.46832335806145281</v>
      </c>
    </row>
    <row r="37" spans="1:5" ht="14.1" customHeight="1" x14ac:dyDescent="0.2">
      <c r="A37" s="284" t="s">
        <v>135</v>
      </c>
      <c r="B37" s="285">
        <v>133744</v>
      </c>
      <c r="C37" s="291">
        <f>B37/'- 3 -'!$D37*100</f>
        <v>0.24370547927520361</v>
      </c>
      <c r="D37" s="285">
        <v>245415</v>
      </c>
      <c r="E37" s="291">
        <f>D37/'- 3 -'!$D37*100</f>
        <v>0.4471900062531709</v>
      </c>
    </row>
    <row r="38" spans="1:5" ht="14.1" customHeight="1" x14ac:dyDescent="0.2">
      <c r="A38" s="19" t="s">
        <v>136</v>
      </c>
      <c r="B38" s="20">
        <v>668725</v>
      </c>
      <c r="C38" s="70">
        <f>B38/'- 3 -'!$D38*100</f>
        <v>0.45342500525009505</v>
      </c>
      <c r="D38" s="20">
        <v>453550</v>
      </c>
      <c r="E38" s="70">
        <f>D38/'- 3 -'!$D38*100</f>
        <v>0.3075268774626051</v>
      </c>
    </row>
    <row r="39" spans="1:5" ht="14.1" customHeight="1" x14ac:dyDescent="0.2">
      <c r="A39" s="284" t="s">
        <v>137</v>
      </c>
      <c r="B39" s="285">
        <v>65592</v>
      </c>
      <c r="C39" s="291">
        <f>B39/'- 3 -'!$D39*100</f>
        <v>0.30152081561031258</v>
      </c>
      <c r="D39" s="285">
        <v>46549</v>
      </c>
      <c r="E39" s="291">
        <f>D39/'- 3 -'!$D39*100</f>
        <v>0.21398177286627088</v>
      </c>
    </row>
    <row r="40" spans="1:5" ht="14.1" customHeight="1" x14ac:dyDescent="0.2">
      <c r="A40" s="19" t="s">
        <v>138</v>
      </c>
      <c r="B40" s="20">
        <v>514208</v>
      </c>
      <c r="C40" s="70">
        <f>B40/'- 3 -'!$D40*100</f>
        <v>0.48313504856761191</v>
      </c>
      <c r="D40" s="20">
        <v>406341</v>
      </c>
      <c r="E40" s="70">
        <f>D40/'- 3 -'!$D40*100</f>
        <v>0.38178631754078507</v>
      </c>
    </row>
    <row r="41" spans="1:5" ht="14.1" customHeight="1" x14ac:dyDescent="0.2">
      <c r="A41" s="284" t="s">
        <v>139</v>
      </c>
      <c r="B41" s="285">
        <v>354192</v>
      </c>
      <c r="C41" s="291">
        <f>B41/'- 3 -'!$D41*100</f>
        <v>0.54958782929968852</v>
      </c>
      <c r="D41" s="285">
        <v>378914</v>
      </c>
      <c r="E41" s="291">
        <f>D41/'- 3 -'!$D41*100</f>
        <v>0.58794812630229432</v>
      </c>
    </row>
    <row r="42" spans="1:5" ht="14.1" customHeight="1" x14ac:dyDescent="0.2">
      <c r="A42" s="19" t="s">
        <v>140</v>
      </c>
      <c r="B42" s="20">
        <v>161509</v>
      </c>
      <c r="C42" s="70">
        <f>B42/'- 3 -'!$D42*100</f>
        <v>0.7901896305401499</v>
      </c>
      <c r="D42" s="20">
        <v>96828</v>
      </c>
      <c r="E42" s="70">
        <f>D42/'- 3 -'!$D42*100</f>
        <v>0.47373509554230187</v>
      </c>
    </row>
    <row r="43" spans="1:5" ht="14.1" customHeight="1" x14ac:dyDescent="0.2">
      <c r="A43" s="284" t="s">
        <v>141</v>
      </c>
      <c r="B43" s="285">
        <v>118412</v>
      </c>
      <c r="C43" s="291">
        <f>B43/'- 3 -'!$D43*100</f>
        <v>0.9072424089166149</v>
      </c>
      <c r="D43" s="285">
        <v>8931</v>
      </c>
      <c r="E43" s="291">
        <f>D43/'- 3 -'!$D43*100</f>
        <v>6.8427034034002354E-2</v>
      </c>
    </row>
    <row r="44" spans="1:5" ht="14.1" customHeight="1" x14ac:dyDescent="0.2">
      <c r="A44" s="19" t="s">
        <v>142</v>
      </c>
      <c r="B44" s="20">
        <v>41834</v>
      </c>
      <c r="C44" s="70">
        <f>B44/'- 3 -'!$D44*100</f>
        <v>0.39335506938061671</v>
      </c>
      <c r="D44" s="20">
        <v>22380</v>
      </c>
      <c r="E44" s="70">
        <f>D44/'- 3 -'!$D44*100</f>
        <v>0.21043377283401543</v>
      </c>
    </row>
    <row r="45" spans="1:5" ht="14.1" customHeight="1" x14ac:dyDescent="0.2">
      <c r="A45" s="284" t="s">
        <v>143</v>
      </c>
      <c r="B45" s="285">
        <v>51367</v>
      </c>
      <c r="C45" s="291">
        <f>B45/'- 3 -'!$D45*100</f>
        <v>0.24279695359707654</v>
      </c>
      <c r="D45" s="285">
        <v>60967</v>
      </c>
      <c r="E45" s="291">
        <f>D45/'- 3 -'!$D45*100</f>
        <v>0.28817337726464393</v>
      </c>
    </row>
    <row r="46" spans="1:5" ht="14.1" customHeight="1" x14ac:dyDescent="0.2">
      <c r="A46" s="19" t="s">
        <v>144</v>
      </c>
      <c r="B46" s="20">
        <v>2020756</v>
      </c>
      <c r="C46" s="70">
        <f>B46/'- 3 -'!$D46*100</f>
        <v>0.48881601707704131</v>
      </c>
      <c r="D46" s="20">
        <v>1827127</v>
      </c>
      <c r="E46" s="70">
        <f>D46/'- 3 -'!$D46*100</f>
        <v>0.44197762759775217</v>
      </c>
    </row>
    <row r="47" spans="1:5" ht="5.0999999999999996" customHeight="1" x14ac:dyDescent="0.2">
      <c r="A47"/>
      <c r="B47" s="22"/>
      <c r="C47"/>
      <c r="D47" s="22"/>
      <c r="E47"/>
    </row>
    <row r="48" spans="1:5" ht="14.1" customHeight="1" x14ac:dyDescent="0.2">
      <c r="A48" s="286" t="s">
        <v>145</v>
      </c>
      <c r="B48" s="287">
        <f>SUM(B11:B46)</f>
        <v>12587513</v>
      </c>
      <c r="C48" s="294">
        <f>B48/'- 3 -'!$D48*100</f>
        <v>0.52192331900067801</v>
      </c>
      <c r="D48" s="287">
        <f>SUM(D11:D46)</f>
        <v>7987143</v>
      </c>
      <c r="E48" s="294">
        <f>D48/'- 3 -'!$D48*100</f>
        <v>0.33117552163743802</v>
      </c>
    </row>
    <row r="49" spans="1:5" ht="5.0999999999999996" customHeight="1" x14ac:dyDescent="0.2">
      <c r="A49" s="21" t="s">
        <v>7</v>
      </c>
      <c r="B49" s="22"/>
      <c r="C49"/>
      <c r="D49" s="22"/>
      <c r="E49"/>
    </row>
    <row r="50" spans="1:5" ht="14.1" customHeight="1" x14ac:dyDescent="0.2">
      <c r="A50" s="19" t="s">
        <v>146</v>
      </c>
      <c r="B50" s="20">
        <v>325</v>
      </c>
      <c r="C50" s="70">
        <f>B50/'- 3 -'!$D50*100</f>
        <v>1.0233590359139193E-2</v>
      </c>
      <c r="D50" s="20">
        <v>8786</v>
      </c>
      <c r="E50" s="70">
        <f>D50/'- 3 -'!$D50*100</f>
        <v>0.27665330737045218</v>
      </c>
    </row>
    <row r="51" spans="1:5" ht="14.1" customHeight="1" x14ac:dyDescent="0.2">
      <c r="A51" s="284" t="s">
        <v>599</v>
      </c>
      <c r="B51" s="285">
        <v>0</v>
      </c>
      <c r="C51" s="291">
        <f>B51/'- 3 -'!$D51*100</f>
        <v>0</v>
      </c>
      <c r="D51" s="285">
        <v>47971</v>
      </c>
      <c r="E51" s="291">
        <f>D51/'- 3 -'!$D51*100</f>
        <v>0.15899276586395389</v>
      </c>
    </row>
    <row r="52" spans="1:5" ht="50.1" customHeight="1" x14ac:dyDescent="0.2"/>
  </sheetData>
  <mergeCells count="2">
    <mergeCell ref="D8:E8"/>
    <mergeCell ref="B8:C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G52"/>
  <sheetViews>
    <sheetView showGridLines="0" showZeros="0" workbookViewId="0"/>
  </sheetViews>
  <sheetFormatPr defaultColWidth="15.83203125" defaultRowHeight="12" x14ac:dyDescent="0.2"/>
  <cols>
    <col min="1" max="1" width="34.83203125" style="2" customWidth="1"/>
    <col min="2" max="2" width="19.83203125" style="2" customWidth="1"/>
    <col min="3" max="3" width="12.83203125" style="2" customWidth="1"/>
    <col min="4" max="4" width="19.83203125" style="2" customWidth="1"/>
    <col min="5" max="5" width="12.83203125" style="2" customWidth="1"/>
    <col min="6" max="6" width="19.83203125" style="2" customWidth="1"/>
    <col min="7" max="7" width="12.83203125" style="2" customWidth="1"/>
    <col min="8" max="16384" width="15.83203125" style="2"/>
  </cols>
  <sheetData>
    <row r="1" spans="1:7" ht="6.95" customHeight="1" x14ac:dyDescent="0.2">
      <c r="A1" s="7"/>
      <c r="B1" s="8"/>
      <c r="C1" s="8"/>
      <c r="D1" s="8"/>
      <c r="E1" s="8"/>
      <c r="F1" s="8"/>
      <c r="G1" s="8"/>
    </row>
    <row r="2" spans="1:7" ht="15.95" customHeight="1" x14ac:dyDescent="0.2">
      <c r="A2" s="134"/>
      <c r="B2" s="9" t="s">
        <v>263</v>
      </c>
      <c r="C2" s="10"/>
      <c r="D2" s="10"/>
      <c r="E2" s="10"/>
      <c r="F2" s="10"/>
      <c r="G2" s="395" t="s">
        <v>411</v>
      </c>
    </row>
    <row r="3" spans="1:7" ht="15.95" customHeight="1" x14ac:dyDescent="0.2">
      <c r="A3" s="541"/>
      <c r="B3" s="11" t="str">
        <f>OPYEAR</f>
        <v>OPERATING FUND 2019/2020 ACTUAL</v>
      </c>
      <c r="C3" s="12"/>
      <c r="D3" s="12"/>
      <c r="E3" s="12"/>
      <c r="F3" s="12"/>
      <c r="G3" s="75"/>
    </row>
    <row r="4" spans="1:7" ht="15.95" customHeight="1" x14ac:dyDescent="0.2">
      <c r="B4" s="8"/>
      <c r="C4" s="8"/>
      <c r="D4" s="8"/>
      <c r="E4" s="8"/>
      <c r="F4" s="8"/>
      <c r="G4" s="8"/>
    </row>
    <row r="5" spans="1:7" ht="15.95" customHeight="1" x14ac:dyDescent="0.2">
      <c r="B5" s="8"/>
      <c r="C5" s="8"/>
      <c r="D5" s="8"/>
      <c r="E5" s="8"/>
      <c r="F5" s="8"/>
      <c r="G5" s="8"/>
    </row>
    <row r="6" spans="1:7" ht="15.95" customHeight="1" x14ac:dyDescent="0.2">
      <c r="B6" s="557" t="s">
        <v>17</v>
      </c>
      <c r="C6" s="558"/>
      <c r="D6" s="165"/>
      <c r="E6" s="165"/>
      <c r="F6" s="166"/>
      <c r="G6" s="167"/>
    </row>
    <row r="7" spans="1:7" ht="15.95" customHeight="1" x14ac:dyDescent="0.2">
      <c r="B7" s="676" t="s">
        <v>496</v>
      </c>
      <c r="C7" s="700"/>
      <c r="D7" s="696" t="s">
        <v>497</v>
      </c>
      <c r="E7" s="650"/>
      <c r="F7" s="649" t="s">
        <v>498</v>
      </c>
      <c r="G7" s="650"/>
    </row>
    <row r="8" spans="1:7" ht="15.95" customHeight="1" x14ac:dyDescent="0.2">
      <c r="A8" s="403"/>
      <c r="B8" s="701"/>
      <c r="C8" s="702"/>
      <c r="D8" s="683"/>
      <c r="E8" s="652"/>
      <c r="F8" s="651"/>
      <c r="G8" s="652"/>
    </row>
    <row r="9" spans="1:7" ht="15.95" customHeight="1" x14ac:dyDescent="0.2">
      <c r="A9" s="35" t="s">
        <v>42</v>
      </c>
      <c r="B9" s="77" t="s">
        <v>43</v>
      </c>
      <c r="C9" s="77" t="s">
        <v>44</v>
      </c>
      <c r="D9" s="171" t="s">
        <v>43</v>
      </c>
      <c r="E9" s="168" t="s">
        <v>44</v>
      </c>
      <c r="F9" s="171" t="s">
        <v>43</v>
      </c>
      <c r="G9" s="168" t="s">
        <v>44</v>
      </c>
    </row>
    <row r="10" spans="1:7" ht="5.0999999999999996" customHeight="1" x14ac:dyDescent="0.2">
      <c r="A10" s="6"/>
    </row>
    <row r="11" spans="1:7" ht="14.1" customHeight="1" x14ac:dyDescent="0.2">
      <c r="A11" s="284" t="s">
        <v>110</v>
      </c>
      <c r="B11" s="285">
        <v>18309</v>
      </c>
      <c r="C11" s="291">
        <f>B11/'- 3 -'!$D11*100</f>
        <v>8.711221646422318E-2</v>
      </c>
      <c r="D11" s="285">
        <v>0</v>
      </c>
      <c r="E11" s="291">
        <f>D11/'- 3 -'!$D11*100</f>
        <v>0</v>
      </c>
      <c r="F11" s="285">
        <v>352174</v>
      </c>
      <c r="G11" s="291">
        <f>F11/'- 3 -'!$D11*100</f>
        <v>1.6756053154771609</v>
      </c>
    </row>
    <row r="12" spans="1:7" ht="14.1" customHeight="1" x14ac:dyDescent="0.2">
      <c r="A12" s="19" t="s">
        <v>111</v>
      </c>
      <c r="B12" s="20">
        <v>42287</v>
      </c>
      <c r="C12" s="70">
        <f>B12/'- 3 -'!$D12*100</f>
        <v>0.12604956600282211</v>
      </c>
      <c r="D12" s="20">
        <v>0</v>
      </c>
      <c r="E12" s="70">
        <f>D12/'- 3 -'!$D12*100</f>
        <v>0</v>
      </c>
      <c r="F12" s="20">
        <v>527713</v>
      </c>
      <c r="G12" s="70">
        <f>F12/'- 3 -'!$D12*100</f>
        <v>1.5730128555832117</v>
      </c>
    </row>
    <row r="13" spans="1:7" ht="14.1" customHeight="1" x14ac:dyDescent="0.2">
      <c r="A13" s="284" t="s">
        <v>112</v>
      </c>
      <c r="B13" s="285">
        <v>126</v>
      </c>
      <c r="C13" s="291">
        <f>B13/'- 3 -'!$D13*100</f>
        <v>1.2052373416504657E-4</v>
      </c>
      <c r="D13" s="285">
        <v>-8780</v>
      </c>
      <c r="E13" s="291">
        <f>D13/'- 3 -'!$D13*100</f>
        <v>-8.3983998886437219E-3</v>
      </c>
      <c r="F13" s="285">
        <v>1924132</v>
      </c>
      <c r="G13" s="291">
        <f>F13/'- 3 -'!$D13*100</f>
        <v>1.8405045529084081</v>
      </c>
    </row>
    <row r="14" spans="1:7" ht="14.1" customHeight="1" x14ac:dyDescent="0.2">
      <c r="A14" s="19" t="s">
        <v>358</v>
      </c>
      <c r="B14" s="20">
        <v>52766</v>
      </c>
      <c r="C14" s="70">
        <f>B14/'- 3 -'!$D14*100</f>
        <v>5.890311824619588E-2</v>
      </c>
      <c r="D14" s="20">
        <v>1428</v>
      </c>
      <c r="E14" s="70">
        <f>D14/'- 3 -'!$D14*100</f>
        <v>1.5940881032401114E-3</v>
      </c>
      <c r="F14" s="20">
        <v>1378565</v>
      </c>
      <c r="G14" s="70">
        <f>F14/'- 3 -'!$D14*100</f>
        <v>1.5389034075932801</v>
      </c>
    </row>
    <row r="15" spans="1:7" ht="14.1" customHeight="1" x14ac:dyDescent="0.2">
      <c r="A15" s="284" t="s">
        <v>113</v>
      </c>
      <c r="B15" s="285">
        <v>22614</v>
      </c>
      <c r="C15" s="291">
        <f>B15/'- 3 -'!$D15*100</f>
        <v>0.11464768978872053</v>
      </c>
      <c r="D15" s="285">
        <v>0</v>
      </c>
      <c r="E15" s="291">
        <f>D15/'- 3 -'!$D15*100</f>
        <v>0</v>
      </c>
      <c r="F15" s="285">
        <v>320296</v>
      </c>
      <c r="G15" s="291">
        <f>F15/'- 3 -'!$D15*100</f>
        <v>1.6238257914817384</v>
      </c>
    </row>
    <row r="16" spans="1:7" ht="14.1" customHeight="1" x14ac:dyDescent="0.2">
      <c r="A16" s="19" t="s">
        <v>114</v>
      </c>
      <c r="B16" s="20">
        <v>46581</v>
      </c>
      <c r="C16" s="70">
        <f>B16/'- 3 -'!$D16*100</f>
        <v>0.3240788475675197</v>
      </c>
      <c r="D16" s="20">
        <v>0</v>
      </c>
      <c r="E16" s="70">
        <f>D16/'- 3 -'!$D16*100</f>
        <v>0</v>
      </c>
      <c r="F16" s="20">
        <v>221441</v>
      </c>
      <c r="G16" s="70">
        <f>F16/'- 3 -'!$D16*100</f>
        <v>1.5406355399025169</v>
      </c>
    </row>
    <row r="17" spans="1:7" ht="14.1" customHeight="1" x14ac:dyDescent="0.2">
      <c r="A17" s="284" t="s">
        <v>115</v>
      </c>
      <c r="B17" s="285">
        <v>71502</v>
      </c>
      <c r="C17" s="291">
        <f>B17/'- 3 -'!$D17*100</f>
        <v>0.39722737492270943</v>
      </c>
      <c r="D17" s="285">
        <v>0</v>
      </c>
      <c r="E17" s="291">
        <f>D17/'- 3 -'!$D17*100</f>
        <v>0</v>
      </c>
      <c r="F17" s="285">
        <v>292558</v>
      </c>
      <c r="G17" s="291">
        <f>F17/'- 3 -'!$D17*100</f>
        <v>1.625297842754581</v>
      </c>
    </row>
    <row r="18" spans="1:7" ht="14.1" customHeight="1" x14ac:dyDescent="0.2">
      <c r="A18" s="19" t="s">
        <v>116</v>
      </c>
      <c r="B18" s="20">
        <v>19863</v>
      </c>
      <c r="C18" s="70">
        <f>B18/'- 3 -'!$D18*100</f>
        <v>1.4914094836268533E-2</v>
      </c>
      <c r="D18" s="20">
        <v>0</v>
      </c>
      <c r="E18" s="70">
        <f>D18/'- 3 -'!$D18*100</f>
        <v>0</v>
      </c>
      <c r="F18" s="20">
        <v>1232338</v>
      </c>
      <c r="G18" s="70">
        <f>F18/'- 3 -'!$D18*100</f>
        <v>0.92529858542705001</v>
      </c>
    </row>
    <row r="19" spans="1:7" ht="14.1" customHeight="1" x14ac:dyDescent="0.2">
      <c r="A19" s="284" t="s">
        <v>117</v>
      </c>
      <c r="B19" s="285">
        <v>35675</v>
      </c>
      <c r="C19" s="291">
        <f>B19/'- 3 -'!$D19*100</f>
        <v>7.1738834526570844E-2</v>
      </c>
      <c r="D19" s="285">
        <v>0</v>
      </c>
      <c r="E19" s="291">
        <f>D19/'- 3 -'!$D19*100</f>
        <v>0</v>
      </c>
      <c r="F19" s="285">
        <v>808396</v>
      </c>
      <c r="G19" s="291">
        <f>F19/'- 3 -'!$D19*100</f>
        <v>1.6256029958217733</v>
      </c>
    </row>
    <row r="20" spans="1:7" ht="14.1" customHeight="1" x14ac:dyDescent="0.2">
      <c r="A20" s="19" t="s">
        <v>118</v>
      </c>
      <c r="B20" s="20">
        <v>207262</v>
      </c>
      <c r="C20" s="70">
        <f>B20/'- 3 -'!$D20*100</f>
        <v>0.23414725096766409</v>
      </c>
      <c r="D20" s="20">
        <v>0</v>
      </c>
      <c r="E20" s="70">
        <f>D20/'- 3 -'!$D20*100</f>
        <v>0</v>
      </c>
      <c r="F20" s="20">
        <v>1431472</v>
      </c>
      <c r="G20" s="70">
        <f>F20/'- 3 -'!$D20*100</f>
        <v>1.6171571905954012</v>
      </c>
    </row>
    <row r="21" spans="1:7" ht="14.1" customHeight="1" x14ac:dyDescent="0.2">
      <c r="A21" s="284" t="s">
        <v>119</v>
      </c>
      <c r="B21" s="285">
        <v>38400</v>
      </c>
      <c r="C21" s="291">
        <f>B21/'- 3 -'!$D21*100</f>
        <v>0.10210270958256264</v>
      </c>
      <c r="D21" s="285">
        <v>0</v>
      </c>
      <c r="E21" s="291">
        <f>D21/'- 3 -'!$D21*100</f>
        <v>0</v>
      </c>
      <c r="F21" s="285">
        <v>640116</v>
      </c>
      <c r="G21" s="291">
        <f>F21/'- 3 -'!$D21*100</f>
        <v>1.7020202616445748</v>
      </c>
    </row>
    <row r="22" spans="1:7" ht="14.1" customHeight="1" x14ac:dyDescent="0.2">
      <c r="A22" s="19" t="s">
        <v>120</v>
      </c>
      <c r="B22" s="20">
        <v>7418</v>
      </c>
      <c r="C22" s="70">
        <f>B22/'- 3 -'!$D22*100</f>
        <v>3.5934252041719968E-2</v>
      </c>
      <c r="D22" s="20">
        <v>0</v>
      </c>
      <c r="E22" s="70">
        <f>D22/'- 3 -'!$D22*100</f>
        <v>0</v>
      </c>
      <c r="F22" s="20">
        <v>349614</v>
      </c>
      <c r="G22" s="70">
        <f>F22/'- 3 -'!$D22*100</f>
        <v>1.6935990284866385</v>
      </c>
    </row>
    <row r="23" spans="1:7" ht="14.1" customHeight="1" x14ac:dyDescent="0.2">
      <c r="A23" s="284" t="s">
        <v>121</v>
      </c>
      <c r="B23" s="285">
        <v>2999</v>
      </c>
      <c r="C23" s="291">
        <f>B23/'- 3 -'!$D23*100</f>
        <v>1.9323381394579838E-2</v>
      </c>
      <c r="D23" s="285">
        <v>0</v>
      </c>
      <c r="E23" s="291">
        <f>D23/'- 3 -'!$D23*100</f>
        <v>0</v>
      </c>
      <c r="F23" s="285">
        <v>239632</v>
      </c>
      <c r="G23" s="291">
        <f>F23/'- 3 -'!$D23*100</f>
        <v>1.544014848398118</v>
      </c>
    </row>
    <row r="24" spans="1:7" ht="14.1" customHeight="1" x14ac:dyDescent="0.2">
      <c r="A24" s="19" t="s">
        <v>122</v>
      </c>
      <c r="B24" s="20">
        <v>63216</v>
      </c>
      <c r="C24" s="70">
        <f>B24/'- 3 -'!$D24*100</f>
        <v>0.10816839774431519</v>
      </c>
      <c r="D24" s="20">
        <v>0</v>
      </c>
      <c r="E24" s="70">
        <f>D24/'- 3 -'!$D24*100</f>
        <v>0</v>
      </c>
      <c r="F24" s="20">
        <v>987782</v>
      </c>
      <c r="G24" s="70">
        <f>F24/'- 3 -'!$D24*100</f>
        <v>1.6901859697018975</v>
      </c>
    </row>
    <row r="25" spans="1:7" ht="14.1" customHeight="1" x14ac:dyDescent="0.2">
      <c r="A25" s="284" t="s">
        <v>123</v>
      </c>
      <c r="B25" s="285">
        <v>255474</v>
      </c>
      <c r="C25" s="291">
        <f>B25/'- 3 -'!$D25*100</f>
        <v>0.13163139783265987</v>
      </c>
      <c r="D25" s="285">
        <v>13200</v>
      </c>
      <c r="E25" s="291">
        <f>D25/'- 3 -'!$D25*100</f>
        <v>6.8012183290319583E-3</v>
      </c>
      <c r="F25" s="285">
        <v>3270180</v>
      </c>
      <c r="G25" s="291">
        <f>F25/'- 3 -'!$D25*100</f>
        <v>1.6849400117601308</v>
      </c>
    </row>
    <row r="26" spans="1:7" ht="14.1" customHeight="1" x14ac:dyDescent="0.2">
      <c r="A26" s="19" t="s">
        <v>124</v>
      </c>
      <c r="B26" s="20">
        <v>142625</v>
      </c>
      <c r="C26" s="70">
        <f>B26/'- 3 -'!$D26*100</f>
        <v>0.34863714957688713</v>
      </c>
      <c r="D26" s="20">
        <v>57199</v>
      </c>
      <c r="E26" s="70">
        <f>D26/'- 3 -'!$D26*100</f>
        <v>0.13981908023592193</v>
      </c>
      <c r="F26" s="20">
        <v>640772</v>
      </c>
      <c r="G26" s="70">
        <f>F26/'- 3 -'!$D26*100</f>
        <v>1.5663237413404461</v>
      </c>
    </row>
    <row r="27" spans="1:7" ht="14.1" customHeight="1" x14ac:dyDescent="0.2">
      <c r="A27" s="284" t="s">
        <v>125</v>
      </c>
      <c r="B27" s="285">
        <v>3256</v>
      </c>
      <c r="C27" s="291">
        <f>B27/'- 3 -'!$D27*100</f>
        <v>7.8193056446981477E-3</v>
      </c>
      <c r="D27" s="285">
        <v>0</v>
      </c>
      <c r="E27" s="291">
        <f>D27/'- 3 -'!$D27*100</f>
        <v>0</v>
      </c>
      <c r="F27" s="285">
        <v>677446</v>
      </c>
      <c r="G27" s="291">
        <f>F27/'- 3 -'!$D27*100</f>
        <v>1.6268910724134464</v>
      </c>
    </row>
    <row r="28" spans="1:7" ht="14.1" customHeight="1" x14ac:dyDescent="0.2">
      <c r="A28" s="19" t="s">
        <v>126</v>
      </c>
      <c r="B28" s="20">
        <v>82561</v>
      </c>
      <c r="C28" s="70">
        <f>B28/'- 3 -'!$D28*100</f>
        <v>0.29242266123500044</v>
      </c>
      <c r="D28" s="20">
        <v>0</v>
      </c>
      <c r="E28" s="70">
        <f>D28/'- 3 -'!$D28*100</f>
        <v>0</v>
      </c>
      <c r="F28" s="20">
        <v>404771</v>
      </c>
      <c r="G28" s="70">
        <f>F28/'- 3 -'!$D28*100</f>
        <v>1.4336576956523339</v>
      </c>
    </row>
    <row r="29" spans="1:7" ht="14.1" customHeight="1" x14ac:dyDescent="0.2">
      <c r="A29" s="284" t="s">
        <v>127</v>
      </c>
      <c r="B29" s="285">
        <v>194112</v>
      </c>
      <c r="C29" s="291">
        <f>B29/'- 3 -'!$D29*100</f>
        <v>0.11472402262593755</v>
      </c>
      <c r="D29" s="285">
        <v>0</v>
      </c>
      <c r="E29" s="291">
        <f>D29/'- 3 -'!$D29*100</f>
        <v>0</v>
      </c>
      <c r="F29" s="285">
        <v>2855755</v>
      </c>
      <c r="G29" s="291">
        <f>F29/'- 3 -'!$D29*100</f>
        <v>1.6878075607594289</v>
      </c>
    </row>
    <row r="30" spans="1:7" ht="14.1" customHeight="1" x14ac:dyDescent="0.2">
      <c r="A30" s="19" t="s">
        <v>128</v>
      </c>
      <c r="B30" s="20">
        <v>8748</v>
      </c>
      <c r="C30" s="70">
        <f>B30/'- 3 -'!$D30*100</f>
        <v>5.6231176729291878E-2</v>
      </c>
      <c r="D30" s="20">
        <v>1727</v>
      </c>
      <c r="E30" s="70">
        <f>D30/'- 3 -'!$D30*100</f>
        <v>1.110096504475161E-2</v>
      </c>
      <c r="F30" s="20">
        <v>260653</v>
      </c>
      <c r="G30" s="70">
        <f>F30/'- 3 -'!$D30*100</f>
        <v>1.6754486634682348</v>
      </c>
    </row>
    <row r="31" spans="1:7" ht="14.1" customHeight="1" x14ac:dyDescent="0.2">
      <c r="A31" s="284" t="s">
        <v>129</v>
      </c>
      <c r="B31" s="285">
        <v>10578</v>
      </c>
      <c r="C31" s="291">
        <f>B31/'- 3 -'!$D31*100</f>
        <v>2.647506773442599E-2</v>
      </c>
      <c r="D31" s="285">
        <v>0</v>
      </c>
      <c r="E31" s="291">
        <f>D31/'- 3 -'!$D31*100</f>
        <v>0</v>
      </c>
      <c r="F31" s="285">
        <v>658392</v>
      </c>
      <c r="G31" s="291">
        <f>F31/'- 3 -'!$D31*100</f>
        <v>1.6478514649086968</v>
      </c>
    </row>
    <row r="32" spans="1:7" ht="14.1" customHeight="1" x14ac:dyDescent="0.2">
      <c r="A32" s="19" t="s">
        <v>130</v>
      </c>
      <c r="B32" s="20">
        <v>64683</v>
      </c>
      <c r="C32" s="70">
        <f>B32/'- 3 -'!$D32*100</f>
        <v>0.21322497207485669</v>
      </c>
      <c r="D32" s="20">
        <v>17662</v>
      </c>
      <c r="E32" s="70">
        <f>D32/'- 3 -'!$D32*100</f>
        <v>5.8222090144027315E-2</v>
      </c>
      <c r="F32" s="20">
        <v>492250</v>
      </c>
      <c r="G32" s="70">
        <f>F32/'- 3 -'!$D32*100</f>
        <v>1.6226828147094012</v>
      </c>
    </row>
    <row r="33" spans="1:7" ht="14.1" customHeight="1" x14ac:dyDescent="0.2">
      <c r="A33" s="284" t="s">
        <v>131</v>
      </c>
      <c r="B33" s="285">
        <v>45594</v>
      </c>
      <c r="C33" s="291">
        <f>B33/'- 3 -'!$D33*100</f>
        <v>0.16242858124580092</v>
      </c>
      <c r="D33" s="285">
        <v>0</v>
      </c>
      <c r="E33" s="291">
        <f>D33/'- 3 -'!$D33*100</f>
        <v>0</v>
      </c>
      <c r="F33" s="285">
        <v>435422</v>
      </c>
      <c r="G33" s="291">
        <f>F33/'- 3 -'!$D33*100</f>
        <v>1.5511904571480706</v>
      </c>
    </row>
    <row r="34" spans="1:7" ht="14.1" customHeight="1" x14ac:dyDescent="0.2">
      <c r="A34" s="19" t="s">
        <v>132</v>
      </c>
      <c r="B34" s="20">
        <v>121071</v>
      </c>
      <c r="C34" s="70">
        <f>B34/'- 3 -'!$D34*100</f>
        <v>0.39771384917075686</v>
      </c>
      <c r="D34" s="20">
        <v>410</v>
      </c>
      <c r="E34" s="70">
        <f>D34/'- 3 -'!$D34*100</f>
        <v>1.346835147640726E-3</v>
      </c>
      <c r="F34" s="20">
        <v>481792</v>
      </c>
      <c r="G34" s="70">
        <f>F34/'- 3 -'!$D34*100</f>
        <v>1.5826692669563918</v>
      </c>
    </row>
    <row r="35" spans="1:7" ht="14.1" customHeight="1" x14ac:dyDescent="0.2">
      <c r="A35" s="284" t="s">
        <v>133</v>
      </c>
      <c r="B35" s="285">
        <v>42620</v>
      </c>
      <c r="C35" s="291">
        <f>B35/'- 3 -'!$D35*100</f>
        <v>2.2247214640375185E-2</v>
      </c>
      <c r="D35" s="285">
        <v>0</v>
      </c>
      <c r="E35" s="291">
        <f>D35/'- 3 -'!$D35*100</f>
        <v>0</v>
      </c>
      <c r="F35" s="285">
        <v>3229782</v>
      </c>
      <c r="G35" s="291">
        <f>F35/'- 3 -'!$D35*100</f>
        <v>1.6859139698643888</v>
      </c>
    </row>
    <row r="36" spans="1:7" ht="14.1" customHeight="1" x14ac:dyDescent="0.2">
      <c r="A36" s="19" t="s">
        <v>134</v>
      </c>
      <c r="B36" s="20">
        <v>48526</v>
      </c>
      <c r="C36" s="70">
        <f>B36/'- 3 -'!$D36*100</f>
        <v>0.20520148509954994</v>
      </c>
      <c r="D36" s="20">
        <v>0</v>
      </c>
      <c r="E36" s="70">
        <f>D36/'- 3 -'!$D36*100</f>
        <v>0</v>
      </c>
      <c r="F36" s="20">
        <v>371625</v>
      </c>
      <c r="G36" s="70">
        <f>F36/'- 3 -'!$D36*100</f>
        <v>1.5714874891835355</v>
      </c>
    </row>
    <row r="37" spans="1:7" ht="14.1" customHeight="1" x14ac:dyDescent="0.2">
      <c r="A37" s="284" t="s">
        <v>135</v>
      </c>
      <c r="B37" s="285">
        <v>78349</v>
      </c>
      <c r="C37" s="291">
        <f>B37/'- 3 -'!$D37*100</f>
        <v>0.1427658855405321</v>
      </c>
      <c r="D37" s="285">
        <v>0</v>
      </c>
      <c r="E37" s="291">
        <f>D37/'- 3 -'!$D37*100</f>
        <v>0</v>
      </c>
      <c r="F37" s="285">
        <v>888130</v>
      </c>
      <c r="G37" s="291">
        <f>F37/'- 3 -'!$D37*100</f>
        <v>1.6183316433536203</v>
      </c>
    </row>
    <row r="38" spans="1:7" ht="14.1" customHeight="1" x14ac:dyDescent="0.2">
      <c r="A38" s="19" t="s">
        <v>136</v>
      </c>
      <c r="B38" s="20">
        <v>134439</v>
      </c>
      <c r="C38" s="70">
        <f>B38/'- 3 -'!$D38*100</f>
        <v>9.1155563618554009E-2</v>
      </c>
      <c r="D38" s="20">
        <v>0</v>
      </c>
      <c r="E38" s="70">
        <f>D38/'- 3 -'!$D38*100</f>
        <v>0</v>
      </c>
      <c r="F38" s="20">
        <v>2386467</v>
      </c>
      <c r="G38" s="70">
        <f>F38/'- 3 -'!$D38*100</f>
        <v>1.618129742426526</v>
      </c>
    </row>
    <row r="39" spans="1:7" ht="14.1" customHeight="1" x14ac:dyDescent="0.2">
      <c r="A39" s="284" t="s">
        <v>137</v>
      </c>
      <c r="B39" s="285">
        <v>11987</v>
      </c>
      <c r="C39" s="291">
        <f>B39/'- 3 -'!$D39*100</f>
        <v>5.5103214061483358E-2</v>
      </c>
      <c r="D39" s="285">
        <v>0</v>
      </c>
      <c r="E39" s="291">
        <f>D39/'- 3 -'!$D39*100</f>
        <v>0</v>
      </c>
      <c r="F39" s="285">
        <v>354959</v>
      </c>
      <c r="G39" s="291">
        <f>F39/'- 3 -'!$D39*100</f>
        <v>1.6317161725244076</v>
      </c>
    </row>
    <row r="40" spans="1:7" ht="14.1" customHeight="1" x14ac:dyDescent="0.2">
      <c r="A40" s="19" t="s">
        <v>138</v>
      </c>
      <c r="B40" s="20">
        <v>73895</v>
      </c>
      <c r="C40" s="70">
        <f>B40/'- 3 -'!$D40*100</f>
        <v>6.9429616835801233E-2</v>
      </c>
      <c r="D40" s="20">
        <v>0</v>
      </c>
      <c r="E40" s="70">
        <f>D40/'- 3 -'!$D40*100</f>
        <v>0</v>
      </c>
      <c r="F40" s="20">
        <v>1878542</v>
      </c>
      <c r="G40" s="70">
        <f>F40/'- 3 -'!$D40*100</f>
        <v>1.7650240377557307</v>
      </c>
    </row>
    <row r="41" spans="1:7" ht="14.1" customHeight="1" x14ac:dyDescent="0.2">
      <c r="A41" s="284" t="s">
        <v>139</v>
      </c>
      <c r="B41" s="285">
        <v>251961</v>
      </c>
      <c r="C41" s="291">
        <f>B41/'- 3 -'!$D41*100</f>
        <v>0.39095942047866361</v>
      </c>
      <c r="D41" s="285">
        <v>54955</v>
      </c>
      <c r="E41" s="291">
        <f>D41/'- 3 -'!$D41*100</f>
        <v>8.5271827593972713E-2</v>
      </c>
      <c r="F41" s="285">
        <v>1035306</v>
      </c>
      <c r="G41" s="291">
        <f>F41/'- 3 -'!$D41*100</f>
        <v>1.6064495448822769</v>
      </c>
    </row>
    <row r="42" spans="1:7" ht="14.1" customHeight="1" x14ac:dyDescent="0.2">
      <c r="A42" s="19" t="s">
        <v>140</v>
      </c>
      <c r="B42" s="20">
        <v>3151</v>
      </c>
      <c r="C42" s="70">
        <f>B42/'- 3 -'!$D42*100</f>
        <v>1.5416401103542294E-2</v>
      </c>
      <c r="D42" s="20">
        <v>0</v>
      </c>
      <c r="E42" s="70">
        <f>D42/'- 3 -'!$D42*100</f>
        <v>0</v>
      </c>
      <c r="F42" s="20">
        <v>325274</v>
      </c>
      <c r="G42" s="70">
        <f>F42/'- 3 -'!$D42*100</f>
        <v>1.5914168367355177</v>
      </c>
    </row>
    <row r="43" spans="1:7" ht="14.1" customHeight="1" x14ac:dyDescent="0.2">
      <c r="A43" s="284" t="s">
        <v>141</v>
      </c>
      <c r="B43" s="285">
        <v>51123</v>
      </c>
      <c r="C43" s="291">
        <f>B43/'- 3 -'!$D43*100</f>
        <v>0.39169132918153654</v>
      </c>
      <c r="D43" s="285">
        <v>0</v>
      </c>
      <c r="E43" s="291">
        <f>D43/'- 3 -'!$D43*100</f>
        <v>0</v>
      </c>
      <c r="F43" s="285">
        <v>218123</v>
      </c>
      <c r="G43" s="291">
        <f>F43/'- 3 -'!$D43*100</f>
        <v>1.6712025467023508</v>
      </c>
    </row>
    <row r="44" spans="1:7" ht="14.1" customHeight="1" x14ac:dyDescent="0.2">
      <c r="A44" s="19" t="s">
        <v>142</v>
      </c>
      <c r="B44" s="20">
        <v>7714</v>
      </c>
      <c r="C44" s="70">
        <f>B44/'- 3 -'!$D44*100</f>
        <v>7.2532892030455542E-2</v>
      </c>
      <c r="D44" s="20">
        <v>0</v>
      </c>
      <c r="E44" s="70">
        <f>D44/'- 3 -'!$D44*100</f>
        <v>0</v>
      </c>
      <c r="F44" s="20">
        <v>161168</v>
      </c>
      <c r="G44" s="70">
        <f>F44/'- 3 -'!$D44*100</f>
        <v>1.515424052730679</v>
      </c>
    </row>
    <row r="45" spans="1:7" ht="14.1" customHeight="1" x14ac:dyDescent="0.2">
      <c r="A45" s="284" t="s">
        <v>143</v>
      </c>
      <c r="B45" s="285">
        <v>39881</v>
      </c>
      <c r="C45" s="291">
        <f>B45/'- 3 -'!$D45*100</f>
        <v>0.18850595336315162</v>
      </c>
      <c r="D45" s="285">
        <v>0</v>
      </c>
      <c r="E45" s="291">
        <f>D45/'- 3 -'!$D45*100</f>
        <v>0</v>
      </c>
      <c r="F45" s="285">
        <v>349660</v>
      </c>
      <c r="G45" s="291">
        <f>F45/'- 3 -'!$D45*100</f>
        <v>1.6527416978751688</v>
      </c>
    </row>
    <row r="46" spans="1:7" ht="14.1" customHeight="1" x14ac:dyDescent="0.2">
      <c r="A46" s="19" t="s">
        <v>144</v>
      </c>
      <c r="B46" s="20">
        <v>100792</v>
      </c>
      <c r="C46" s="70">
        <f>B46/'- 3 -'!$D46*100</f>
        <v>2.4381342424928665E-2</v>
      </c>
      <c r="D46" s="20">
        <v>0</v>
      </c>
      <c r="E46" s="70">
        <f>D46/'- 3 -'!$D46*100</f>
        <v>0</v>
      </c>
      <c r="F46" s="20">
        <v>7183096</v>
      </c>
      <c r="G46" s="70">
        <f>F46/'- 3 -'!$D46*100</f>
        <v>1.7375736491699281</v>
      </c>
    </row>
    <row r="47" spans="1:7" ht="5.0999999999999996" customHeight="1" x14ac:dyDescent="0.2">
      <c r="A47"/>
      <c r="B47" s="22"/>
      <c r="C47"/>
      <c r="D47" s="22"/>
      <c r="E47"/>
      <c r="F47" s="22"/>
      <c r="G47"/>
    </row>
    <row r="48" spans="1:7" ht="14.1" customHeight="1" x14ac:dyDescent="0.2">
      <c r="A48" s="286" t="s">
        <v>145</v>
      </c>
      <c r="B48" s="287">
        <f>SUM(B11:B46)</f>
        <v>2402158</v>
      </c>
      <c r="C48" s="294">
        <f>B48/'- 3 -'!$D48*100</f>
        <v>9.9602064055388129E-2</v>
      </c>
      <c r="D48" s="287">
        <f>SUM(D11:D46)</f>
        <v>137801</v>
      </c>
      <c r="E48" s="294">
        <f>D48/'- 3 -'!$F48*100</f>
        <v>5.7998638191756394E-3</v>
      </c>
      <c r="F48" s="287">
        <f>SUM(F11:F46)</f>
        <v>39265794</v>
      </c>
      <c r="G48" s="294">
        <f>F48/'- 3 -'!$D48*100</f>
        <v>1.6281002869809873</v>
      </c>
    </row>
    <row r="49" spans="1:7" ht="5.0999999999999996" customHeight="1" x14ac:dyDescent="0.2">
      <c r="A49" s="21" t="s">
        <v>7</v>
      </c>
      <c r="B49" s="22"/>
      <c r="C49"/>
      <c r="D49" s="22"/>
      <c r="E49"/>
      <c r="F49" s="22"/>
      <c r="G49"/>
    </row>
    <row r="50" spans="1:7" ht="14.1" customHeight="1" x14ac:dyDescent="0.2">
      <c r="A50" s="19" t="s">
        <v>146</v>
      </c>
      <c r="B50" s="20">
        <v>1826</v>
      </c>
      <c r="C50" s="70">
        <f>B50/'- 3 -'!$D50*100</f>
        <v>5.7497033833194371E-2</v>
      </c>
      <c r="D50" s="20">
        <v>0</v>
      </c>
      <c r="E50" s="70">
        <f>D50/'- 3 -'!$D50*100</f>
        <v>0</v>
      </c>
      <c r="F50" s="20">
        <v>42212</v>
      </c>
      <c r="G50" s="70">
        <f>F50/'- 3 -'!$D50*100</f>
        <v>1.3291702038153344</v>
      </c>
    </row>
    <row r="51" spans="1:7" ht="14.1" customHeight="1" x14ac:dyDescent="0.2">
      <c r="A51" s="284" t="s">
        <v>599</v>
      </c>
      <c r="B51" s="285">
        <v>205888</v>
      </c>
      <c r="C51" s="291">
        <f>B51/'- 3 -'!$D51*100</f>
        <v>0.68238524479785156</v>
      </c>
      <c r="D51" s="285">
        <v>20194</v>
      </c>
      <c r="E51" s="291">
        <f>D51/'- 3 -'!$D51*100</f>
        <v>6.6930018424812596E-2</v>
      </c>
      <c r="F51" s="285">
        <v>411077</v>
      </c>
      <c r="G51" s="291">
        <f>F51/'- 3 -'!$D51*100</f>
        <v>1.362453757750653</v>
      </c>
    </row>
    <row r="52" spans="1:7" ht="50.1" customHeight="1" x14ac:dyDescent="0.2"/>
  </sheetData>
  <mergeCells count="3">
    <mergeCell ref="B7:C8"/>
    <mergeCell ref="D7:E8"/>
    <mergeCell ref="F7:G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68"/>
  <sheetViews>
    <sheetView showGridLines="0" showZeros="0" workbookViewId="0"/>
  </sheetViews>
  <sheetFormatPr defaultColWidth="15.83203125" defaultRowHeight="12" x14ac:dyDescent="0.2"/>
  <cols>
    <col min="1" max="1" width="40.83203125" style="2" customWidth="1"/>
    <col min="2" max="2" width="27.83203125" style="2" customWidth="1"/>
    <col min="3" max="3" width="18.83203125" style="2" customWidth="1"/>
    <col min="4" max="4" width="27.83203125" style="2" customWidth="1"/>
    <col min="5" max="5" width="18.83203125" style="2" customWidth="1"/>
    <col min="6" max="16384" width="15.83203125" style="2"/>
  </cols>
  <sheetData>
    <row r="1" spans="1:7" ht="6.95" customHeight="1" x14ac:dyDescent="0.2">
      <c r="A1" s="7"/>
      <c r="B1" s="8"/>
      <c r="C1" s="8"/>
      <c r="D1" s="8"/>
      <c r="E1" s="8"/>
    </row>
    <row r="2" spans="1:7" ht="15.95" customHeight="1" x14ac:dyDescent="0.2">
      <c r="A2" s="27"/>
      <c r="B2" s="610" t="s">
        <v>264</v>
      </c>
      <c r="C2" s="611"/>
      <c r="D2" s="611"/>
      <c r="E2" s="28"/>
    </row>
    <row r="3" spans="1:7" ht="15.95" customHeight="1" x14ac:dyDescent="0.2">
      <c r="A3" s="542"/>
      <c r="B3" s="612"/>
      <c r="C3" s="612"/>
      <c r="D3" s="612"/>
      <c r="E3" s="30"/>
    </row>
    <row r="4" spans="1:7" ht="15.95" customHeight="1" x14ac:dyDescent="0.2">
      <c r="B4" s="8"/>
      <c r="C4" s="31"/>
      <c r="D4" s="32"/>
      <c r="E4" s="31"/>
    </row>
    <row r="5" spans="1:7" ht="15.95" customHeight="1" x14ac:dyDescent="0.2">
      <c r="B5" s="8"/>
      <c r="C5" s="8"/>
      <c r="D5" s="8"/>
      <c r="E5" s="8"/>
    </row>
    <row r="6" spans="1:7" ht="15.95" customHeight="1" x14ac:dyDescent="0.2">
      <c r="B6" s="8"/>
      <c r="C6" s="8"/>
      <c r="D6" s="8"/>
      <c r="E6" s="8"/>
    </row>
    <row r="7" spans="1:7" ht="15.95" customHeight="1" x14ac:dyDescent="0.2">
      <c r="B7" s="281" t="s">
        <v>624</v>
      </c>
      <c r="C7" s="282"/>
      <c r="D7" s="281" t="s">
        <v>635</v>
      </c>
      <c r="E7" s="283"/>
    </row>
    <row r="8" spans="1:7" ht="15.95" customHeight="1" x14ac:dyDescent="0.2">
      <c r="A8" s="33"/>
      <c r="B8" s="34"/>
      <c r="C8" s="277"/>
      <c r="D8" s="34"/>
      <c r="E8" s="277"/>
    </row>
    <row r="9" spans="1:7" ht="15.95" customHeight="1" x14ac:dyDescent="0.2">
      <c r="A9" s="35" t="s">
        <v>42</v>
      </c>
      <c r="B9" s="402" t="s">
        <v>252</v>
      </c>
      <c r="C9" s="278" t="s">
        <v>45</v>
      </c>
      <c r="D9" s="402" t="s">
        <v>252</v>
      </c>
      <c r="E9" s="278" t="s">
        <v>45</v>
      </c>
    </row>
    <row r="10" spans="1:7" ht="5.0999999999999996" customHeight="1" x14ac:dyDescent="0.2">
      <c r="A10" s="6"/>
    </row>
    <row r="11" spans="1:7" ht="14.1" customHeight="1" x14ac:dyDescent="0.2">
      <c r="A11" s="284" t="s">
        <v>110</v>
      </c>
      <c r="B11" s="285">
        <v>20074237</v>
      </c>
      <c r="C11" s="285">
        <v>11072</v>
      </c>
      <c r="D11" s="285">
        <f>'- 3 -'!F11</f>
        <v>20988133</v>
      </c>
      <c r="E11" s="285">
        <f>ROUND(D11/'- 7 -'!E11,0)</f>
        <v>10600</v>
      </c>
      <c r="F11" s="131"/>
      <c r="G11" s="131"/>
    </row>
    <row r="12" spans="1:7" ht="14.1" customHeight="1" x14ac:dyDescent="0.2">
      <c r="A12" s="19" t="s">
        <v>111</v>
      </c>
      <c r="B12" s="37">
        <v>33276992</v>
      </c>
      <c r="C12" s="37">
        <v>15647</v>
      </c>
      <c r="D12" s="20">
        <f>'- 3 -'!F12</f>
        <v>33019951</v>
      </c>
      <c r="E12" s="20">
        <f>ROUND(D12/'- 7 -'!E12,0)</f>
        <v>15179</v>
      </c>
      <c r="F12" s="131"/>
      <c r="G12" s="131"/>
    </row>
    <row r="13" spans="1:7" ht="14.1" customHeight="1" x14ac:dyDescent="0.2">
      <c r="A13" s="284" t="s">
        <v>112</v>
      </c>
      <c r="B13" s="285">
        <v>100598062</v>
      </c>
      <c r="C13" s="285">
        <v>11745</v>
      </c>
      <c r="D13" s="285">
        <f>'- 3 -'!F13</f>
        <v>104270000</v>
      </c>
      <c r="E13" s="285">
        <f>ROUND(D13/'- 7 -'!E13,0)</f>
        <v>12040</v>
      </c>
      <c r="F13" s="131"/>
      <c r="G13" s="131"/>
    </row>
    <row r="14" spans="1:7" ht="14.1" customHeight="1" x14ac:dyDescent="0.2">
      <c r="A14" s="19" t="s">
        <v>358</v>
      </c>
      <c r="B14" s="20">
        <v>89798537</v>
      </c>
      <c r="C14" s="20">
        <v>15686</v>
      </c>
      <c r="D14" s="20">
        <f>'- 3 -'!F14</f>
        <v>88231347</v>
      </c>
      <c r="E14" s="20">
        <f>ROUND(D14/'- 7 -'!E14,0)</f>
        <v>15942</v>
      </c>
      <c r="F14" s="131"/>
      <c r="G14" s="131"/>
    </row>
    <row r="15" spans="1:7" ht="14.1" customHeight="1" x14ac:dyDescent="0.2">
      <c r="A15" s="284" t="s">
        <v>113</v>
      </c>
      <c r="B15" s="285">
        <v>20187333</v>
      </c>
      <c r="C15" s="285">
        <v>14293</v>
      </c>
      <c r="D15" s="285">
        <f>'- 3 -'!F15</f>
        <v>19678330</v>
      </c>
      <c r="E15" s="285">
        <f>ROUND(D15/'- 7 -'!E15,0)</f>
        <v>13520</v>
      </c>
      <c r="F15" s="131"/>
      <c r="G15" s="131"/>
    </row>
    <row r="16" spans="1:7" ht="14.1" customHeight="1" x14ac:dyDescent="0.2">
      <c r="A16" s="19" t="s">
        <v>114</v>
      </c>
      <c r="B16" s="37">
        <v>14930612</v>
      </c>
      <c r="C16" s="37">
        <v>16518</v>
      </c>
      <c r="D16" s="20">
        <f>'- 3 -'!F16</f>
        <v>14265200</v>
      </c>
      <c r="E16" s="20">
        <f>ROUND(D16/'- 7 -'!E16,0)</f>
        <v>15674</v>
      </c>
      <c r="F16" s="131"/>
      <c r="G16" s="131"/>
    </row>
    <row r="17" spans="1:7" ht="14.1" customHeight="1" x14ac:dyDescent="0.2">
      <c r="A17" s="284" t="s">
        <v>115</v>
      </c>
      <c r="B17" s="285">
        <v>18109858</v>
      </c>
      <c r="C17" s="285">
        <v>12642</v>
      </c>
      <c r="D17" s="285">
        <f>'- 3 -'!F17</f>
        <v>17701844</v>
      </c>
      <c r="E17" s="285">
        <f>ROUND(D17/'- 7 -'!E17,0)</f>
        <v>12383</v>
      </c>
      <c r="F17" s="131"/>
      <c r="G17" s="131"/>
    </row>
    <row r="18" spans="1:7" ht="14.1" customHeight="1" x14ac:dyDescent="0.2">
      <c r="A18" s="19" t="s">
        <v>116</v>
      </c>
      <c r="B18" s="20">
        <v>130011545</v>
      </c>
      <c r="C18" s="20">
        <v>21679</v>
      </c>
      <c r="D18" s="20">
        <f>'- 3 -'!F18</f>
        <v>128419277</v>
      </c>
      <c r="E18" s="20">
        <f>ROUND(D18/'- 7 -'!E18,0)</f>
        <v>21560</v>
      </c>
      <c r="F18" s="131"/>
      <c r="G18" s="131"/>
    </row>
    <row r="19" spans="1:7" ht="14.1" customHeight="1" x14ac:dyDescent="0.2">
      <c r="A19" s="284" t="s">
        <v>117</v>
      </c>
      <c r="B19" s="285">
        <v>50025605</v>
      </c>
      <c r="C19" s="285">
        <v>11332</v>
      </c>
      <c r="D19" s="285">
        <f>'- 3 -'!F19</f>
        <v>49653195</v>
      </c>
      <c r="E19" s="285">
        <f>ROUND(D19/'- 7 -'!E19,0)</f>
        <v>11274</v>
      </c>
      <c r="F19" s="131"/>
      <c r="G19" s="131"/>
    </row>
    <row r="20" spans="1:7" ht="14.1" customHeight="1" x14ac:dyDescent="0.2">
      <c r="A20" s="19" t="s">
        <v>118</v>
      </c>
      <c r="B20" s="37">
        <v>87227882</v>
      </c>
      <c r="C20" s="37">
        <v>11067</v>
      </c>
      <c r="D20" s="20">
        <f>'- 3 -'!F20</f>
        <v>88385628</v>
      </c>
      <c r="E20" s="20">
        <f>ROUND(D20/'- 7 -'!E20,0)</f>
        <v>11020</v>
      </c>
      <c r="F20" s="131"/>
      <c r="G20" s="131"/>
    </row>
    <row r="21" spans="1:7" ht="14.1" customHeight="1" x14ac:dyDescent="0.2">
      <c r="A21" s="284" t="s">
        <v>119</v>
      </c>
      <c r="B21" s="285">
        <v>36964983</v>
      </c>
      <c r="C21" s="285">
        <v>13008</v>
      </c>
      <c r="D21" s="285">
        <f>'- 3 -'!F21</f>
        <v>37394324</v>
      </c>
      <c r="E21" s="285">
        <f>ROUND(D21/'- 7 -'!E21,0)</f>
        <v>13246</v>
      </c>
      <c r="F21" s="131"/>
      <c r="G21" s="131"/>
    </row>
    <row r="22" spans="1:7" ht="14.1" customHeight="1" x14ac:dyDescent="0.2">
      <c r="A22" s="19" t="s">
        <v>120</v>
      </c>
      <c r="B22" s="20">
        <v>20289628</v>
      </c>
      <c r="C22" s="20">
        <v>13816</v>
      </c>
      <c r="D22" s="20">
        <f>'- 3 -'!F22</f>
        <v>19913733</v>
      </c>
      <c r="E22" s="20">
        <f>ROUND(D22/'- 7 -'!E22,0)</f>
        <v>12973</v>
      </c>
      <c r="F22" s="131"/>
      <c r="G22" s="131"/>
    </row>
    <row r="23" spans="1:7" ht="14.1" customHeight="1" x14ac:dyDescent="0.2">
      <c r="A23" s="284" t="s">
        <v>121</v>
      </c>
      <c r="B23" s="285">
        <v>15404376</v>
      </c>
      <c r="C23" s="285">
        <v>16021</v>
      </c>
      <c r="D23" s="285">
        <f>'- 3 -'!F23</f>
        <v>14980433</v>
      </c>
      <c r="E23" s="285">
        <f>ROUND(D23/'- 7 -'!E23,0)</f>
        <v>15957</v>
      </c>
      <c r="F23" s="131"/>
      <c r="G23" s="131"/>
    </row>
    <row r="24" spans="1:7" ht="14.1" customHeight="1" x14ac:dyDescent="0.2">
      <c r="A24" s="19" t="s">
        <v>122</v>
      </c>
      <c r="B24" s="37">
        <v>57057495</v>
      </c>
      <c r="C24" s="37">
        <v>14899</v>
      </c>
      <c r="D24" s="20">
        <f>'- 3 -'!F24</f>
        <v>57699956</v>
      </c>
      <c r="E24" s="20">
        <f>ROUND(D24/'- 7 -'!E24,0)</f>
        <v>15409</v>
      </c>
      <c r="F24" s="131"/>
      <c r="G24" s="131"/>
    </row>
    <row r="25" spans="1:7" ht="14.1" customHeight="1" x14ac:dyDescent="0.2">
      <c r="A25" s="284" t="s">
        <v>123</v>
      </c>
      <c r="B25" s="285">
        <v>190664418</v>
      </c>
      <c r="C25" s="285">
        <v>12812</v>
      </c>
      <c r="D25" s="285">
        <f>'- 3 -'!F25</f>
        <v>190853558</v>
      </c>
      <c r="E25" s="285">
        <f>ROUND(D25/'- 7 -'!E25,0)</f>
        <v>12714</v>
      </c>
      <c r="F25" s="131"/>
      <c r="G25" s="131"/>
    </row>
    <row r="26" spans="1:7" ht="14.1" customHeight="1" x14ac:dyDescent="0.2">
      <c r="A26" s="19" t="s">
        <v>124</v>
      </c>
      <c r="B26" s="20">
        <v>40841261</v>
      </c>
      <c r="C26" s="20">
        <v>13609</v>
      </c>
      <c r="D26" s="20">
        <f>'- 3 -'!F26</f>
        <v>40820371</v>
      </c>
      <c r="E26" s="20">
        <f>ROUND(D26/'- 7 -'!E26,0)</f>
        <v>13329</v>
      </c>
      <c r="F26" s="131"/>
      <c r="G26" s="131"/>
    </row>
    <row r="27" spans="1:7" ht="14.1" customHeight="1" x14ac:dyDescent="0.2">
      <c r="A27" s="284" t="s">
        <v>125</v>
      </c>
      <c r="B27" s="285">
        <v>41228966</v>
      </c>
      <c r="C27" s="285">
        <v>13875</v>
      </c>
      <c r="D27" s="285">
        <f>'- 3 -'!F27</f>
        <v>41638526</v>
      </c>
      <c r="E27" s="285">
        <f>ROUND(D27/'- 7 -'!E27,0)</f>
        <v>13775</v>
      </c>
      <c r="F27" s="131"/>
      <c r="G27" s="131"/>
    </row>
    <row r="28" spans="1:7" ht="14.1" customHeight="1" x14ac:dyDescent="0.2">
      <c r="A28" s="19" t="s">
        <v>126</v>
      </c>
      <c r="B28" s="37">
        <v>28840141</v>
      </c>
      <c r="C28" s="37">
        <v>14640</v>
      </c>
      <c r="D28" s="20">
        <f>'- 3 -'!F28</f>
        <v>28021347</v>
      </c>
      <c r="E28" s="20">
        <f>ROUND(D28/'- 7 -'!E28,0)</f>
        <v>14095</v>
      </c>
      <c r="F28" s="131"/>
      <c r="G28" s="131"/>
    </row>
    <row r="29" spans="1:7" ht="14.1" customHeight="1" x14ac:dyDescent="0.2">
      <c r="A29" s="284" t="s">
        <v>127</v>
      </c>
      <c r="B29" s="285">
        <v>165607071</v>
      </c>
      <c r="C29" s="285">
        <v>11938</v>
      </c>
      <c r="D29" s="285">
        <f>'- 3 -'!F29</f>
        <v>168353236</v>
      </c>
      <c r="E29" s="285">
        <f>ROUND(D29/'- 7 -'!E29,0)</f>
        <v>11760</v>
      </c>
      <c r="F29" s="131"/>
      <c r="G29" s="131"/>
    </row>
    <row r="30" spans="1:7" ht="14.1" customHeight="1" x14ac:dyDescent="0.2">
      <c r="A30" s="19" t="s">
        <v>128</v>
      </c>
      <c r="B30" s="20">
        <v>15397989</v>
      </c>
      <c r="C30" s="20">
        <v>15044</v>
      </c>
      <c r="D30" s="20">
        <f>'- 3 -'!F30</f>
        <v>15542381</v>
      </c>
      <c r="E30" s="20">
        <f>ROUND(D30/'- 7 -'!E30,0)</f>
        <v>15156</v>
      </c>
      <c r="F30" s="131"/>
      <c r="G30" s="131"/>
    </row>
    <row r="31" spans="1:7" ht="14.1" customHeight="1" x14ac:dyDescent="0.2">
      <c r="A31" s="284" t="s">
        <v>129</v>
      </c>
      <c r="B31" s="285">
        <v>38687523</v>
      </c>
      <c r="C31" s="285">
        <v>11574</v>
      </c>
      <c r="D31" s="285">
        <f>'- 3 -'!F31</f>
        <v>39895568</v>
      </c>
      <c r="E31" s="285">
        <f>ROUND(D31/'- 7 -'!E31,0)</f>
        <v>11966</v>
      </c>
      <c r="F31" s="131"/>
      <c r="G31" s="131"/>
    </row>
    <row r="32" spans="1:7" ht="14.1" customHeight="1" x14ac:dyDescent="0.2">
      <c r="A32" s="19" t="s">
        <v>130</v>
      </c>
      <c r="B32" s="37">
        <v>29767356</v>
      </c>
      <c r="C32" s="37">
        <v>13370</v>
      </c>
      <c r="D32" s="20">
        <f>'- 3 -'!F32</f>
        <v>30017234</v>
      </c>
      <c r="E32" s="20">
        <f>ROUND(D32/'- 7 -'!E32,0)</f>
        <v>13189</v>
      </c>
      <c r="F32" s="131"/>
      <c r="G32" s="131"/>
    </row>
    <row r="33" spans="1:7" ht="14.1" customHeight="1" x14ac:dyDescent="0.2">
      <c r="A33" s="284" t="s">
        <v>131</v>
      </c>
      <c r="B33" s="285">
        <v>27996278</v>
      </c>
      <c r="C33" s="285">
        <v>13669</v>
      </c>
      <c r="D33" s="285">
        <f>'- 3 -'!F33</f>
        <v>28042101</v>
      </c>
      <c r="E33" s="285">
        <f>ROUND(D33/'- 7 -'!E33,0)</f>
        <v>13658</v>
      </c>
      <c r="F33" s="131"/>
      <c r="G33" s="131"/>
    </row>
    <row r="34" spans="1:7" ht="14.1" customHeight="1" x14ac:dyDescent="0.2">
      <c r="A34" s="19" t="s">
        <v>132</v>
      </c>
      <c r="B34" s="20">
        <v>30705832</v>
      </c>
      <c r="C34" s="20">
        <v>14072</v>
      </c>
      <c r="D34" s="20">
        <f>'- 3 -'!F34</f>
        <v>30396251</v>
      </c>
      <c r="E34" s="20">
        <f>ROUND(D34/'- 7 -'!E34,0)</f>
        <v>13669</v>
      </c>
      <c r="F34" s="131"/>
      <c r="G34" s="131"/>
    </row>
    <row r="35" spans="1:7" ht="14.1" customHeight="1" x14ac:dyDescent="0.2">
      <c r="A35" s="284" t="s">
        <v>133</v>
      </c>
      <c r="B35" s="285">
        <v>189866071</v>
      </c>
      <c r="C35" s="285">
        <v>11819</v>
      </c>
      <c r="D35" s="285">
        <f>'- 3 -'!F35</f>
        <v>188823385</v>
      </c>
      <c r="E35" s="285">
        <f>ROUND(D35/'- 7 -'!E35,0)</f>
        <v>11645</v>
      </c>
      <c r="F35" s="131"/>
      <c r="G35" s="131"/>
    </row>
    <row r="36" spans="1:7" ht="14.1" customHeight="1" x14ac:dyDescent="0.2">
      <c r="A36" s="19" t="s">
        <v>134</v>
      </c>
      <c r="B36" s="37">
        <v>23867303</v>
      </c>
      <c r="C36" s="37">
        <v>14215</v>
      </c>
      <c r="D36" s="20">
        <f>'- 3 -'!F36</f>
        <v>23505047</v>
      </c>
      <c r="E36" s="20">
        <f>ROUND(D36/'- 7 -'!E36,0)</f>
        <v>13694</v>
      </c>
      <c r="F36" s="131"/>
      <c r="G36" s="131"/>
    </row>
    <row r="37" spans="1:7" ht="14.1" customHeight="1" x14ac:dyDescent="0.2">
      <c r="A37" s="284" t="s">
        <v>135</v>
      </c>
      <c r="B37" s="285">
        <v>52872314</v>
      </c>
      <c r="C37" s="285">
        <v>12191</v>
      </c>
      <c r="D37" s="285">
        <f>'- 3 -'!F37</f>
        <v>54060513</v>
      </c>
      <c r="E37" s="285">
        <f>ROUND(D37/'- 7 -'!E37,0)</f>
        <v>12639</v>
      </c>
      <c r="F37" s="131"/>
      <c r="G37" s="131"/>
    </row>
    <row r="38" spans="1:7" ht="14.1" customHeight="1" x14ac:dyDescent="0.2">
      <c r="A38" s="19" t="s">
        <v>136</v>
      </c>
      <c r="B38" s="20">
        <v>139851592</v>
      </c>
      <c r="C38" s="20">
        <v>12369</v>
      </c>
      <c r="D38" s="20">
        <f>'- 3 -'!F38</f>
        <v>143276060</v>
      </c>
      <c r="E38" s="20">
        <f>ROUND(D38/'- 7 -'!E38,0)</f>
        <v>12500</v>
      </c>
      <c r="F38" s="131"/>
      <c r="G38" s="131"/>
    </row>
    <row r="39" spans="1:7" ht="14.1" customHeight="1" x14ac:dyDescent="0.2">
      <c r="A39" s="284" t="s">
        <v>137</v>
      </c>
      <c r="B39" s="285">
        <v>22160052</v>
      </c>
      <c r="C39" s="285">
        <v>14744</v>
      </c>
      <c r="D39" s="285">
        <f>'- 3 -'!F39</f>
        <v>21582136</v>
      </c>
      <c r="E39" s="285">
        <f>ROUND(D39/'- 7 -'!E39,0)</f>
        <v>14417</v>
      </c>
      <c r="F39" s="131"/>
      <c r="G39" s="131"/>
    </row>
    <row r="40" spans="1:7" ht="14.1" customHeight="1" x14ac:dyDescent="0.2">
      <c r="A40" s="19" t="s">
        <v>138</v>
      </c>
      <c r="B40" s="37">
        <v>105689430</v>
      </c>
      <c r="C40" s="37">
        <v>12888</v>
      </c>
      <c r="D40" s="20">
        <f>'- 3 -'!F40</f>
        <v>105520759</v>
      </c>
      <c r="E40" s="20">
        <f>ROUND(D40/'- 7 -'!E40,0)</f>
        <v>12931</v>
      </c>
      <c r="F40" s="131"/>
      <c r="G40" s="131"/>
    </row>
    <row r="41" spans="1:7" ht="14.1" customHeight="1" x14ac:dyDescent="0.2">
      <c r="A41" s="284" t="s">
        <v>139</v>
      </c>
      <c r="B41" s="285">
        <v>64248054</v>
      </c>
      <c r="C41" s="285">
        <v>14430</v>
      </c>
      <c r="D41" s="285">
        <f>'- 3 -'!F41</f>
        <v>63243636</v>
      </c>
      <c r="E41" s="285">
        <f>ROUND(D41/'- 7 -'!E41,0)</f>
        <v>14060</v>
      </c>
      <c r="F41" s="131"/>
      <c r="G41" s="131"/>
    </row>
    <row r="42" spans="1:7" ht="14.1" customHeight="1" x14ac:dyDescent="0.2">
      <c r="A42" s="19" t="s">
        <v>140</v>
      </c>
      <c r="B42" s="20">
        <v>20814837</v>
      </c>
      <c r="C42" s="20">
        <v>15056</v>
      </c>
      <c r="D42" s="20">
        <f>'- 3 -'!F42</f>
        <v>20408430</v>
      </c>
      <c r="E42" s="20">
        <f>ROUND(D42/'- 7 -'!E42,0)</f>
        <v>14896</v>
      </c>
      <c r="F42" s="131"/>
      <c r="G42" s="131"/>
    </row>
    <row r="43" spans="1:7" ht="14.1" customHeight="1" x14ac:dyDescent="0.2">
      <c r="A43" s="284" t="s">
        <v>141</v>
      </c>
      <c r="B43" s="285">
        <v>13549039</v>
      </c>
      <c r="C43" s="285">
        <v>13665</v>
      </c>
      <c r="D43" s="285">
        <f>'- 3 -'!F43</f>
        <v>12838918</v>
      </c>
      <c r="E43" s="285">
        <f>ROUND(D43/'- 7 -'!E43,0)</f>
        <v>12807</v>
      </c>
      <c r="F43" s="131"/>
      <c r="G43" s="131"/>
    </row>
    <row r="44" spans="1:7" ht="14.1" customHeight="1" x14ac:dyDescent="0.2">
      <c r="A44" s="19" t="s">
        <v>142</v>
      </c>
      <c r="B44" s="37">
        <v>11120591</v>
      </c>
      <c r="C44" s="37">
        <v>15663</v>
      </c>
      <c r="D44" s="20">
        <f>'- 3 -'!F44</f>
        <v>10621577</v>
      </c>
      <c r="E44" s="20">
        <f>ROUND(D44/'- 7 -'!E44,0)</f>
        <v>15349</v>
      </c>
      <c r="F44" s="131"/>
      <c r="G44" s="131"/>
    </row>
    <row r="45" spans="1:7" ht="14.1" customHeight="1" x14ac:dyDescent="0.2">
      <c r="A45" s="284" t="s">
        <v>143</v>
      </c>
      <c r="B45" s="285">
        <v>20071531</v>
      </c>
      <c r="C45" s="285">
        <v>11043</v>
      </c>
      <c r="D45" s="285">
        <f>'- 3 -'!F45</f>
        <v>20708277</v>
      </c>
      <c r="E45" s="285">
        <f>ROUND(D45/'- 7 -'!E45,0)</f>
        <v>10814</v>
      </c>
      <c r="F45" s="131"/>
      <c r="G45" s="131"/>
    </row>
    <row r="46" spans="1:7" ht="14.1" customHeight="1" x14ac:dyDescent="0.2">
      <c r="A46" s="19" t="s">
        <v>144</v>
      </c>
      <c r="B46" s="20">
        <v>391118703</v>
      </c>
      <c r="C46" s="20">
        <v>13130</v>
      </c>
      <c r="D46" s="20">
        <f>'- 3 -'!F46</f>
        <v>403164434</v>
      </c>
      <c r="E46" s="20">
        <f>ROUND(D46/'- 7 -'!E46,0)</f>
        <v>13648</v>
      </c>
      <c r="F46" s="131"/>
      <c r="G46" s="131"/>
    </row>
    <row r="47" spans="1:7" ht="5.0999999999999996" customHeight="1" x14ac:dyDescent="0.2">
      <c r="A47"/>
      <c r="B47"/>
      <c r="C47"/>
      <c r="D47"/>
      <c r="E47"/>
      <c r="F47"/>
      <c r="G47" s="586"/>
    </row>
    <row r="48" spans="1:7" ht="14.1" customHeight="1" x14ac:dyDescent="0.2">
      <c r="A48" s="286" t="s">
        <v>145</v>
      </c>
      <c r="B48" s="287">
        <v>2358923497</v>
      </c>
      <c r="C48" s="287">
        <v>13169</v>
      </c>
      <c r="D48" s="287">
        <f>SUM(D11:D46)</f>
        <v>2375935096</v>
      </c>
      <c r="E48" s="287">
        <f>ROUND(D48/'- 7 -'!E48,0)</f>
        <v>13183</v>
      </c>
      <c r="F48" s="131"/>
      <c r="G48" s="131"/>
    </row>
    <row r="49" spans="1:7" ht="5.0999999999999996" customHeight="1" x14ac:dyDescent="0.2">
      <c r="A49" s="21" t="s">
        <v>7</v>
      </c>
      <c r="B49" s="22"/>
      <c r="C49" s="22"/>
      <c r="D49" s="22"/>
      <c r="E49" s="22"/>
    </row>
    <row r="50" spans="1:7" ht="14.1" customHeight="1" x14ac:dyDescent="0.2">
      <c r="A50" s="19" t="s">
        <v>146</v>
      </c>
      <c r="B50" s="37">
        <v>3300988</v>
      </c>
      <c r="C50" s="37">
        <v>18288</v>
      </c>
      <c r="D50" s="20">
        <f>'- 3 -'!F50</f>
        <v>3086494</v>
      </c>
      <c r="E50" s="20">
        <f>ROUND(D50/'- 7 -'!E50,0)</f>
        <v>16245</v>
      </c>
      <c r="F50" s="131"/>
      <c r="G50" s="131"/>
    </row>
    <row r="51" spans="1:7" ht="14.1" customHeight="1" x14ac:dyDescent="0.2">
      <c r="A51" s="284" t="s">
        <v>599</v>
      </c>
      <c r="B51" s="285">
        <v>19218114</v>
      </c>
      <c r="C51" s="285">
        <v>16028</v>
      </c>
      <c r="D51" s="285">
        <f>'- 3 -'!F51</f>
        <v>18997886</v>
      </c>
      <c r="E51" s="285">
        <f>ROUND(D51/'- 7 -'!E51,0)</f>
        <v>15395</v>
      </c>
      <c r="F51" s="131"/>
      <c r="G51" s="131"/>
    </row>
    <row r="52" spans="1:7" ht="50.1" customHeight="1" x14ac:dyDescent="0.2">
      <c r="A52" s="23"/>
      <c r="B52" s="23"/>
      <c r="C52" s="23"/>
      <c r="D52" s="23"/>
      <c r="E52" s="23"/>
    </row>
    <row r="53" spans="1:7" ht="15" customHeight="1" x14ac:dyDescent="0.2">
      <c r="A53" s="613" t="s">
        <v>449</v>
      </c>
      <c r="B53" s="613"/>
      <c r="C53" s="613"/>
      <c r="D53" s="613"/>
      <c r="E53" s="613"/>
    </row>
    <row r="54" spans="1:7" ht="12" customHeight="1" x14ac:dyDescent="0.2">
      <c r="A54" s="614"/>
      <c r="B54" s="614"/>
      <c r="C54" s="614"/>
      <c r="D54" s="614"/>
      <c r="E54" s="614"/>
    </row>
    <row r="55" spans="1:7" ht="12" customHeight="1" x14ac:dyDescent="0.2">
      <c r="A55" s="614"/>
      <c r="B55" s="614"/>
      <c r="C55" s="614"/>
      <c r="D55" s="614"/>
      <c r="E55" s="614"/>
    </row>
    <row r="56" spans="1:7" x14ac:dyDescent="0.2">
      <c r="A56" s="24"/>
    </row>
    <row r="60" spans="1:7" s="3" customFormat="1" ht="11.25" x14ac:dyDescent="0.2"/>
    <row r="61" spans="1:7" s="3" customFormat="1" ht="11.25" x14ac:dyDescent="0.2"/>
    <row r="62" spans="1:7" s="3" customFormat="1" ht="11.25" x14ac:dyDescent="0.2"/>
    <row r="63" spans="1:7" s="3" customFormat="1" ht="11.25" x14ac:dyDescent="0.2"/>
    <row r="64" spans="1:7" s="3" customFormat="1" ht="11.25" x14ac:dyDescent="0.2"/>
    <row r="65" s="3" customFormat="1" ht="11.25" x14ac:dyDescent="0.2"/>
    <row r="66" s="3" customFormat="1" ht="11.25" x14ac:dyDescent="0.2"/>
    <row r="67" s="3" customFormat="1" ht="11.25" x14ac:dyDescent="0.2"/>
    <row r="68" s="3" customFormat="1" ht="11.25" x14ac:dyDescent="0.2"/>
  </sheetData>
  <mergeCells count="2">
    <mergeCell ref="B2:D3"/>
    <mergeCell ref="A53:E55"/>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H52"/>
  <sheetViews>
    <sheetView showGridLines="0" showZeros="0" workbookViewId="0"/>
  </sheetViews>
  <sheetFormatPr defaultColWidth="15.83203125" defaultRowHeight="12" x14ac:dyDescent="0.2"/>
  <cols>
    <col min="1" max="1" width="32.83203125" style="2" customWidth="1"/>
    <col min="2" max="2" width="16.83203125" style="2" customWidth="1"/>
    <col min="3" max="3" width="17.83203125" style="2" customWidth="1"/>
    <col min="4" max="4" width="10.83203125" style="2" customWidth="1"/>
    <col min="5" max="5" width="15.83203125" style="2" customWidth="1"/>
    <col min="6" max="6" width="11.83203125" style="2" customWidth="1"/>
    <col min="7" max="7" width="14.83203125" style="2" customWidth="1"/>
    <col min="8" max="8" width="11.83203125" style="2" customWidth="1"/>
    <col min="9" max="16384" width="15.83203125" style="2"/>
  </cols>
  <sheetData>
    <row r="1" spans="1:8" ht="6.95" customHeight="1" x14ac:dyDescent="0.2">
      <c r="A1" s="7"/>
      <c r="B1" s="8"/>
      <c r="C1" s="8"/>
      <c r="D1" s="8"/>
      <c r="E1" s="8"/>
      <c r="F1" s="8"/>
      <c r="G1" s="8"/>
      <c r="H1" s="8"/>
    </row>
    <row r="2" spans="1:8" ht="15.95" customHeight="1" x14ac:dyDescent="0.2">
      <c r="A2" s="134"/>
      <c r="B2" s="9" t="s">
        <v>267</v>
      </c>
      <c r="C2" s="10"/>
      <c r="D2" s="10"/>
      <c r="E2" s="10"/>
      <c r="F2" s="73"/>
      <c r="G2" s="73"/>
      <c r="H2" s="73"/>
    </row>
    <row r="3" spans="1:8" ht="15.95" customHeight="1" x14ac:dyDescent="0.2">
      <c r="A3" s="541"/>
      <c r="B3" s="11" t="str">
        <f>OPYEAR</f>
        <v>OPERATING FUND 2019/2020 ACTUAL</v>
      </c>
      <c r="C3" s="12"/>
      <c r="D3" s="12"/>
      <c r="E3" s="12"/>
      <c r="F3" s="75"/>
      <c r="G3" s="75"/>
      <c r="H3" s="75"/>
    </row>
    <row r="4" spans="1:8" ht="15.95" customHeight="1" x14ac:dyDescent="0.2">
      <c r="B4" s="8"/>
      <c r="C4" s="8"/>
      <c r="D4" s="8"/>
      <c r="E4" s="8"/>
      <c r="F4" s="8"/>
      <c r="G4" s="8"/>
      <c r="H4" s="8"/>
    </row>
    <row r="5" spans="1:8" ht="15.95" customHeight="1" x14ac:dyDescent="0.2">
      <c r="B5" s="8"/>
      <c r="C5" s="8"/>
      <c r="D5" s="8"/>
      <c r="E5" s="8"/>
      <c r="F5" s="8"/>
      <c r="G5" s="8"/>
      <c r="H5" s="8"/>
    </row>
    <row r="6" spans="1:8" ht="15.95" customHeight="1" x14ac:dyDescent="0.2">
      <c r="B6" s="309" t="s">
        <v>18</v>
      </c>
      <c r="C6" s="312"/>
      <c r="D6" s="316"/>
      <c r="E6" s="316"/>
      <c r="F6" s="316"/>
      <c r="G6" s="316"/>
      <c r="H6" s="306"/>
    </row>
    <row r="7" spans="1:8" ht="15.95" customHeight="1" x14ac:dyDescent="0.2">
      <c r="B7" s="297" t="s">
        <v>32</v>
      </c>
      <c r="C7" s="298"/>
      <c r="D7" s="308"/>
      <c r="E7" s="308"/>
      <c r="F7" s="308"/>
      <c r="G7" s="308"/>
      <c r="H7" s="317"/>
    </row>
    <row r="8" spans="1:8" ht="15.95" customHeight="1" x14ac:dyDescent="0.2">
      <c r="A8" s="67"/>
      <c r="B8" s="31"/>
      <c r="C8" s="623" t="s">
        <v>499</v>
      </c>
      <c r="D8" s="602" t="s">
        <v>471</v>
      </c>
      <c r="E8" s="705" t="s">
        <v>500</v>
      </c>
      <c r="F8" s="703" t="s">
        <v>501</v>
      </c>
      <c r="G8" s="703" t="s">
        <v>502</v>
      </c>
      <c r="H8" s="703" t="s">
        <v>503</v>
      </c>
    </row>
    <row r="9" spans="1:8" ht="15.95" customHeight="1" x14ac:dyDescent="0.2">
      <c r="A9" s="35" t="s">
        <v>42</v>
      </c>
      <c r="B9" s="77" t="s">
        <v>43</v>
      </c>
      <c r="C9" s="604"/>
      <c r="D9" s="604"/>
      <c r="E9" s="704"/>
      <c r="F9" s="704"/>
      <c r="G9" s="704"/>
      <c r="H9" s="704"/>
    </row>
    <row r="10" spans="1:8" ht="5.0999999999999996" customHeight="1" x14ac:dyDescent="0.2">
      <c r="A10" s="6"/>
    </row>
    <row r="11" spans="1:8" ht="14.1" customHeight="1" x14ac:dyDescent="0.2">
      <c r="A11" s="284" t="s">
        <v>110</v>
      </c>
      <c r="B11" s="285">
        <f>'- 29 -'!$D11</f>
        <v>898723</v>
      </c>
      <c r="C11" s="285">
        <v>762</v>
      </c>
      <c r="D11" s="285">
        <f ca="1">IF(AND(CELL("type",C11)="v",C11&gt;0),B11/C11,"")</f>
        <v>1179.4265091863517</v>
      </c>
      <c r="E11" s="285">
        <v>614172</v>
      </c>
      <c r="F11" s="361">
        <f ca="1">IF(AND(CELL("type",E11)="v",E11&gt;0),B11/E11,"")</f>
        <v>1.4633083240525455</v>
      </c>
      <c r="G11" s="285">
        <v>379250</v>
      </c>
      <c r="H11" s="361">
        <f ca="1">IF(AND(CELL("type",G11)="v",G11&gt;0),B11/G11,"")</f>
        <v>2.3697376400791037</v>
      </c>
    </row>
    <row r="12" spans="1:8" ht="14.1" customHeight="1" x14ac:dyDescent="0.2">
      <c r="A12" s="19" t="s">
        <v>111</v>
      </c>
      <c r="B12" s="20">
        <f>'- 29 -'!$D12</f>
        <v>1993267</v>
      </c>
      <c r="C12" s="20">
        <v>1481</v>
      </c>
      <c r="D12" s="20">
        <f t="shared" ref="D12:D46" ca="1" si="0">IF(AND(CELL("type",C12)="v",C12&gt;0),B12/C12,"")</f>
        <v>1345.892640108035</v>
      </c>
      <c r="E12" s="20">
        <v>743400</v>
      </c>
      <c r="F12" s="362">
        <f t="shared" ref="F12:F46" ca="1" si="1">IF(AND(CELL("type",E12)="v",E12&gt;0),B12/E12,"")</f>
        <v>2.6812846381490449</v>
      </c>
      <c r="G12" s="20">
        <v>464920</v>
      </c>
      <c r="H12" s="362">
        <f t="shared" ref="H12:H46" ca="1" si="2">IF(AND(CELL("type",G12)="v",G12&gt;0),B12/G12,"")</f>
        <v>4.2873333046545641</v>
      </c>
    </row>
    <row r="13" spans="1:8" ht="14.1" customHeight="1" x14ac:dyDescent="0.2">
      <c r="A13" s="284" t="s">
        <v>112</v>
      </c>
      <c r="B13" s="285">
        <f>'- 29 -'!$D13</f>
        <v>1721093</v>
      </c>
      <c r="C13" s="285">
        <v>3619</v>
      </c>
      <c r="D13" s="285">
        <f t="shared" ca="1" si="0"/>
        <v>475.57142857142856</v>
      </c>
      <c r="E13" s="285">
        <v>575029</v>
      </c>
      <c r="F13" s="361">
        <f t="shared" ca="1" si="1"/>
        <v>2.9930542633501962</v>
      </c>
      <c r="G13" s="285">
        <v>351016</v>
      </c>
      <c r="H13" s="361">
        <f t="shared" ca="1" si="2"/>
        <v>4.9031753538300249</v>
      </c>
    </row>
    <row r="14" spans="1:8" ht="14.1" customHeight="1" x14ac:dyDescent="0.2">
      <c r="A14" s="19" t="s">
        <v>358</v>
      </c>
      <c r="B14" s="20">
        <f>'- 29 -'!$D14</f>
        <v>6277288</v>
      </c>
      <c r="C14" s="20">
        <v>4734</v>
      </c>
      <c r="D14" s="20">
        <f t="shared" ca="1" si="0"/>
        <v>1326.0008449514153</v>
      </c>
      <c r="E14" s="20">
        <v>2553696</v>
      </c>
      <c r="F14" s="362">
        <f t="shared" ca="1" si="1"/>
        <v>2.4581187424031676</v>
      </c>
      <c r="G14" s="20">
        <v>1335888</v>
      </c>
      <c r="H14" s="362">
        <f t="shared" ca="1" si="2"/>
        <v>4.6989627872995339</v>
      </c>
    </row>
    <row r="15" spans="1:8" ht="14.1" customHeight="1" x14ac:dyDescent="0.2">
      <c r="A15" s="284" t="s">
        <v>113</v>
      </c>
      <c r="B15" s="285">
        <f>'- 29 -'!$D15</f>
        <v>1345505</v>
      </c>
      <c r="C15" s="285">
        <v>1003</v>
      </c>
      <c r="D15" s="285">
        <f t="shared" ca="1" si="0"/>
        <v>1341.480558325025</v>
      </c>
      <c r="E15" s="285">
        <v>493850</v>
      </c>
      <c r="F15" s="361">
        <f t="shared" ca="1" si="1"/>
        <v>2.7245216158752656</v>
      </c>
      <c r="G15" s="285">
        <v>305075</v>
      </c>
      <c r="H15" s="361">
        <f t="shared" ca="1" si="2"/>
        <v>4.4104072768991234</v>
      </c>
    </row>
    <row r="16" spans="1:8" ht="14.1" customHeight="1" x14ac:dyDescent="0.2">
      <c r="A16" s="19" t="s">
        <v>114</v>
      </c>
      <c r="B16" s="20">
        <f>'- 29 -'!$D16</f>
        <v>257679</v>
      </c>
      <c r="C16" s="20">
        <v>293</v>
      </c>
      <c r="D16" s="20">
        <f t="shared" ca="1" si="0"/>
        <v>879.45051194539246</v>
      </c>
      <c r="E16" s="20">
        <v>40453</v>
      </c>
      <c r="F16" s="362">
        <f t="shared" ca="1" si="1"/>
        <v>6.3698366004993447</v>
      </c>
      <c r="G16" s="20">
        <v>26069</v>
      </c>
      <c r="H16" s="362">
        <f t="shared" ca="1" si="2"/>
        <v>9.8844988300280026</v>
      </c>
    </row>
    <row r="17" spans="1:8" ht="14.1" customHeight="1" x14ac:dyDescent="0.2">
      <c r="A17" s="284" t="s">
        <v>115</v>
      </c>
      <c r="B17" s="285">
        <f>'- 29 -'!$D17</f>
        <v>1252470</v>
      </c>
      <c r="C17" s="285">
        <v>713</v>
      </c>
      <c r="D17" s="285">
        <f t="shared" ca="1" si="0"/>
        <v>1756.6199158485274</v>
      </c>
      <c r="E17" s="285">
        <v>933794.39999999991</v>
      </c>
      <c r="F17" s="361">
        <f t="shared" ca="1" si="1"/>
        <v>1.3412695556966288</v>
      </c>
      <c r="G17" s="285">
        <v>601300.80000000005</v>
      </c>
      <c r="H17" s="361">
        <f t="shared" ca="1" si="2"/>
        <v>2.0829341986573109</v>
      </c>
    </row>
    <row r="18" spans="1:8" ht="14.1" customHeight="1" x14ac:dyDescent="0.2">
      <c r="A18" s="19" t="s">
        <v>116</v>
      </c>
      <c r="B18" s="20">
        <f>'- 29 -'!$D18</f>
        <v>7116804</v>
      </c>
      <c r="C18" s="20">
        <v>4814</v>
      </c>
      <c r="D18" s="20">
        <f t="shared" ca="1" si="0"/>
        <v>1478.3556294142086</v>
      </c>
      <c r="E18" s="20">
        <v>1204000</v>
      </c>
      <c r="F18" s="362">
        <f t="shared" ca="1" si="1"/>
        <v>5.9109667774086381</v>
      </c>
      <c r="G18" s="20">
        <v>814100</v>
      </c>
      <c r="H18" s="362">
        <f t="shared" ca="1" si="2"/>
        <v>8.7419285100110553</v>
      </c>
    </row>
    <row r="19" spans="1:8" ht="14.1" customHeight="1" x14ac:dyDescent="0.2">
      <c r="A19" s="284" t="s">
        <v>117</v>
      </c>
      <c r="B19" s="285">
        <f>'- 29 -'!$D19</f>
        <v>2570944</v>
      </c>
      <c r="C19" s="285">
        <v>2691</v>
      </c>
      <c r="D19" s="285">
        <f t="shared" ca="1" si="0"/>
        <v>955.38610182088439</v>
      </c>
      <c r="E19" s="285">
        <v>570648</v>
      </c>
      <c r="F19" s="361">
        <f t="shared" ca="1" si="1"/>
        <v>4.5053062483352262</v>
      </c>
      <c r="G19" s="285">
        <v>330212</v>
      </c>
      <c r="H19" s="361">
        <f t="shared" ca="1" si="2"/>
        <v>7.7857376473295945</v>
      </c>
    </row>
    <row r="20" spans="1:8" ht="14.1" customHeight="1" x14ac:dyDescent="0.2">
      <c r="A20" s="19" t="s">
        <v>118</v>
      </c>
      <c r="B20" s="20">
        <f>'- 29 -'!$D20</f>
        <v>2726418</v>
      </c>
      <c r="C20" s="20">
        <v>5280</v>
      </c>
      <c r="D20" s="20">
        <f t="shared" ca="1" si="0"/>
        <v>516.3670454545454</v>
      </c>
      <c r="E20" s="20">
        <v>1023063</v>
      </c>
      <c r="F20" s="362">
        <f t="shared" ca="1" si="1"/>
        <v>2.6649561170719691</v>
      </c>
      <c r="G20" s="20">
        <v>600216</v>
      </c>
      <c r="H20" s="362">
        <f t="shared" ca="1" si="2"/>
        <v>4.5423947378943579</v>
      </c>
    </row>
    <row r="21" spans="1:8" ht="14.1" customHeight="1" x14ac:dyDescent="0.2">
      <c r="A21" s="284" t="s">
        <v>119</v>
      </c>
      <c r="B21" s="285">
        <f>'- 29 -'!$D21</f>
        <v>1601949</v>
      </c>
      <c r="C21" s="285">
        <v>1747</v>
      </c>
      <c r="D21" s="285">
        <f t="shared" ca="1" si="0"/>
        <v>916.97137950772753</v>
      </c>
      <c r="E21" s="285">
        <v>580110</v>
      </c>
      <c r="F21" s="361">
        <f t="shared" ca="1" si="1"/>
        <v>2.7614573098205515</v>
      </c>
      <c r="G21" s="285">
        <v>330083.20000000001</v>
      </c>
      <c r="H21" s="361">
        <f t="shared" ca="1" si="2"/>
        <v>4.853167322662892</v>
      </c>
    </row>
    <row r="22" spans="1:8" ht="14.1" customHeight="1" x14ac:dyDescent="0.2">
      <c r="A22" s="19" t="s">
        <v>120</v>
      </c>
      <c r="B22" s="20">
        <f>'- 29 -'!$D22</f>
        <v>376674</v>
      </c>
      <c r="C22" s="20">
        <v>455</v>
      </c>
      <c r="D22" s="20">
        <f t="shared" ca="1" si="0"/>
        <v>827.85494505494501</v>
      </c>
      <c r="E22" s="20">
        <v>112963</v>
      </c>
      <c r="F22" s="362">
        <f t="shared" ca="1" si="1"/>
        <v>3.3344900542655558</v>
      </c>
      <c r="G22" s="20">
        <v>72884</v>
      </c>
      <c r="H22" s="362">
        <f t="shared" ca="1" si="2"/>
        <v>5.1681301794632564</v>
      </c>
    </row>
    <row r="23" spans="1:8" ht="14.1" customHeight="1" x14ac:dyDescent="0.2">
      <c r="A23" s="284" t="s">
        <v>121</v>
      </c>
      <c r="B23" s="285">
        <f>'- 29 -'!$D23</f>
        <v>1287293</v>
      </c>
      <c r="C23" s="285">
        <v>721</v>
      </c>
      <c r="D23" s="285">
        <f t="shared" ca="1" si="0"/>
        <v>1785.4271844660195</v>
      </c>
      <c r="E23" s="285">
        <v>662646</v>
      </c>
      <c r="F23" s="361">
        <f t="shared" ca="1" si="1"/>
        <v>1.9426556562629216</v>
      </c>
      <c r="G23" s="285">
        <v>396984</v>
      </c>
      <c r="H23" s="361">
        <f t="shared" ca="1" si="2"/>
        <v>3.2426823247284524</v>
      </c>
    </row>
    <row r="24" spans="1:8" ht="14.1" customHeight="1" x14ac:dyDescent="0.2">
      <c r="A24" s="19" t="s">
        <v>122</v>
      </c>
      <c r="B24" s="20">
        <f>'- 29 -'!$D24</f>
        <v>2127581</v>
      </c>
      <c r="C24" s="20">
        <v>2702</v>
      </c>
      <c r="D24" s="20">
        <f t="shared" ca="1" si="0"/>
        <v>787.4096965210955</v>
      </c>
      <c r="E24" s="20">
        <v>702720</v>
      </c>
      <c r="F24" s="362">
        <f t="shared" ca="1" si="1"/>
        <v>3.0276368966302369</v>
      </c>
      <c r="G24" s="20">
        <v>445696</v>
      </c>
      <c r="H24" s="362">
        <f t="shared" ca="1" si="2"/>
        <v>4.7736147508615741</v>
      </c>
    </row>
    <row r="25" spans="1:8" ht="14.1" customHeight="1" x14ac:dyDescent="0.2">
      <c r="A25" s="284" t="s">
        <v>123</v>
      </c>
      <c r="B25" s="285">
        <f>'- 29 -'!$D25</f>
        <v>3394428</v>
      </c>
      <c r="C25" s="285">
        <v>2864</v>
      </c>
      <c r="D25" s="285">
        <f t="shared" ca="1" si="0"/>
        <v>1185.2053072625699</v>
      </c>
      <c r="E25" s="285">
        <v>581490</v>
      </c>
      <c r="F25" s="361">
        <f t="shared" ca="1" si="1"/>
        <v>5.8374658205644119</v>
      </c>
      <c r="G25" s="285">
        <v>320450</v>
      </c>
      <c r="H25" s="361">
        <f t="shared" ca="1" si="2"/>
        <v>10.592691527539397</v>
      </c>
    </row>
    <row r="26" spans="1:8" ht="14.1" customHeight="1" x14ac:dyDescent="0.2">
      <c r="A26" s="19" t="s">
        <v>124</v>
      </c>
      <c r="B26" s="20">
        <f>'- 29 -'!$D26</f>
        <v>2270827</v>
      </c>
      <c r="C26" s="20">
        <v>1619</v>
      </c>
      <c r="D26" s="20">
        <f t="shared" ca="1" si="0"/>
        <v>1402.6108709079679</v>
      </c>
      <c r="E26" s="20">
        <v>1383897</v>
      </c>
      <c r="F26" s="362">
        <f t="shared" ca="1" si="1"/>
        <v>1.6408930722445385</v>
      </c>
      <c r="G26" s="20">
        <v>1022885</v>
      </c>
      <c r="H26" s="362">
        <f t="shared" ca="1" si="2"/>
        <v>2.220021801082233</v>
      </c>
    </row>
    <row r="27" spans="1:8" ht="14.1" customHeight="1" x14ac:dyDescent="0.2">
      <c r="A27" s="284" t="s">
        <v>125</v>
      </c>
      <c r="B27" s="285">
        <f>'- 29 -'!$D27</f>
        <v>9550</v>
      </c>
      <c r="C27" s="285">
        <v>0</v>
      </c>
      <c r="D27" s="285" t="str">
        <f ca="1">IF(AND(CELL("type",C27)="v",C27&gt;0),B27/C27,"")</f>
        <v/>
      </c>
      <c r="E27" s="285">
        <v>0</v>
      </c>
      <c r="F27" s="361" t="str">
        <f ca="1">IF(AND(CELL("type",E27)="v",E27&gt;0),B27/E27,"")</f>
        <v/>
      </c>
      <c r="G27" s="285">
        <v>0</v>
      </c>
      <c r="H27" s="361" t="str">
        <f ca="1">IF(AND(CELL("type",G27)="v",G27&gt;0),B27/G27,"")</f>
        <v/>
      </c>
    </row>
    <row r="28" spans="1:8" ht="14.1" customHeight="1" x14ac:dyDescent="0.2">
      <c r="A28" s="19" t="s">
        <v>126</v>
      </c>
      <c r="B28" s="20">
        <f>'- 29 -'!$D28</f>
        <v>1543886</v>
      </c>
      <c r="C28" s="20">
        <v>809</v>
      </c>
      <c r="D28" s="20">
        <f t="shared" ca="1" si="0"/>
        <v>1908.3881334981459</v>
      </c>
      <c r="E28" s="20">
        <v>1088472</v>
      </c>
      <c r="F28" s="362">
        <f t="shared" ca="1" si="1"/>
        <v>1.4183975334230003</v>
      </c>
      <c r="G28" s="20">
        <v>715728</v>
      </c>
      <c r="H28" s="362">
        <f t="shared" ca="1" si="2"/>
        <v>2.1570848143428787</v>
      </c>
    </row>
    <row r="29" spans="1:8" ht="14.1" customHeight="1" x14ac:dyDescent="0.2">
      <c r="A29" s="284" t="s">
        <v>127</v>
      </c>
      <c r="B29" s="285">
        <f>'- 29 -'!$D29</f>
        <v>2310211</v>
      </c>
      <c r="C29" s="285">
        <v>3070</v>
      </c>
      <c r="D29" s="285">
        <f t="shared" ca="1" si="0"/>
        <v>752.51172638436481</v>
      </c>
      <c r="E29" s="285">
        <v>436540</v>
      </c>
      <c r="F29" s="361">
        <f t="shared" ca="1" si="1"/>
        <v>5.2920946534109135</v>
      </c>
      <c r="G29" s="285">
        <v>256750</v>
      </c>
      <c r="H29" s="361">
        <f t="shared" ca="1" si="2"/>
        <v>8.9979006815968834</v>
      </c>
    </row>
    <row r="30" spans="1:8" ht="14.1" customHeight="1" x14ac:dyDescent="0.2">
      <c r="A30" s="19" t="s">
        <v>128</v>
      </c>
      <c r="B30" s="20">
        <f>'- 29 -'!$D30</f>
        <v>890405</v>
      </c>
      <c r="C30" s="20">
        <v>623</v>
      </c>
      <c r="D30" s="20">
        <f t="shared" ca="1" si="0"/>
        <v>1429.2215088282503</v>
      </c>
      <c r="E30" s="20">
        <v>488111</v>
      </c>
      <c r="F30" s="362">
        <f t="shared" ca="1" si="1"/>
        <v>1.8241854824005195</v>
      </c>
      <c r="G30" s="20">
        <v>292630</v>
      </c>
      <c r="H30" s="362">
        <f t="shared" ca="1" si="2"/>
        <v>3.0427673170898406</v>
      </c>
    </row>
    <row r="31" spans="1:8" ht="14.1" customHeight="1" x14ac:dyDescent="0.2">
      <c r="A31" s="284" t="s">
        <v>129</v>
      </c>
      <c r="B31" s="285">
        <f>'- 29 -'!$D31</f>
        <v>837265</v>
      </c>
      <c r="C31" s="285">
        <v>1148</v>
      </c>
      <c r="D31" s="285">
        <f t="shared" ca="1" si="0"/>
        <v>729.32491289198606</v>
      </c>
      <c r="E31" s="285">
        <v>374488</v>
      </c>
      <c r="F31" s="361">
        <f t="shared" ca="1" si="1"/>
        <v>2.2357592232594903</v>
      </c>
      <c r="G31" s="285">
        <v>248980</v>
      </c>
      <c r="H31" s="361">
        <f t="shared" ca="1" si="2"/>
        <v>3.3627801429833721</v>
      </c>
    </row>
    <row r="32" spans="1:8" ht="14.1" customHeight="1" x14ac:dyDescent="0.2">
      <c r="A32" s="19" t="s">
        <v>130</v>
      </c>
      <c r="B32" s="20">
        <f>'- 29 -'!$D32</f>
        <v>1697910</v>
      </c>
      <c r="C32" s="20">
        <v>1578</v>
      </c>
      <c r="D32" s="20">
        <f t="shared" ca="1" si="0"/>
        <v>1075.9885931558936</v>
      </c>
      <c r="E32" s="20">
        <v>719177</v>
      </c>
      <c r="F32" s="362">
        <f t="shared" ca="1" si="1"/>
        <v>2.3609069811743146</v>
      </c>
      <c r="G32" s="20">
        <v>481145</v>
      </c>
      <c r="H32" s="362">
        <f t="shared" ca="1" si="2"/>
        <v>3.5288946159681593</v>
      </c>
    </row>
    <row r="33" spans="1:8" ht="14.1" customHeight="1" x14ac:dyDescent="0.2">
      <c r="A33" s="284" t="s">
        <v>131</v>
      </c>
      <c r="B33" s="285">
        <f>'- 29 -'!$D33</f>
        <v>1874309</v>
      </c>
      <c r="C33" s="285">
        <v>1140</v>
      </c>
      <c r="D33" s="285">
        <f t="shared" ca="1" si="0"/>
        <v>1644.1307017543859</v>
      </c>
      <c r="E33" s="285">
        <v>974292</v>
      </c>
      <c r="F33" s="361">
        <f t="shared" ca="1" si="1"/>
        <v>1.9237651545943106</v>
      </c>
      <c r="G33" s="285">
        <v>601370</v>
      </c>
      <c r="H33" s="361">
        <f t="shared" ca="1" si="2"/>
        <v>3.116731795733076</v>
      </c>
    </row>
    <row r="34" spans="1:8" ht="14.1" customHeight="1" x14ac:dyDescent="0.2">
      <c r="A34" s="19" t="s">
        <v>132</v>
      </c>
      <c r="B34" s="20">
        <f>'- 29 -'!$D34</f>
        <v>2036591</v>
      </c>
      <c r="C34" s="20">
        <v>1550</v>
      </c>
      <c r="D34" s="20">
        <f t="shared" ca="1" si="0"/>
        <v>1313.9296774193549</v>
      </c>
      <c r="E34" s="20">
        <v>893779</v>
      </c>
      <c r="F34" s="362">
        <f t="shared" ca="1" si="1"/>
        <v>2.2786292808401183</v>
      </c>
      <c r="G34" s="20">
        <v>576299</v>
      </c>
      <c r="H34" s="362">
        <f t="shared" ca="1" si="2"/>
        <v>3.5339138190418518</v>
      </c>
    </row>
    <row r="35" spans="1:8" ht="14.1" customHeight="1" x14ac:dyDescent="0.2">
      <c r="A35" s="284" t="s">
        <v>133</v>
      </c>
      <c r="B35" s="285">
        <f>'- 29 -'!$D35</f>
        <v>3490230</v>
      </c>
      <c r="C35" s="285">
        <v>4099</v>
      </c>
      <c r="D35" s="285">
        <f t="shared" ca="1" si="0"/>
        <v>851.48328860697734</v>
      </c>
      <c r="E35" s="285">
        <v>738138</v>
      </c>
      <c r="F35" s="361">
        <f t="shared" ca="1" si="1"/>
        <v>4.7284247661006482</v>
      </c>
      <c r="G35" s="285">
        <v>531996</v>
      </c>
      <c r="H35" s="361">
        <f t="shared" ca="1" si="2"/>
        <v>6.5606320348273295</v>
      </c>
    </row>
    <row r="36" spans="1:8" ht="14.1" customHeight="1" x14ac:dyDescent="0.2">
      <c r="A36" s="19" t="s">
        <v>134</v>
      </c>
      <c r="B36" s="20">
        <f>'- 29 -'!$D36</f>
        <v>1293703</v>
      </c>
      <c r="C36" s="20">
        <v>895</v>
      </c>
      <c r="D36" s="20">
        <f t="shared" ca="1" si="0"/>
        <v>1445.4782122905028</v>
      </c>
      <c r="E36" s="20">
        <v>568448</v>
      </c>
      <c r="F36" s="362">
        <f t="shared" ca="1" si="1"/>
        <v>2.2758510892816934</v>
      </c>
      <c r="G36" s="20">
        <v>364672</v>
      </c>
      <c r="H36" s="362">
        <f t="shared" ca="1" si="2"/>
        <v>3.5475797428922431</v>
      </c>
    </row>
    <row r="37" spans="1:8" ht="14.1" customHeight="1" x14ac:dyDescent="0.2">
      <c r="A37" s="284" t="s">
        <v>135</v>
      </c>
      <c r="B37" s="285">
        <f>'- 29 -'!$D37</f>
        <v>2651387</v>
      </c>
      <c r="C37" s="285">
        <v>3040</v>
      </c>
      <c r="D37" s="285">
        <f t="shared" ca="1" si="0"/>
        <v>872.16677631578943</v>
      </c>
      <c r="E37" s="285">
        <v>1373796</v>
      </c>
      <c r="F37" s="361">
        <f t="shared" ca="1" si="1"/>
        <v>1.929971407690807</v>
      </c>
      <c r="G37" s="285">
        <v>845184</v>
      </c>
      <c r="H37" s="361">
        <f t="shared" ca="1" si="2"/>
        <v>3.1370529967439045</v>
      </c>
    </row>
    <row r="38" spans="1:8" ht="14.1" customHeight="1" x14ac:dyDescent="0.2">
      <c r="A38" s="19" t="s">
        <v>136</v>
      </c>
      <c r="B38" s="20">
        <f>'- 29 -'!$D38</f>
        <v>2944683</v>
      </c>
      <c r="C38" s="20">
        <v>2941</v>
      </c>
      <c r="D38" s="20">
        <f t="shared" ca="1" si="0"/>
        <v>1001.2522951377083</v>
      </c>
      <c r="E38" s="20">
        <v>491416</v>
      </c>
      <c r="F38" s="362">
        <f t="shared" ca="1" si="1"/>
        <v>5.9922407898806718</v>
      </c>
      <c r="G38" s="20">
        <v>263764</v>
      </c>
      <c r="H38" s="362">
        <f t="shared" ca="1" si="2"/>
        <v>11.164082285679623</v>
      </c>
    </row>
    <row r="39" spans="1:8" ht="14.1" customHeight="1" x14ac:dyDescent="0.2">
      <c r="A39" s="284" t="s">
        <v>137</v>
      </c>
      <c r="B39" s="285">
        <f>'- 29 -'!$D39</f>
        <v>1517636</v>
      </c>
      <c r="C39" s="285">
        <v>769</v>
      </c>
      <c r="D39" s="285">
        <f t="shared" ca="1" si="0"/>
        <v>1973.518855656697</v>
      </c>
      <c r="E39" s="285">
        <v>755200</v>
      </c>
      <c r="F39" s="361">
        <f t="shared" ca="1" si="1"/>
        <v>2.00958156779661</v>
      </c>
      <c r="G39" s="285">
        <v>442624</v>
      </c>
      <c r="H39" s="361">
        <f t="shared" ca="1" si="2"/>
        <v>3.4287250578368997</v>
      </c>
    </row>
    <row r="40" spans="1:8" ht="14.1" customHeight="1" x14ac:dyDescent="0.2">
      <c r="A40" s="19" t="s">
        <v>138</v>
      </c>
      <c r="B40" s="20">
        <f>'- 29 -'!$D40</f>
        <v>1709760</v>
      </c>
      <c r="C40" s="20">
        <v>1506</v>
      </c>
      <c r="D40" s="20">
        <f t="shared" ca="1" si="0"/>
        <v>1135.2988047808765</v>
      </c>
      <c r="E40" s="20">
        <v>298740</v>
      </c>
      <c r="F40" s="362">
        <f t="shared" ca="1" si="1"/>
        <v>5.7232375979112273</v>
      </c>
      <c r="G40" s="20">
        <v>152685</v>
      </c>
      <c r="H40" s="362">
        <f t="shared" ca="1" si="2"/>
        <v>11.197956577266922</v>
      </c>
    </row>
    <row r="41" spans="1:8" ht="14.1" customHeight="1" x14ac:dyDescent="0.2">
      <c r="A41" s="284" t="s">
        <v>139</v>
      </c>
      <c r="B41" s="285">
        <f>'- 29 -'!$D41</f>
        <v>3949223</v>
      </c>
      <c r="C41" s="285">
        <v>3724</v>
      </c>
      <c r="D41" s="285">
        <f t="shared" ca="1" si="0"/>
        <v>1060.4787862513426</v>
      </c>
      <c r="E41" s="285">
        <v>1379349</v>
      </c>
      <c r="F41" s="361">
        <f t="shared" ca="1" si="1"/>
        <v>2.8631064364421186</v>
      </c>
      <c r="G41" s="285">
        <v>955240</v>
      </c>
      <c r="H41" s="361">
        <f t="shared" ca="1" si="2"/>
        <v>4.1342730622670745</v>
      </c>
    </row>
    <row r="42" spans="1:8" ht="14.1" customHeight="1" x14ac:dyDescent="0.2">
      <c r="A42" s="19" t="s">
        <v>140</v>
      </c>
      <c r="B42" s="20">
        <f>'- 29 -'!$D42</f>
        <v>1259693</v>
      </c>
      <c r="C42" s="20">
        <v>1263</v>
      </c>
      <c r="D42" s="20">
        <f t="shared" ca="1" si="0"/>
        <v>997.38163103721297</v>
      </c>
      <c r="E42" s="20">
        <v>757615</v>
      </c>
      <c r="F42" s="362">
        <f t="shared" ca="1" si="1"/>
        <v>1.6627086316928783</v>
      </c>
      <c r="G42" s="20">
        <v>633478</v>
      </c>
      <c r="H42" s="362">
        <f t="shared" ca="1" si="2"/>
        <v>1.9885347241735309</v>
      </c>
    </row>
    <row r="43" spans="1:8" ht="14.1" customHeight="1" x14ac:dyDescent="0.2">
      <c r="A43" s="284" t="s">
        <v>141</v>
      </c>
      <c r="B43" s="285">
        <f>'- 29 -'!$D43</f>
        <v>795857</v>
      </c>
      <c r="C43" s="285">
        <v>549</v>
      </c>
      <c r="D43" s="285">
        <f t="shared" ca="1" si="0"/>
        <v>1449.6484517304189</v>
      </c>
      <c r="E43" s="285">
        <v>397002</v>
      </c>
      <c r="F43" s="361">
        <f t="shared" ca="1" si="1"/>
        <v>2.0046674827834621</v>
      </c>
      <c r="G43" s="285">
        <v>268478</v>
      </c>
      <c r="H43" s="361">
        <f t="shared" ca="1" si="2"/>
        <v>2.9643285483354318</v>
      </c>
    </row>
    <row r="44" spans="1:8" ht="14.1" customHeight="1" x14ac:dyDescent="0.2">
      <c r="A44" s="19" t="s">
        <v>142</v>
      </c>
      <c r="B44" s="20">
        <f>'- 29 -'!$D44</f>
        <v>801423</v>
      </c>
      <c r="C44" s="20">
        <v>545</v>
      </c>
      <c r="D44" s="20">
        <f t="shared" ca="1" si="0"/>
        <v>1470.5009174311926</v>
      </c>
      <c r="E44" s="20">
        <v>473110</v>
      </c>
      <c r="F44" s="362">
        <f t="shared" ca="1" si="1"/>
        <v>1.693946439517237</v>
      </c>
      <c r="G44" s="20">
        <v>312906</v>
      </c>
      <c r="H44" s="362">
        <f t="shared" ca="1" si="2"/>
        <v>2.5612260551092021</v>
      </c>
    </row>
    <row r="45" spans="1:8" ht="14.1" customHeight="1" x14ac:dyDescent="0.2">
      <c r="A45" s="284" t="s">
        <v>143</v>
      </c>
      <c r="B45" s="285">
        <f>'- 29 -'!$D45</f>
        <v>556959</v>
      </c>
      <c r="C45" s="285">
        <v>1139</v>
      </c>
      <c r="D45" s="285">
        <f t="shared" ca="1" si="0"/>
        <v>488.98946444249344</v>
      </c>
      <c r="E45" s="285">
        <v>177415</v>
      </c>
      <c r="F45" s="361">
        <f t="shared" ca="1" si="1"/>
        <v>3.1393005101034297</v>
      </c>
      <c r="G45" s="285">
        <v>110233</v>
      </c>
      <c r="H45" s="361">
        <f t="shared" ca="1" si="2"/>
        <v>5.0525613926864006</v>
      </c>
    </row>
    <row r="46" spans="1:8" ht="14.1" customHeight="1" x14ac:dyDescent="0.2">
      <c r="A46" s="19" t="s">
        <v>144</v>
      </c>
      <c r="B46" s="20">
        <f>'- 29 -'!$D46</f>
        <v>5843688</v>
      </c>
      <c r="C46" s="20">
        <v>2223</v>
      </c>
      <c r="D46" s="20">
        <f t="shared" ca="1" si="0"/>
        <v>2628.7395411605939</v>
      </c>
      <c r="E46" s="20">
        <v>596925</v>
      </c>
      <c r="F46" s="362">
        <f t="shared" ca="1" si="1"/>
        <v>9.789651966327428</v>
      </c>
      <c r="G46" s="20">
        <v>368900</v>
      </c>
      <c r="H46" s="362">
        <f t="shared" ca="1" si="2"/>
        <v>15.840845757657902</v>
      </c>
    </row>
    <row r="47" spans="1:8" ht="5.0999999999999996" customHeight="1" x14ac:dyDescent="0.2">
      <c r="A47"/>
      <c r="B47" s="22"/>
      <c r="C47" s="367"/>
      <c r="D47" s="22"/>
      <c r="E47" s="367"/>
      <c r="F47" s="364"/>
      <c r="G47" s="367"/>
      <c r="H47" s="364"/>
    </row>
    <row r="48" spans="1:8" ht="14.1" customHeight="1" x14ac:dyDescent="0.2">
      <c r="A48" s="286" t="s">
        <v>145</v>
      </c>
      <c r="B48" s="287">
        <f>SUM(B11:B46)</f>
        <v>75233312</v>
      </c>
      <c r="C48" s="287">
        <f>SUM(C11:C46)</f>
        <v>68109</v>
      </c>
      <c r="D48" s="287">
        <f>B48/C48</f>
        <v>1104.6016238676239</v>
      </c>
      <c r="E48" s="287">
        <f>SUM(E11:E46)</f>
        <v>25757944.399999999</v>
      </c>
      <c r="F48" s="365">
        <f>B48/E48</f>
        <v>2.9207808989602446</v>
      </c>
      <c r="G48" s="287">
        <f>SUM(G11:G46)</f>
        <v>16220091</v>
      </c>
      <c r="H48" s="365">
        <f>B48/G48</f>
        <v>4.6382792796908472</v>
      </c>
    </row>
    <row r="49" spans="1:8" ht="5.0999999999999996" customHeight="1" x14ac:dyDescent="0.2">
      <c r="A49" s="21" t="s">
        <v>7</v>
      </c>
      <c r="B49" s="22"/>
      <c r="C49" s="367"/>
      <c r="D49" s="22"/>
      <c r="E49" s="367"/>
      <c r="F49" s="364"/>
      <c r="G49" s="367"/>
      <c r="H49" s="364"/>
    </row>
    <row r="50" spans="1:8" ht="14.1" customHeight="1" x14ac:dyDescent="0.2">
      <c r="A50" s="19" t="s">
        <v>146</v>
      </c>
      <c r="B50" s="20">
        <f>'- 29 -'!$D50</f>
        <v>0</v>
      </c>
      <c r="C50" s="37" t="s">
        <v>95</v>
      </c>
      <c r="D50" s="20" t="str">
        <f ca="1">IF(AND(CELL("type",C50)="v",C50&gt;0),B50/C50,"")</f>
        <v/>
      </c>
      <c r="E50" s="37" t="s">
        <v>95</v>
      </c>
      <c r="F50" s="362" t="str">
        <f ca="1">IF(AND(CELL("type",E50)="v",E50&gt;0),B50/E50,"")</f>
        <v/>
      </c>
      <c r="G50" s="37" t="s">
        <v>95</v>
      </c>
      <c r="H50" s="362" t="str">
        <f ca="1">IF(AND(CELL("type",G50)="v",G50&gt;0),B50/G50,"")</f>
        <v/>
      </c>
    </row>
    <row r="51" spans="1:8" ht="14.1" customHeight="1" x14ac:dyDescent="0.2">
      <c r="A51" s="284" t="s">
        <v>599</v>
      </c>
      <c r="B51" s="285">
        <f>'- 29 -'!$D51</f>
        <v>0</v>
      </c>
      <c r="C51" s="285">
        <v>0</v>
      </c>
      <c r="D51" s="285" t="str">
        <f ca="1">IF(AND(CELL("type",C51)="v",C51&gt;0),B51/C51,"")</f>
        <v/>
      </c>
      <c r="E51" s="285">
        <v>0</v>
      </c>
      <c r="F51" s="361" t="str">
        <f ca="1">IF(AND(CELL("type",E51)="v",E51&gt;0),B51/E51,"")</f>
        <v/>
      </c>
      <c r="G51" s="285">
        <v>0</v>
      </c>
      <c r="H51" s="361" t="str">
        <f ca="1">IF(AND(CELL("type",G51)="v",G51&gt;0),B51/G51,"")</f>
        <v/>
      </c>
    </row>
    <row r="52" spans="1:8" ht="50.1" customHeight="1" x14ac:dyDescent="0.2"/>
  </sheetData>
  <mergeCells count="6">
    <mergeCell ref="H8:H9"/>
    <mergeCell ref="D8:D9"/>
    <mergeCell ref="C8:C9"/>
    <mergeCell ref="E8:E9"/>
    <mergeCell ref="F8:F9"/>
    <mergeCell ref="G8:G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E52"/>
  <sheetViews>
    <sheetView showGridLines="0" showZeros="0" workbookViewId="0"/>
  </sheetViews>
  <sheetFormatPr defaultColWidth="15.83203125" defaultRowHeight="12" x14ac:dyDescent="0.2"/>
  <cols>
    <col min="1" max="1" width="32.83203125" style="2" customWidth="1"/>
    <col min="2" max="2" width="22.83203125" style="2" customWidth="1"/>
    <col min="3" max="3" width="19.83203125" style="2" customWidth="1"/>
    <col min="4" max="4" width="15.83203125" style="2"/>
    <col min="5" max="5" width="41.83203125" style="2" customWidth="1"/>
    <col min="6" max="16384" width="15.83203125" style="2"/>
  </cols>
  <sheetData>
    <row r="1" spans="1:5" ht="6.95" customHeight="1" x14ac:dyDescent="0.2">
      <c r="A1" s="7"/>
      <c r="B1" s="8"/>
      <c r="C1" s="8"/>
      <c r="D1" s="8"/>
      <c r="E1" s="8"/>
    </row>
    <row r="2" spans="1:5" ht="15.95" customHeight="1" x14ac:dyDescent="0.2">
      <c r="A2" s="134"/>
      <c r="B2" s="9" t="s">
        <v>266</v>
      </c>
      <c r="C2" s="10"/>
      <c r="D2" s="10"/>
      <c r="E2" s="160"/>
    </row>
    <row r="3" spans="1:5" ht="15.95" customHeight="1" x14ac:dyDescent="0.2">
      <c r="A3" s="541"/>
      <c r="B3" s="11" t="str">
        <f>OPYEAR</f>
        <v>OPERATING FUND 2019/2020 ACTUAL</v>
      </c>
      <c r="C3" s="12"/>
      <c r="D3" s="12"/>
      <c r="E3" s="161"/>
    </row>
    <row r="4" spans="1:5" ht="15.95" customHeight="1" x14ac:dyDescent="0.2">
      <c r="B4" s="8"/>
      <c r="C4" s="8"/>
      <c r="D4" s="8"/>
      <c r="E4" s="8"/>
    </row>
    <row r="5" spans="1:5" ht="15.95" customHeight="1" x14ac:dyDescent="0.2">
      <c r="B5" s="8"/>
      <c r="C5" s="8"/>
      <c r="D5" s="8"/>
      <c r="E5" s="8"/>
    </row>
    <row r="6" spans="1:5" ht="15.95" customHeight="1" x14ac:dyDescent="0.2">
      <c r="B6" s="649" t="s">
        <v>505</v>
      </c>
      <c r="C6" s="657"/>
      <c r="D6" s="650"/>
    </row>
    <row r="7" spans="1:5" ht="15.95" customHeight="1" x14ac:dyDescent="0.2">
      <c r="B7" s="651"/>
      <c r="C7" s="658"/>
      <c r="D7" s="652"/>
    </row>
    <row r="8" spans="1:5" ht="15.95" customHeight="1" x14ac:dyDescent="0.2">
      <c r="A8" s="67"/>
      <c r="B8" s="162"/>
      <c r="C8" s="703" t="s">
        <v>504</v>
      </c>
      <c r="D8" s="602" t="s">
        <v>503</v>
      </c>
    </row>
    <row r="9" spans="1:5" ht="15.95" customHeight="1" x14ac:dyDescent="0.2">
      <c r="A9" s="35" t="s">
        <v>42</v>
      </c>
      <c r="B9" s="77" t="s">
        <v>43</v>
      </c>
      <c r="C9" s="704"/>
      <c r="D9" s="604"/>
    </row>
    <row r="10" spans="1:5" ht="5.0999999999999996" customHeight="1" x14ac:dyDescent="0.2">
      <c r="A10" s="6"/>
    </row>
    <row r="11" spans="1:5" ht="14.1" customHeight="1" x14ac:dyDescent="0.2">
      <c r="A11" s="284" t="s">
        <v>110</v>
      </c>
      <c r="B11" s="285">
        <f>SUM('- 29 -'!$B11,'- 29 -'!$D11,'- 30 -'!$D11)</f>
        <v>1088219</v>
      </c>
      <c r="C11" s="285">
        <v>648061</v>
      </c>
      <c r="D11" s="361">
        <f ca="1">IF(AND(CELL("type",C11)="v",C11&gt;0),B11/C11,"")</f>
        <v>1.6791922365332892</v>
      </c>
      <c r="E11" s="163"/>
    </row>
    <row r="12" spans="1:5" ht="14.1" customHeight="1" x14ac:dyDescent="0.2">
      <c r="A12" s="19" t="s">
        <v>111</v>
      </c>
      <c r="B12" s="20">
        <f>SUM('- 29 -'!$B12,'- 29 -'!$D12,'- 30 -'!$D12)</f>
        <v>2283248</v>
      </c>
      <c r="C12" s="20">
        <v>799180</v>
      </c>
      <c r="D12" s="362">
        <f t="shared" ref="D12:D46" ca="1" si="0">IF(AND(CELL("type",C12)="v",C12&gt;0),B12/C12,"")</f>
        <v>2.8569884131234518</v>
      </c>
      <c r="E12" s="163"/>
    </row>
    <row r="13" spans="1:5" ht="14.1" customHeight="1" x14ac:dyDescent="0.2">
      <c r="A13" s="284" t="s">
        <v>112</v>
      </c>
      <c r="B13" s="285">
        <f>SUM('- 29 -'!$B13,'- 29 -'!$D13,'- 30 -'!$D13)</f>
        <v>1974858</v>
      </c>
      <c r="C13" s="285">
        <v>617794</v>
      </c>
      <c r="D13" s="361">
        <f t="shared" ca="1" si="0"/>
        <v>3.1966286496793428</v>
      </c>
      <c r="E13" s="163"/>
    </row>
    <row r="14" spans="1:5" ht="14.1" customHeight="1" x14ac:dyDescent="0.2">
      <c r="A14" s="19" t="s">
        <v>358</v>
      </c>
      <c r="B14" s="20">
        <f>SUM('- 29 -'!$B14,'- 29 -'!$D14,'- 30 -'!$D14)</f>
        <v>6910460</v>
      </c>
      <c r="C14" s="37" t="s">
        <v>95</v>
      </c>
      <c r="D14" s="362" t="str">
        <f t="shared" ca="1" si="0"/>
        <v/>
      </c>
      <c r="E14" s="163"/>
    </row>
    <row r="15" spans="1:5" ht="14.1" customHeight="1" x14ac:dyDescent="0.2">
      <c r="A15" s="284" t="s">
        <v>113</v>
      </c>
      <c r="B15" s="285">
        <f>SUM('- 29 -'!$B15,'- 29 -'!$D15,'- 30 -'!$D15)</f>
        <v>1634297</v>
      </c>
      <c r="C15" s="285">
        <v>567224</v>
      </c>
      <c r="D15" s="361">
        <f t="shared" ca="1" si="0"/>
        <v>2.8812197650310987</v>
      </c>
      <c r="E15" s="163"/>
    </row>
    <row r="16" spans="1:5" ht="14.1" customHeight="1" x14ac:dyDescent="0.2">
      <c r="A16" s="19" t="s">
        <v>114</v>
      </c>
      <c r="B16" s="20">
        <f>SUM('- 29 -'!$B16,'- 29 -'!$D16,'- 30 -'!$D16)</f>
        <v>346071</v>
      </c>
      <c r="C16" s="20">
        <v>87876</v>
      </c>
      <c r="D16" s="362">
        <f t="shared" ca="1" si="0"/>
        <v>3.9381742455277893</v>
      </c>
      <c r="E16" s="163"/>
    </row>
    <row r="17" spans="1:5" ht="14.1" customHeight="1" x14ac:dyDescent="0.2">
      <c r="A17" s="284" t="s">
        <v>115</v>
      </c>
      <c r="B17" s="285">
        <f>SUM('- 29 -'!$B17,'- 29 -'!$D17,'- 30 -'!$D17)</f>
        <v>1344145</v>
      </c>
      <c r="C17" s="285">
        <v>980361.57480314944</v>
      </c>
      <c r="D17" s="361">
        <f t="shared" ca="1" si="0"/>
        <v>1.3710706687682002</v>
      </c>
      <c r="E17" s="163"/>
    </row>
    <row r="18" spans="1:5" ht="14.1" customHeight="1" x14ac:dyDescent="0.2">
      <c r="A18" s="19" t="s">
        <v>116</v>
      </c>
      <c r="B18" s="20">
        <f>SUM('- 29 -'!$B18,'- 29 -'!$D18,'- 30 -'!$D18)</f>
        <v>8240756</v>
      </c>
      <c r="C18" s="20">
        <v>1302000</v>
      </c>
      <c r="D18" s="362">
        <f t="shared" ca="1" si="0"/>
        <v>6.3293056835637485</v>
      </c>
      <c r="E18" s="163"/>
    </row>
    <row r="19" spans="1:5" ht="14.1" customHeight="1" x14ac:dyDescent="0.2">
      <c r="A19" s="284" t="s">
        <v>117</v>
      </c>
      <c r="B19" s="285">
        <f>SUM('- 29 -'!$B19,'- 29 -'!$D19,'- 30 -'!$D19)</f>
        <v>2832449</v>
      </c>
      <c r="C19" s="285">
        <v>669377</v>
      </c>
      <c r="D19" s="361">
        <f t="shared" ca="1" si="0"/>
        <v>4.2314704568576449</v>
      </c>
      <c r="E19" s="163"/>
    </row>
    <row r="20" spans="1:5" ht="14.1" customHeight="1" x14ac:dyDescent="0.2">
      <c r="A20" s="19" t="s">
        <v>118</v>
      </c>
      <c r="B20" s="20">
        <f>SUM('- 29 -'!$B20,'- 29 -'!$D20,'- 30 -'!$D20)</f>
        <v>3347233</v>
      </c>
      <c r="C20" s="20">
        <v>1081406</v>
      </c>
      <c r="D20" s="362">
        <f t="shared" ca="1" si="0"/>
        <v>3.0952602445335056</v>
      </c>
      <c r="E20" s="163"/>
    </row>
    <row r="21" spans="1:5" ht="14.1" customHeight="1" x14ac:dyDescent="0.2">
      <c r="A21" s="284" t="s">
        <v>119</v>
      </c>
      <c r="B21" s="285">
        <f>SUM('- 29 -'!$B21,'- 29 -'!$D21,'- 30 -'!$D21)</f>
        <v>1849640</v>
      </c>
      <c r="C21" s="285">
        <v>577802</v>
      </c>
      <c r="D21" s="361">
        <f t="shared" ca="1" si="0"/>
        <v>3.2011657972800371</v>
      </c>
      <c r="E21" s="163"/>
    </row>
    <row r="22" spans="1:5" ht="14.1" customHeight="1" x14ac:dyDescent="0.2">
      <c r="A22" s="19" t="s">
        <v>120</v>
      </c>
      <c r="B22" s="20">
        <f>SUM('- 29 -'!$B22,'- 29 -'!$D22,'- 30 -'!$D22)</f>
        <v>500991</v>
      </c>
      <c r="C22" s="20">
        <v>120229</v>
      </c>
      <c r="D22" s="362">
        <f t="shared" ca="1" si="0"/>
        <v>4.1669730264744782</v>
      </c>
      <c r="E22" s="163"/>
    </row>
    <row r="23" spans="1:5" ht="14.1" customHeight="1" x14ac:dyDescent="0.2">
      <c r="A23" s="284" t="s">
        <v>121</v>
      </c>
      <c r="B23" s="285">
        <f>SUM('- 29 -'!$B23,'- 29 -'!$D23,'- 30 -'!$D23)</f>
        <v>1374114</v>
      </c>
      <c r="C23" s="285">
        <v>608674</v>
      </c>
      <c r="D23" s="361">
        <f t="shared" ca="1" si="0"/>
        <v>2.2575533043961133</v>
      </c>
      <c r="E23" s="163"/>
    </row>
    <row r="24" spans="1:5" ht="14.1" customHeight="1" x14ac:dyDescent="0.2">
      <c r="A24" s="19" t="s">
        <v>122</v>
      </c>
      <c r="B24" s="20">
        <f>SUM('- 29 -'!$B24,'- 29 -'!$D24,'- 30 -'!$D24)</f>
        <v>2301233</v>
      </c>
      <c r="C24" s="20">
        <v>704533</v>
      </c>
      <c r="D24" s="362">
        <f t="shared" ca="1" si="0"/>
        <v>3.2663239337263121</v>
      </c>
      <c r="E24" s="163"/>
    </row>
    <row r="25" spans="1:5" ht="14.1" customHeight="1" x14ac:dyDescent="0.2">
      <c r="A25" s="284" t="s">
        <v>123</v>
      </c>
      <c r="B25" s="285">
        <f>SUM('- 29 -'!$B25,'- 29 -'!$D25,'- 30 -'!$D25)</f>
        <v>3844710</v>
      </c>
      <c r="C25" s="285">
        <v>740746</v>
      </c>
      <c r="D25" s="361">
        <f t="shared" ca="1" si="0"/>
        <v>5.190321648716294</v>
      </c>
      <c r="E25" s="163"/>
    </row>
    <row r="26" spans="1:5" ht="14.1" customHeight="1" x14ac:dyDescent="0.2">
      <c r="A26" s="19" t="s">
        <v>124</v>
      </c>
      <c r="B26" s="20">
        <f>SUM('- 29 -'!$B26,'- 29 -'!$D26,'- 30 -'!$D26)</f>
        <v>2619632</v>
      </c>
      <c r="C26" s="20">
        <v>1423897</v>
      </c>
      <c r="D26" s="362">
        <f t="shared" ca="1" si="0"/>
        <v>1.8397622861765985</v>
      </c>
      <c r="E26" s="163"/>
    </row>
    <row r="27" spans="1:5" ht="14.1" customHeight="1" x14ac:dyDescent="0.2">
      <c r="A27" s="284" t="s">
        <v>125</v>
      </c>
      <c r="B27" s="285">
        <f>SUM('- 29 -'!$B27,'- 29 -'!$D27,'- 30 -'!$D27)</f>
        <v>75844</v>
      </c>
      <c r="C27" s="366" t="s">
        <v>95</v>
      </c>
      <c r="D27" s="363" t="str">
        <f t="shared" ca="1" si="0"/>
        <v/>
      </c>
      <c r="E27" s="163"/>
    </row>
    <row r="28" spans="1:5" ht="14.1" customHeight="1" x14ac:dyDescent="0.2">
      <c r="A28" s="19" t="s">
        <v>126</v>
      </c>
      <c r="B28" s="20">
        <f>SUM('- 29 -'!$B28,'- 29 -'!$D28,'- 30 -'!$D28)</f>
        <v>1599619</v>
      </c>
      <c r="C28" s="20">
        <v>674668</v>
      </c>
      <c r="D28" s="362">
        <f t="shared" ca="1" si="0"/>
        <v>2.3709720929405278</v>
      </c>
      <c r="E28" s="163"/>
    </row>
    <row r="29" spans="1:5" ht="14.1" customHeight="1" x14ac:dyDescent="0.2">
      <c r="A29" s="284" t="s">
        <v>127</v>
      </c>
      <c r="B29" s="285">
        <f>SUM('- 29 -'!$B29,'- 29 -'!$D29,'- 30 -'!$D29)</f>
        <v>2912992</v>
      </c>
      <c r="C29" s="285">
        <v>539690</v>
      </c>
      <c r="D29" s="361">
        <f t="shared" ca="1" si="0"/>
        <v>5.3975282106394413</v>
      </c>
      <c r="E29" s="163"/>
    </row>
    <row r="30" spans="1:5" ht="14.1" customHeight="1" x14ac:dyDescent="0.2">
      <c r="A30" s="19" t="s">
        <v>128</v>
      </c>
      <c r="B30" s="20">
        <f>SUM('- 29 -'!$B30,'- 29 -'!$D30,'- 30 -'!$D30)</f>
        <v>1019705</v>
      </c>
      <c r="C30" s="20">
        <v>496877</v>
      </c>
      <c r="D30" s="362">
        <f t="shared" ca="1" si="0"/>
        <v>2.0522282174461686</v>
      </c>
      <c r="E30" s="163"/>
    </row>
    <row r="31" spans="1:5" ht="14.1" customHeight="1" x14ac:dyDescent="0.2">
      <c r="A31" s="284" t="s">
        <v>129</v>
      </c>
      <c r="B31" s="285">
        <f>SUM('- 29 -'!$B31,'- 29 -'!$D31,'- 30 -'!$D31)</f>
        <v>982567</v>
      </c>
      <c r="C31" s="285">
        <v>367909</v>
      </c>
      <c r="D31" s="361">
        <f t="shared" ca="1" si="0"/>
        <v>2.670679434316638</v>
      </c>
      <c r="E31" s="163"/>
    </row>
    <row r="32" spans="1:5" ht="14.1" customHeight="1" x14ac:dyDescent="0.2">
      <c r="A32" s="19" t="s">
        <v>130</v>
      </c>
      <c r="B32" s="20">
        <f>SUM('- 29 -'!$B32,'- 29 -'!$D32,'- 30 -'!$D32)</f>
        <v>1924268</v>
      </c>
      <c r="C32" s="20">
        <v>704905</v>
      </c>
      <c r="D32" s="362">
        <f t="shared" ca="1" si="0"/>
        <v>2.729826004922649</v>
      </c>
      <c r="E32" s="163"/>
    </row>
    <row r="33" spans="1:5" ht="14.1" customHeight="1" x14ac:dyDescent="0.2">
      <c r="A33" s="284" t="s">
        <v>131</v>
      </c>
      <c r="B33" s="285">
        <f>SUM('- 29 -'!$B33,'- 29 -'!$D33,'- 30 -'!$D33)</f>
        <v>2033272</v>
      </c>
      <c r="C33" s="285">
        <v>997392</v>
      </c>
      <c r="D33" s="361">
        <f t="shared" ca="1" si="0"/>
        <v>2.0385886391709578</v>
      </c>
      <c r="E33" s="163"/>
    </row>
    <row r="34" spans="1:5" ht="14.1" customHeight="1" x14ac:dyDescent="0.2">
      <c r="A34" s="19" t="s">
        <v>132</v>
      </c>
      <c r="B34" s="20">
        <f>SUM('- 29 -'!$B34,'- 29 -'!$D34,'- 30 -'!$D34)</f>
        <v>2319051</v>
      </c>
      <c r="C34" s="20">
        <v>744165</v>
      </c>
      <c r="D34" s="362">
        <f t="shared" ca="1" si="0"/>
        <v>3.1163129144746127</v>
      </c>
      <c r="E34" s="163"/>
    </row>
    <row r="35" spans="1:5" ht="14.1" customHeight="1" x14ac:dyDescent="0.2">
      <c r="A35" s="284" t="s">
        <v>133</v>
      </c>
      <c r="B35" s="285">
        <f>SUM('- 29 -'!$B35,'- 29 -'!$D35,'- 30 -'!$D35)</f>
        <v>3926123</v>
      </c>
      <c r="C35" s="285">
        <v>810796</v>
      </c>
      <c r="D35" s="361">
        <f t="shared" ca="1" si="0"/>
        <v>4.8423068194712355</v>
      </c>
      <c r="E35" s="163"/>
    </row>
    <row r="36" spans="1:5" ht="14.1" customHeight="1" x14ac:dyDescent="0.2">
      <c r="A36" s="19" t="s">
        <v>134</v>
      </c>
      <c r="B36" s="20">
        <f>SUM('- 29 -'!$B36,'- 29 -'!$D36,'- 30 -'!$D36)</f>
        <v>1409906</v>
      </c>
      <c r="C36" s="20">
        <v>544763</v>
      </c>
      <c r="D36" s="362">
        <f t="shared" ca="1" si="0"/>
        <v>2.5881089574732496</v>
      </c>
      <c r="E36" s="163"/>
    </row>
    <row r="37" spans="1:5" ht="14.1" customHeight="1" x14ac:dyDescent="0.2">
      <c r="A37" s="284" t="s">
        <v>135</v>
      </c>
      <c r="B37" s="285">
        <f>SUM('- 29 -'!$B37,'- 29 -'!$D37,'- 30 -'!$D37)</f>
        <v>2927870</v>
      </c>
      <c r="C37" s="285">
        <v>1413796</v>
      </c>
      <c r="D37" s="361">
        <f t="shared" ca="1" si="0"/>
        <v>2.0709281961471104</v>
      </c>
      <c r="E37" s="163"/>
    </row>
    <row r="38" spans="1:5" ht="14.1" customHeight="1" x14ac:dyDescent="0.2">
      <c r="A38" s="19" t="s">
        <v>136</v>
      </c>
      <c r="B38" s="20">
        <f>SUM('- 29 -'!$B38,'- 29 -'!$D38,'- 30 -'!$D38)</f>
        <v>3587693</v>
      </c>
      <c r="C38" s="20">
        <v>1111273</v>
      </c>
      <c r="D38" s="362">
        <f t="shared" ca="1" si="0"/>
        <v>3.228453314352099</v>
      </c>
      <c r="E38" s="163"/>
    </row>
    <row r="39" spans="1:5" ht="14.1" customHeight="1" x14ac:dyDescent="0.2">
      <c r="A39" s="284" t="s">
        <v>137</v>
      </c>
      <c r="B39" s="285">
        <f>SUM('- 29 -'!$B39,'- 29 -'!$D39,'- 30 -'!$D39)</f>
        <v>1631367</v>
      </c>
      <c r="C39" s="285">
        <v>662782</v>
      </c>
      <c r="D39" s="361">
        <f t="shared" ca="1" si="0"/>
        <v>2.4613930372279271</v>
      </c>
      <c r="E39" s="163"/>
    </row>
    <row r="40" spans="1:5" ht="14.1" customHeight="1" x14ac:dyDescent="0.2">
      <c r="A40" s="19" t="s">
        <v>138</v>
      </c>
      <c r="B40" s="20">
        <f>SUM('- 29 -'!$B40,'- 29 -'!$D40,'- 30 -'!$D40)</f>
        <v>1945825</v>
      </c>
      <c r="C40" s="20">
        <v>423553</v>
      </c>
      <c r="D40" s="362">
        <f t="shared" ca="1" si="0"/>
        <v>4.5940531645390301</v>
      </c>
      <c r="E40" s="163"/>
    </row>
    <row r="41" spans="1:5" ht="14.1" customHeight="1" x14ac:dyDescent="0.2">
      <c r="A41" s="284" t="s">
        <v>139</v>
      </c>
      <c r="B41" s="285">
        <f>SUM('- 29 -'!$B41,'- 29 -'!$D41,'- 30 -'!$D41)</f>
        <v>4537509</v>
      </c>
      <c r="C41" s="285">
        <v>1572778</v>
      </c>
      <c r="D41" s="361">
        <f t="shared" ca="1" si="0"/>
        <v>2.885028274810558</v>
      </c>
      <c r="E41" s="163"/>
    </row>
    <row r="42" spans="1:5" ht="14.1" customHeight="1" x14ac:dyDescent="0.2">
      <c r="A42" s="19" t="s">
        <v>140</v>
      </c>
      <c r="B42" s="20">
        <f>SUM('- 29 -'!$B42,'- 29 -'!$D42,'- 30 -'!$D42)</f>
        <v>1439338</v>
      </c>
      <c r="C42" s="20">
        <v>435601</v>
      </c>
      <c r="D42" s="362">
        <f t="shared" ca="1" si="0"/>
        <v>3.3042577955514334</v>
      </c>
      <c r="E42" s="163"/>
    </row>
    <row r="43" spans="1:5" ht="14.1" customHeight="1" x14ac:dyDescent="0.2">
      <c r="A43" s="284" t="s">
        <v>141</v>
      </c>
      <c r="B43" s="285">
        <f>SUM('- 29 -'!$B43,'- 29 -'!$D43,'- 30 -'!$D43)</f>
        <v>938074</v>
      </c>
      <c r="C43" s="285">
        <v>353943</v>
      </c>
      <c r="D43" s="361">
        <f t="shared" ca="1" si="0"/>
        <v>2.6503533054757407</v>
      </c>
      <c r="E43" s="163"/>
    </row>
    <row r="44" spans="1:5" ht="14.1" customHeight="1" x14ac:dyDescent="0.2">
      <c r="A44" s="19" t="s">
        <v>142</v>
      </c>
      <c r="B44" s="20">
        <f>SUM('- 29 -'!$B44,'- 29 -'!$D44,'- 30 -'!$D44)</f>
        <v>880096</v>
      </c>
      <c r="C44" s="20">
        <v>477971</v>
      </c>
      <c r="D44" s="362">
        <f t="shared" ca="1" si="0"/>
        <v>1.8413167326051163</v>
      </c>
      <c r="E44" s="163"/>
    </row>
    <row r="45" spans="1:5" ht="14.1" customHeight="1" x14ac:dyDescent="0.2">
      <c r="A45" s="284" t="s">
        <v>143</v>
      </c>
      <c r="B45" s="285">
        <f>SUM('- 29 -'!$B45,'- 29 -'!$D45,'- 30 -'!$D45)</f>
        <v>657222</v>
      </c>
      <c r="C45" s="285">
        <v>208590</v>
      </c>
      <c r="D45" s="361">
        <f t="shared" ca="1" si="0"/>
        <v>3.1507838343161225</v>
      </c>
      <c r="E45" s="163"/>
    </row>
    <row r="46" spans="1:5" ht="14.1" customHeight="1" x14ac:dyDescent="0.2">
      <c r="A46" s="19" t="s">
        <v>144</v>
      </c>
      <c r="B46" s="20">
        <f>SUM('- 29 -'!$B46,'- 29 -'!$D46,'- 30 -'!$D46)</f>
        <v>6693371</v>
      </c>
      <c r="C46" s="20">
        <v>748511</v>
      </c>
      <c r="D46" s="362">
        <f t="shared" ca="1" si="0"/>
        <v>8.9422480097152874</v>
      </c>
      <c r="E46" s="163"/>
    </row>
    <row r="47" spans="1:5" ht="5.0999999999999996" customHeight="1" x14ac:dyDescent="0.2">
      <c r="A47"/>
      <c r="B47" s="22"/>
      <c r="C47" s="367"/>
      <c r="D47" s="364"/>
      <c r="E47" s="163"/>
    </row>
    <row r="48" spans="1:5" ht="14.1" customHeight="1" x14ac:dyDescent="0.2">
      <c r="A48" s="286" t="s">
        <v>145</v>
      </c>
      <c r="B48" s="287">
        <f>SUM(B11:B46)</f>
        <v>85933768</v>
      </c>
      <c r="C48" s="287">
        <f>SUM(C11:C46)</f>
        <v>24219123.574803151</v>
      </c>
      <c r="D48" s="365">
        <f>B48/C48</f>
        <v>3.5481782705548812</v>
      </c>
      <c r="E48" s="163"/>
    </row>
    <row r="49" spans="1:5" ht="5.0999999999999996" customHeight="1" x14ac:dyDescent="0.2">
      <c r="A49" s="21" t="s">
        <v>7</v>
      </c>
      <c r="B49" s="22"/>
      <c r="C49" s="367"/>
      <c r="D49" s="364"/>
    </row>
    <row r="50" spans="1:5" ht="14.1" customHeight="1" x14ac:dyDescent="0.2">
      <c r="A50" s="19" t="s">
        <v>146</v>
      </c>
      <c r="B50" s="20">
        <f>SUM('- 29 -'!$B50,'- 29 -'!$D50,'- 30 -'!$D50)</f>
        <v>57220</v>
      </c>
      <c r="C50" s="37" t="s">
        <v>95</v>
      </c>
      <c r="D50" s="362" t="str">
        <f ca="1">IF(AND(CELL("type",C50)="v",C50&gt;0),B50/C50,"")</f>
        <v/>
      </c>
      <c r="E50" s="163"/>
    </row>
    <row r="51" spans="1:5" ht="14.1" customHeight="1" x14ac:dyDescent="0.2">
      <c r="A51" s="284" t="s">
        <v>599</v>
      </c>
      <c r="B51" s="285">
        <f>SUM('- 29 -'!$B51,'- 29 -'!$D51,'- 30 -'!$D51)</f>
        <v>0</v>
      </c>
      <c r="C51" s="285">
        <v>0</v>
      </c>
      <c r="D51" s="361" t="str">
        <f ca="1">IF(AND(CELL("type",C51)="v",C51&gt;0),B51/C51,"")</f>
        <v/>
      </c>
      <c r="E51" s="163"/>
    </row>
    <row r="52" spans="1:5" ht="50.1" customHeight="1" x14ac:dyDescent="0.2"/>
  </sheetData>
  <mergeCells count="3">
    <mergeCell ref="C8:C9"/>
    <mergeCell ref="D8:D9"/>
    <mergeCell ref="B6:D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I54"/>
  <sheetViews>
    <sheetView showGridLines="0" showZeros="0" workbookViewId="0"/>
  </sheetViews>
  <sheetFormatPr defaultColWidth="15.83203125" defaultRowHeight="12" x14ac:dyDescent="0.2"/>
  <cols>
    <col min="1" max="1" width="32.83203125" style="2" customWidth="1"/>
    <col min="2" max="2" width="18.83203125" style="2" customWidth="1"/>
    <col min="3" max="3" width="15.83203125" style="2"/>
    <col min="4" max="4" width="15.83203125" style="2" customWidth="1"/>
    <col min="5" max="5" width="15.83203125" style="2"/>
    <col min="6" max="6" width="17.83203125" style="2" customWidth="1"/>
    <col min="7" max="8" width="15.83203125" style="2"/>
    <col min="9" max="9" width="0" style="2" hidden="1" customWidth="1"/>
    <col min="10" max="16384" width="15.83203125" style="2"/>
  </cols>
  <sheetData>
    <row r="1" spans="1:9" ht="6.95" customHeight="1" x14ac:dyDescent="0.2">
      <c r="A1" s="7"/>
      <c r="B1" s="8"/>
      <c r="C1" s="8"/>
      <c r="D1" s="8"/>
      <c r="E1" s="8"/>
      <c r="F1" s="8"/>
    </row>
    <row r="2" spans="1:9" ht="15.95" customHeight="1" x14ac:dyDescent="0.2">
      <c r="A2" s="9" t="s">
        <v>262</v>
      </c>
      <c r="B2" s="143"/>
      <c r="C2" s="158"/>
      <c r="D2" s="10"/>
      <c r="E2" s="10"/>
      <c r="F2" s="10"/>
      <c r="G2" s="10"/>
    </row>
    <row r="3" spans="1:9" ht="15.95" customHeight="1" x14ac:dyDescent="0.2">
      <c r="A3" s="11" t="str">
        <f>OPYEAR</f>
        <v>OPERATING FUND 2019/2020 ACTUAL</v>
      </c>
      <c r="B3" s="11"/>
      <c r="C3" s="159"/>
      <c r="D3" s="12"/>
      <c r="E3" s="12"/>
      <c r="F3" s="12"/>
      <c r="G3" s="12"/>
    </row>
    <row r="4" spans="1:9" ht="15.95" customHeight="1" x14ac:dyDescent="0.2">
      <c r="B4" s="8"/>
      <c r="C4" s="8"/>
      <c r="D4" s="69"/>
      <c r="E4" s="8"/>
      <c r="F4" s="8"/>
    </row>
    <row r="5" spans="1:9" ht="15.95" customHeight="1" x14ac:dyDescent="0.2">
      <c r="B5" s="8"/>
      <c r="C5" s="8"/>
      <c r="D5" s="8"/>
      <c r="E5" s="8"/>
      <c r="F5" s="8"/>
    </row>
    <row r="6" spans="1:9" ht="15.95" customHeight="1" x14ac:dyDescent="0.2">
      <c r="B6" s="368"/>
      <c r="C6" s="369"/>
      <c r="D6" s="370"/>
      <c r="E6" s="371"/>
      <c r="F6" s="709" t="s">
        <v>506</v>
      </c>
      <c r="G6" s="710"/>
    </row>
    <row r="7" spans="1:9" ht="15.95" customHeight="1" x14ac:dyDescent="0.2">
      <c r="B7" s="706" t="s">
        <v>29</v>
      </c>
      <c r="C7" s="707"/>
      <c r="D7" s="707"/>
      <c r="E7" s="708"/>
      <c r="F7" s="711"/>
      <c r="G7" s="712"/>
      <c r="I7" s="4" t="s">
        <v>31</v>
      </c>
    </row>
    <row r="8" spans="1:9" ht="15.95" customHeight="1" x14ac:dyDescent="0.2">
      <c r="A8" s="67"/>
      <c r="B8" s="76" t="s">
        <v>7</v>
      </c>
      <c r="C8" s="602" t="s">
        <v>507</v>
      </c>
      <c r="D8" s="602" t="s">
        <v>508</v>
      </c>
      <c r="E8" s="602" t="s">
        <v>509</v>
      </c>
      <c r="F8" s="76" t="s">
        <v>7</v>
      </c>
      <c r="G8" s="602" t="s">
        <v>510</v>
      </c>
      <c r="I8" s="4" t="s">
        <v>41</v>
      </c>
    </row>
    <row r="9" spans="1:9" ht="15.95" customHeight="1" x14ac:dyDescent="0.2">
      <c r="A9" s="35" t="s">
        <v>42</v>
      </c>
      <c r="B9" s="77" t="s">
        <v>43</v>
      </c>
      <c r="C9" s="609"/>
      <c r="D9" s="604"/>
      <c r="E9" s="604"/>
      <c r="F9" s="77" t="s">
        <v>43</v>
      </c>
      <c r="G9" s="604"/>
      <c r="I9" s="415" t="str">
        <f>+Data!AB9</f>
        <v>Sept. 30 / 19</v>
      </c>
    </row>
    <row r="10" spans="1:9" ht="5.0999999999999996" customHeight="1" x14ac:dyDescent="0.2">
      <c r="A10" s="6"/>
    </row>
    <row r="11" spans="1:9" ht="14.1" customHeight="1" x14ac:dyDescent="0.2">
      <c r="A11" s="284" t="s">
        <v>110</v>
      </c>
      <c r="B11" s="285">
        <f>'- 31 -'!D11</f>
        <v>1667989</v>
      </c>
      <c r="C11" s="285">
        <f>B11/'- 7 -'!E11</f>
        <v>842.4186868686869</v>
      </c>
      <c r="D11" s="361">
        <f>B11/I11</f>
        <v>6.0136967533755161</v>
      </c>
      <c r="E11" s="285">
        <f>I11/'- 7 -'!E11</f>
        <v>140.08333333333334</v>
      </c>
      <c r="F11" s="285">
        <f>'- 31 -'!F11</f>
        <v>209388</v>
      </c>
      <c r="G11" s="361">
        <f>F11/I11</f>
        <v>0.75491860905305286</v>
      </c>
      <c r="I11" s="2">
        <f>+Data!AB11</f>
        <v>277365</v>
      </c>
    </row>
    <row r="12" spans="1:9" ht="14.1" customHeight="1" x14ac:dyDescent="0.2">
      <c r="A12" s="19" t="s">
        <v>111</v>
      </c>
      <c r="B12" s="20">
        <f>'- 31 -'!D12</f>
        <v>2739261</v>
      </c>
      <c r="C12" s="20">
        <f>B12/'- 7 -'!E12</f>
        <v>1259.2219218887908</v>
      </c>
      <c r="D12" s="362">
        <f t="shared" ref="D12:D46" si="0">B12/I12</f>
        <v>6.7052469249127959</v>
      </c>
      <c r="E12" s="20">
        <f>I12/'- 7 -'!E12</f>
        <v>187.7965026478376</v>
      </c>
      <c r="F12" s="20">
        <f>'- 31 -'!F12</f>
        <v>297492</v>
      </c>
      <c r="G12" s="362">
        <f t="shared" ref="G12:G48" si="1">F12/I12</f>
        <v>0.72821002386634848</v>
      </c>
      <c r="I12" s="2">
        <f>+Data!AB12</f>
        <v>408525</v>
      </c>
    </row>
    <row r="13" spans="1:9" ht="14.1" customHeight="1" x14ac:dyDescent="0.2">
      <c r="A13" s="284" t="s">
        <v>112</v>
      </c>
      <c r="B13" s="285">
        <f>'- 31 -'!D13</f>
        <v>6930894</v>
      </c>
      <c r="C13" s="285">
        <f>B13/'- 7 -'!E13</f>
        <v>800.33418013856817</v>
      </c>
      <c r="D13" s="361">
        <f t="shared" si="0"/>
        <v>6.5261303438158533</v>
      </c>
      <c r="E13" s="285">
        <f>I13/'- 7 -'!E13</f>
        <v>122.63533487297921</v>
      </c>
      <c r="F13" s="285">
        <f>'- 31 -'!F13</f>
        <v>749059</v>
      </c>
      <c r="G13" s="361">
        <f t="shared" si="1"/>
        <v>0.70531401421062845</v>
      </c>
      <c r="I13" s="2">
        <f>+Data!AB13</f>
        <v>1062022</v>
      </c>
    </row>
    <row r="14" spans="1:9" ht="14.1" customHeight="1" x14ac:dyDescent="0.2">
      <c r="A14" s="19" t="s">
        <v>358</v>
      </c>
      <c r="B14" s="20">
        <f>'- 31 -'!D14</f>
        <v>8467911</v>
      </c>
      <c r="C14" s="37">
        <f>B14/'- 7 -'!E14</f>
        <v>1530.0172372671886</v>
      </c>
      <c r="D14" s="362">
        <f t="shared" si="0"/>
        <v>8.2336072388053179</v>
      </c>
      <c r="E14" s="37">
        <f>I14/'- 7 -'!E14</f>
        <v>185.82587107825071</v>
      </c>
      <c r="F14" s="37">
        <f>'- 31 -'!F14</f>
        <v>737354</v>
      </c>
      <c r="G14" s="362">
        <f t="shared" si="1"/>
        <v>0.71695170532166153</v>
      </c>
      <c r="I14" s="2">
        <f>+Data!AB14</f>
        <v>1028457</v>
      </c>
    </row>
    <row r="15" spans="1:9" ht="14.1" customHeight="1" x14ac:dyDescent="0.2">
      <c r="A15" s="284" t="s">
        <v>113</v>
      </c>
      <c r="B15" s="285">
        <f>'- 31 -'!D15</f>
        <v>2097126</v>
      </c>
      <c r="C15" s="285">
        <f>B15/'- 7 -'!E15</f>
        <v>1440.8285812435588</v>
      </c>
      <c r="D15" s="361">
        <f t="shared" si="0"/>
        <v>7.2003337293221721</v>
      </c>
      <c r="E15" s="285">
        <f>I15/'- 7 -'!E15</f>
        <v>200.10580556509791</v>
      </c>
      <c r="F15" s="285">
        <f>'- 31 -'!F15</f>
        <v>149752</v>
      </c>
      <c r="G15" s="361">
        <f t="shared" si="1"/>
        <v>0.51416289561688422</v>
      </c>
      <c r="I15" s="2">
        <f>+Data!AB15</f>
        <v>291254</v>
      </c>
    </row>
    <row r="16" spans="1:9" ht="14.1" customHeight="1" x14ac:dyDescent="0.2">
      <c r="A16" s="19" t="s">
        <v>114</v>
      </c>
      <c r="B16" s="20">
        <f>'- 31 -'!D16</f>
        <v>1968516</v>
      </c>
      <c r="C16" s="20">
        <f>B16/'- 7 -'!E16</f>
        <v>2162.9667069552797</v>
      </c>
      <c r="D16" s="362">
        <f t="shared" si="0"/>
        <v>9.3852821282986483</v>
      </c>
      <c r="E16" s="20">
        <f>I16/'- 7 -'!E16</f>
        <v>230.46368530930667</v>
      </c>
      <c r="F16" s="20">
        <f>'- 31 -'!F16</f>
        <v>100290</v>
      </c>
      <c r="G16" s="362">
        <f t="shared" si="1"/>
        <v>0.47815204176500037</v>
      </c>
      <c r="I16" s="2">
        <f>+Data!AB16</f>
        <v>209745</v>
      </c>
    </row>
    <row r="17" spans="1:9" ht="14.1" customHeight="1" x14ac:dyDescent="0.2">
      <c r="A17" s="284" t="s">
        <v>115</v>
      </c>
      <c r="B17" s="285">
        <f>'- 31 -'!D17</f>
        <v>1514207</v>
      </c>
      <c r="C17" s="285">
        <f>B17/'- 7 -'!E17</f>
        <v>1059.256383350822</v>
      </c>
      <c r="D17" s="361">
        <f t="shared" si="0"/>
        <v>5.7548371649329768</v>
      </c>
      <c r="E17" s="285">
        <f>I17/'- 7 -'!E17</f>
        <v>184.06365862189577</v>
      </c>
      <c r="F17" s="285">
        <f>'- 31 -'!F17</f>
        <v>69482</v>
      </c>
      <c r="G17" s="361">
        <f t="shared" si="1"/>
        <v>0.26407062963906064</v>
      </c>
      <c r="I17" s="2">
        <f>+Data!AB17</f>
        <v>263119</v>
      </c>
    </row>
    <row r="18" spans="1:9" ht="14.1" customHeight="1" x14ac:dyDescent="0.2">
      <c r="A18" s="19" t="s">
        <v>116</v>
      </c>
      <c r="B18" s="20">
        <f>'- 31 -'!D18</f>
        <v>17619611</v>
      </c>
      <c r="C18" s="20">
        <f>B18/'- 7 -'!E18</f>
        <v>2958.047679006128</v>
      </c>
      <c r="D18" s="362">
        <f>B18/I18</f>
        <v>12.031645565298383</v>
      </c>
      <c r="E18" s="20">
        <f>I18/'- 7 -'!E18</f>
        <v>245.85561991102156</v>
      </c>
      <c r="F18" s="20">
        <f>'- 31 -'!F18</f>
        <v>1884788</v>
      </c>
      <c r="G18" s="362">
        <f>F18/I18</f>
        <v>1.287037561824016</v>
      </c>
      <c r="I18" s="2">
        <f>+Data!AB18</f>
        <v>1464439</v>
      </c>
    </row>
    <row r="19" spans="1:9" ht="14.1" customHeight="1" x14ac:dyDescent="0.2">
      <c r="A19" s="284" t="s">
        <v>117</v>
      </c>
      <c r="B19" s="285">
        <f>'- 31 -'!D19</f>
        <v>4280271</v>
      </c>
      <c r="C19" s="285">
        <f>B19/'- 7 -'!E19</f>
        <v>971.83911177712685</v>
      </c>
      <c r="D19" s="361">
        <f t="shared" si="0"/>
        <v>5.9375308648825609</v>
      </c>
      <c r="E19" s="285">
        <f>I19/'- 7 -'!E19</f>
        <v>163.67731535090707</v>
      </c>
      <c r="F19" s="285">
        <f>'- 31 -'!F19</f>
        <v>154481</v>
      </c>
      <c r="G19" s="361">
        <f t="shared" si="1"/>
        <v>0.21429383923072229</v>
      </c>
      <c r="I19" s="2">
        <f>+Data!AB19</f>
        <v>720884</v>
      </c>
    </row>
    <row r="20" spans="1:9" ht="14.1" customHeight="1" x14ac:dyDescent="0.2">
      <c r="A20" s="19" t="s">
        <v>118</v>
      </c>
      <c r="B20" s="20">
        <f>'- 31 -'!D20</f>
        <v>7368339</v>
      </c>
      <c r="C20" s="20">
        <f>B20/'- 7 -'!E20</f>
        <v>918.68823639423977</v>
      </c>
      <c r="D20" s="362">
        <f t="shared" si="0"/>
        <v>6.5469402370402223</v>
      </c>
      <c r="E20" s="20">
        <f>I20/'- 7 -'!E20</f>
        <v>140.323296552584</v>
      </c>
      <c r="F20" s="20">
        <f>'- 31 -'!F20</f>
        <v>975157</v>
      </c>
      <c r="G20" s="362">
        <f t="shared" si="1"/>
        <v>0.86644963006336062</v>
      </c>
      <c r="I20" s="2">
        <f>+Data!AB20</f>
        <v>1125463</v>
      </c>
    </row>
    <row r="21" spans="1:9" ht="14.1" customHeight="1" x14ac:dyDescent="0.2">
      <c r="A21" s="284" t="s">
        <v>119</v>
      </c>
      <c r="B21" s="285">
        <f>'- 31 -'!D21</f>
        <v>2953039</v>
      </c>
      <c r="C21" s="285">
        <f>B21/'- 7 -'!E21</f>
        <v>1046.0641161884521</v>
      </c>
      <c r="D21" s="361">
        <f t="shared" si="0"/>
        <v>6.4297978984222928</v>
      </c>
      <c r="E21" s="285">
        <f>I21/'- 7 -'!E21</f>
        <v>162.69004605030111</v>
      </c>
      <c r="F21" s="285">
        <f>'- 31 -'!F21</f>
        <v>404621</v>
      </c>
      <c r="G21" s="361">
        <f t="shared" si="1"/>
        <v>0.88100131947377813</v>
      </c>
      <c r="I21" s="2">
        <f>+Data!AB21</f>
        <v>459274</v>
      </c>
    </row>
    <row r="22" spans="1:9" ht="14.1" customHeight="1" x14ac:dyDescent="0.2">
      <c r="A22" s="19" t="s">
        <v>120</v>
      </c>
      <c r="B22" s="20">
        <f>'- 31 -'!D22</f>
        <v>2317647</v>
      </c>
      <c r="C22" s="20">
        <f>B22/'- 7 -'!E22</f>
        <v>1509.8677524429968</v>
      </c>
      <c r="D22" s="362">
        <f t="shared" si="0"/>
        <v>6.7988518222994063</v>
      </c>
      <c r="E22" s="20">
        <f>I22/'- 7 -'!E22</f>
        <v>222.07687296416938</v>
      </c>
      <c r="F22" s="20">
        <f>'- 31 -'!F22</f>
        <v>93331</v>
      </c>
      <c r="G22" s="362">
        <f t="shared" si="1"/>
        <v>0.27378787167632773</v>
      </c>
      <c r="I22" s="2">
        <f>+Data!AB22</f>
        <v>340888</v>
      </c>
    </row>
    <row r="23" spans="1:9" ht="14.1" customHeight="1" x14ac:dyDescent="0.2">
      <c r="A23" s="284" t="s">
        <v>121</v>
      </c>
      <c r="B23" s="285">
        <f>'- 31 -'!D23</f>
        <v>1286629</v>
      </c>
      <c r="C23" s="285">
        <f>B23/'- 7 -'!E23</f>
        <v>1370.5038346825736</v>
      </c>
      <c r="D23" s="361">
        <f t="shared" si="0"/>
        <v>5.5159524299482117</v>
      </c>
      <c r="E23" s="285">
        <f>I23/'- 7 -'!E23</f>
        <v>248.46186621218578</v>
      </c>
      <c r="F23" s="285">
        <f>'- 31 -'!F23</f>
        <v>136895</v>
      </c>
      <c r="G23" s="361">
        <f t="shared" si="1"/>
        <v>0.58688736838495048</v>
      </c>
      <c r="I23" s="2">
        <f>+Data!AB23</f>
        <v>233256</v>
      </c>
    </row>
    <row r="24" spans="1:9" ht="14.1" customHeight="1" x14ac:dyDescent="0.2">
      <c r="A24" s="19" t="s">
        <v>122</v>
      </c>
      <c r="B24" s="20">
        <f>'- 31 -'!D24</f>
        <v>5261777</v>
      </c>
      <c r="C24" s="20">
        <f>B24/'- 7 -'!E24</f>
        <v>1405.2014955267725</v>
      </c>
      <c r="D24" s="362">
        <f t="shared" si="0"/>
        <v>7.3929501256798584</v>
      </c>
      <c r="E24" s="20">
        <f>I24/'- 7 -'!E24</f>
        <v>190.07317398851649</v>
      </c>
      <c r="F24" s="20">
        <f>'- 31 -'!F24</f>
        <v>671873</v>
      </c>
      <c r="G24" s="362">
        <f t="shared" si="1"/>
        <v>0.94400115774402893</v>
      </c>
      <c r="I24" s="2">
        <f>+Data!AB24</f>
        <v>711729</v>
      </c>
    </row>
    <row r="25" spans="1:9" ht="14.1" customHeight="1" x14ac:dyDescent="0.2">
      <c r="A25" s="284" t="s">
        <v>123</v>
      </c>
      <c r="B25" s="285">
        <f>'- 31 -'!D25</f>
        <v>17964908</v>
      </c>
      <c r="C25" s="285">
        <f>B25/'- 7 -'!E25</f>
        <v>1196.7749198926128</v>
      </c>
      <c r="D25" s="361">
        <f t="shared" si="0"/>
        <v>7.7430142267031705</v>
      </c>
      <c r="E25" s="285">
        <f>I25/'- 7 -'!E25</f>
        <v>154.56189086742478</v>
      </c>
      <c r="F25" s="285">
        <f>'- 31 -'!F25</f>
        <v>873346</v>
      </c>
      <c r="G25" s="361">
        <f t="shared" si="1"/>
        <v>0.37641887744898594</v>
      </c>
      <c r="I25" s="2">
        <f>+Data!AB25</f>
        <v>2320144</v>
      </c>
    </row>
    <row r="26" spans="1:9" ht="14.1" customHeight="1" x14ac:dyDescent="0.2">
      <c r="A26" s="19" t="s">
        <v>124</v>
      </c>
      <c r="B26" s="20">
        <f>'- 31 -'!D26</f>
        <v>4203843</v>
      </c>
      <c r="C26" s="20">
        <f>B26/'- 7 -'!E26</f>
        <v>1372.6834285714285</v>
      </c>
      <c r="D26" s="362">
        <f t="shared" si="0"/>
        <v>5.46093351156075</v>
      </c>
      <c r="E26" s="20">
        <f>I26/'- 7 -'!E26</f>
        <v>251.3642448979592</v>
      </c>
      <c r="F26" s="20">
        <f>'- 31 -'!F26</f>
        <v>319913</v>
      </c>
      <c r="G26" s="362">
        <f t="shared" si="1"/>
        <v>0.41557775171050254</v>
      </c>
      <c r="I26" s="2">
        <f>+Data!AB26</f>
        <v>769803</v>
      </c>
    </row>
    <row r="27" spans="1:9" ht="14.1" customHeight="1" x14ac:dyDescent="0.2">
      <c r="A27" s="284" t="s">
        <v>125</v>
      </c>
      <c r="B27" s="285">
        <f>'- 31 -'!D27</f>
        <v>4186083</v>
      </c>
      <c r="C27" s="366">
        <f>B27/'- 7 -'!E27</f>
        <v>1384.9003857529462</v>
      </c>
      <c r="D27" s="363">
        <f t="shared" si="0"/>
        <v>8.9518712803744904</v>
      </c>
      <c r="E27" s="366">
        <f>I27/'- 7 -'!E27</f>
        <v>154.70512727200546</v>
      </c>
      <c r="F27" s="366">
        <f>'- 31 -'!F27</f>
        <v>332049</v>
      </c>
      <c r="G27" s="363">
        <f t="shared" si="1"/>
        <v>0.71008145485339624</v>
      </c>
      <c r="I27" s="2">
        <f>+Data!AB27</f>
        <v>467621</v>
      </c>
    </row>
    <row r="28" spans="1:9" ht="14.1" customHeight="1" x14ac:dyDescent="0.2">
      <c r="A28" s="19" t="s">
        <v>126</v>
      </c>
      <c r="B28" s="20">
        <f>'- 31 -'!D28</f>
        <v>2887968</v>
      </c>
      <c r="C28" s="20">
        <f>B28/'- 7 -'!E28</f>
        <v>1452.7002012072435</v>
      </c>
      <c r="D28" s="362">
        <f t="shared" si="0"/>
        <v>6.5151295708494352</v>
      </c>
      <c r="E28" s="20">
        <f>I28/'- 7 -'!E28</f>
        <v>222.97334004024145</v>
      </c>
      <c r="F28" s="20">
        <f>'- 31 -'!F28</f>
        <v>110780</v>
      </c>
      <c r="G28" s="362">
        <f t="shared" si="1"/>
        <v>0.24991483765010569</v>
      </c>
      <c r="I28" s="2">
        <f>+Data!AB28+Data!AC28</f>
        <v>443271</v>
      </c>
    </row>
    <row r="29" spans="1:9" ht="14.1" customHeight="1" x14ac:dyDescent="0.2">
      <c r="A29" s="284" t="s">
        <v>127</v>
      </c>
      <c r="B29" s="285">
        <f>'- 31 -'!D29</f>
        <v>15157730</v>
      </c>
      <c r="C29" s="285">
        <f>B29/'- 7 -'!E29</f>
        <v>1058.8334322936678</v>
      </c>
      <c r="D29" s="361">
        <f t="shared" si="0"/>
        <v>8.2118064020508754</v>
      </c>
      <c r="E29" s="285">
        <f>I29/'- 7 -'!E29</f>
        <v>128.94037930914044</v>
      </c>
      <c r="F29" s="285">
        <f>'- 31 -'!F29</f>
        <v>2053473</v>
      </c>
      <c r="G29" s="361">
        <f t="shared" si="1"/>
        <v>1.1124833816038824</v>
      </c>
      <c r="I29" s="2">
        <f>+Data!AB29</f>
        <v>1845846</v>
      </c>
    </row>
    <row r="30" spans="1:9" ht="14.1" customHeight="1" x14ac:dyDescent="0.2">
      <c r="A30" s="19" t="s">
        <v>128</v>
      </c>
      <c r="B30" s="20">
        <f>'- 31 -'!D30</f>
        <v>1259465</v>
      </c>
      <c r="C30" s="20">
        <f>B30/'- 7 -'!E30</f>
        <v>1228.1472452462212</v>
      </c>
      <c r="D30" s="362">
        <f t="shared" si="0"/>
        <v>6.0053164858743591</v>
      </c>
      <c r="E30" s="20">
        <f>I30/'- 7 -'!E30</f>
        <v>204.50999512432961</v>
      </c>
      <c r="F30" s="20">
        <f>'- 31 -'!F30</f>
        <v>112435</v>
      </c>
      <c r="G30" s="362">
        <f t="shared" si="1"/>
        <v>0.53610680653236376</v>
      </c>
      <c r="I30" s="2">
        <f>+Data!AB30</f>
        <v>209725</v>
      </c>
    </row>
    <row r="31" spans="1:9" ht="14.1" customHeight="1" x14ac:dyDescent="0.2">
      <c r="A31" s="284" t="s">
        <v>129</v>
      </c>
      <c r="B31" s="285">
        <f>'- 31 -'!D31</f>
        <v>3423659</v>
      </c>
      <c r="C31" s="285">
        <f>B31/'- 7 -'!E31</f>
        <v>1026.8923215356929</v>
      </c>
      <c r="D31" s="361">
        <f t="shared" si="0"/>
        <v>5.6449075356469205</v>
      </c>
      <c r="E31" s="285">
        <f>I31/'- 7 -'!E31</f>
        <v>181.91481703659269</v>
      </c>
      <c r="F31" s="285">
        <f>'- 31 -'!F31</f>
        <v>134114</v>
      </c>
      <c r="G31" s="361">
        <f t="shared" si="1"/>
        <v>0.22112632398137522</v>
      </c>
      <c r="I31" s="2">
        <f>+Data!AB31</f>
        <v>606504</v>
      </c>
    </row>
    <row r="32" spans="1:9" ht="14.1" customHeight="1" x14ac:dyDescent="0.2">
      <c r="A32" s="19" t="s">
        <v>130</v>
      </c>
      <c r="B32" s="20">
        <f>'- 31 -'!D32</f>
        <v>2399194</v>
      </c>
      <c r="C32" s="20">
        <f>B32/'- 7 -'!E32</f>
        <v>1054.127416520211</v>
      </c>
      <c r="D32" s="362">
        <f t="shared" si="0"/>
        <v>6.1915322996882551</v>
      </c>
      <c r="E32" s="20">
        <f>I32/'- 7 -'!E32</f>
        <v>170.2530755711775</v>
      </c>
      <c r="F32" s="20">
        <f>'- 31 -'!F32</f>
        <v>194471</v>
      </c>
      <c r="G32" s="362">
        <f t="shared" si="1"/>
        <v>0.50186582571174931</v>
      </c>
      <c r="I32" s="2">
        <f>+Data!AB32</f>
        <v>387496</v>
      </c>
    </row>
    <row r="33" spans="1:9" ht="14.1" customHeight="1" x14ac:dyDescent="0.2">
      <c r="A33" s="284" t="s">
        <v>131</v>
      </c>
      <c r="B33" s="285">
        <f>'- 31 -'!D33</f>
        <v>2778113</v>
      </c>
      <c r="C33" s="285">
        <f>B33/'- 7 -'!E33</f>
        <v>1353.0649717514125</v>
      </c>
      <c r="D33" s="361">
        <f t="shared" si="0"/>
        <v>5.647087640129687</v>
      </c>
      <c r="E33" s="285">
        <f>I33/'- 7 -'!E33</f>
        <v>239.60403272939803</v>
      </c>
      <c r="F33" s="285">
        <f>'- 31 -'!F33</f>
        <v>293875</v>
      </c>
      <c r="G33" s="361">
        <f t="shared" si="1"/>
        <v>0.59736154729599256</v>
      </c>
      <c r="I33" s="2">
        <f>+Data!AB33</f>
        <v>491955</v>
      </c>
    </row>
    <row r="34" spans="1:9" ht="14.1" customHeight="1" x14ac:dyDescent="0.2">
      <c r="A34" s="19" t="s">
        <v>132</v>
      </c>
      <c r="B34" s="20">
        <f>'- 31 -'!D34</f>
        <v>2255353</v>
      </c>
      <c r="C34" s="20">
        <f>B34/'- 7 -'!E34</f>
        <v>1014.1887759690621</v>
      </c>
      <c r="D34" s="362">
        <f t="shared" si="0"/>
        <v>6.0398837738678663</v>
      </c>
      <c r="E34" s="20">
        <f>I34/'- 7 -'!E34</f>
        <v>167.91528015109276</v>
      </c>
      <c r="F34" s="20">
        <f>'- 31 -'!F34</f>
        <v>334613</v>
      </c>
      <c r="G34" s="362">
        <f t="shared" si="1"/>
        <v>0.8961008007284218</v>
      </c>
      <c r="I34" s="2">
        <f>+Data!AB34</f>
        <v>373410</v>
      </c>
    </row>
    <row r="35" spans="1:9" ht="14.1" customHeight="1" x14ac:dyDescent="0.2">
      <c r="A35" s="284" t="s">
        <v>133</v>
      </c>
      <c r="B35" s="285">
        <f>'- 31 -'!D35</f>
        <v>18972643</v>
      </c>
      <c r="C35" s="285">
        <f>B35/'- 7 -'!E35</f>
        <v>1170.1034876191063</v>
      </c>
      <c r="D35" s="361">
        <f t="shared" si="0"/>
        <v>7.7404985051536297</v>
      </c>
      <c r="E35" s="285">
        <f>I35/'- 7 -'!E35</f>
        <v>151.16642511332449</v>
      </c>
      <c r="F35" s="285">
        <f>'- 31 -'!F35</f>
        <v>558894</v>
      </c>
      <c r="G35" s="361">
        <f t="shared" si="1"/>
        <v>0.22801874106519227</v>
      </c>
      <c r="I35" s="2">
        <f>+Data!AB35</f>
        <v>2451088</v>
      </c>
    </row>
    <row r="36" spans="1:9" ht="14.1" customHeight="1" x14ac:dyDescent="0.2">
      <c r="A36" s="19" t="s">
        <v>134</v>
      </c>
      <c r="B36" s="20">
        <f>'- 31 -'!D36</f>
        <v>2493104</v>
      </c>
      <c r="C36" s="20">
        <f>B36/'- 7 -'!E36</f>
        <v>1452.4346053014856</v>
      </c>
      <c r="D36" s="362">
        <f t="shared" si="0"/>
        <v>7.7449883348503725</v>
      </c>
      <c r="E36" s="20">
        <f>I36/'- 7 -'!E36</f>
        <v>187.53218759102825</v>
      </c>
      <c r="F36" s="20">
        <f>'- 31 -'!F36</f>
        <v>125967</v>
      </c>
      <c r="G36" s="362">
        <f t="shared" si="1"/>
        <v>0.39132460802922658</v>
      </c>
      <c r="I36" s="2">
        <f>+Data!AB36</f>
        <v>321899</v>
      </c>
    </row>
    <row r="37" spans="1:9" ht="14.1" customHeight="1" x14ac:dyDescent="0.2">
      <c r="A37" s="284" t="s">
        <v>135</v>
      </c>
      <c r="B37" s="285">
        <f>'- 31 -'!D37</f>
        <v>4148570</v>
      </c>
      <c r="C37" s="285">
        <f>B37/'- 7 -'!E37</f>
        <v>969.8812362650209</v>
      </c>
      <c r="D37" s="361">
        <f t="shared" si="0"/>
        <v>7.0004707962869528</v>
      </c>
      <c r="E37" s="285">
        <f>I37/'- 7 -'!E37</f>
        <v>138.54514424650489</v>
      </c>
      <c r="F37" s="285">
        <f>'- 31 -'!F37</f>
        <v>417254</v>
      </c>
      <c r="G37" s="361">
        <f t="shared" si="1"/>
        <v>0.70409187783595706</v>
      </c>
      <c r="I37" s="2">
        <f>+Data!AB37</f>
        <v>592613</v>
      </c>
    </row>
    <row r="38" spans="1:9" ht="14.1" customHeight="1" x14ac:dyDescent="0.2">
      <c r="A38" s="19" t="s">
        <v>136</v>
      </c>
      <c r="B38" s="20">
        <f>'- 31 -'!D38</f>
        <v>11754700</v>
      </c>
      <c r="C38" s="20">
        <f>B38/'- 7 -'!E38</f>
        <v>1025.5365555749433</v>
      </c>
      <c r="D38" s="362">
        <f t="shared" si="0"/>
        <v>8.4455908292409543</v>
      </c>
      <c r="E38" s="20">
        <f>I38/'- 7 -'!E38</f>
        <v>121.42863374629209</v>
      </c>
      <c r="F38" s="20">
        <f>'- 31 -'!F38</f>
        <v>638604</v>
      </c>
      <c r="G38" s="362">
        <f t="shared" si="1"/>
        <v>0.45882822070461948</v>
      </c>
      <c r="I38" s="2">
        <f>+Data!AB38</f>
        <v>1391815</v>
      </c>
    </row>
    <row r="39" spans="1:9" ht="14.1" customHeight="1" x14ac:dyDescent="0.2">
      <c r="A39" s="284" t="s">
        <v>137</v>
      </c>
      <c r="B39" s="285">
        <f>'- 31 -'!D39</f>
        <v>1922148</v>
      </c>
      <c r="C39" s="285">
        <f>B39/'- 7 -'!E39</f>
        <v>1284</v>
      </c>
      <c r="D39" s="361">
        <f t="shared" si="0"/>
        <v>6.0531896467565023</v>
      </c>
      <c r="E39" s="285">
        <f>I39/'- 7 -'!E39</f>
        <v>212.11957247828991</v>
      </c>
      <c r="F39" s="285">
        <f>'- 31 -'!F39</f>
        <v>60251</v>
      </c>
      <c r="G39" s="361">
        <f t="shared" si="1"/>
        <v>0.18974123189615263</v>
      </c>
      <c r="I39" s="2">
        <f>+Data!AB39</f>
        <v>317543</v>
      </c>
    </row>
    <row r="40" spans="1:9" ht="14.1" customHeight="1" x14ac:dyDescent="0.2">
      <c r="A40" s="19" t="s">
        <v>138</v>
      </c>
      <c r="B40" s="20">
        <f>'- 31 -'!D40</f>
        <v>8204620</v>
      </c>
      <c r="C40" s="20">
        <f>B40/'- 7 -'!E40</f>
        <v>1005.4595119894805</v>
      </c>
      <c r="D40" s="362">
        <f t="shared" si="0"/>
        <v>5.6232617113875465</v>
      </c>
      <c r="E40" s="20">
        <f>I40/'- 7 -'!E40</f>
        <v>178.80361320429847</v>
      </c>
      <c r="F40" s="20">
        <f>'- 31 -'!F40</f>
        <v>1128079</v>
      </c>
      <c r="G40" s="362">
        <f t="shared" si="1"/>
        <v>0.77315993283300777</v>
      </c>
      <c r="I40" s="2">
        <f>+Data!AB40</f>
        <v>1459050</v>
      </c>
    </row>
    <row r="41" spans="1:9" ht="14.1" customHeight="1" x14ac:dyDescent="0.2">
      <c r="A41" s="284" t="s">
        <v>139</v>
      </c>
      <c r="B41" s="285">
        <f>'- 31 -'!D41</f>
        <v>5113487</v>
      </c>
      <c r="C41" s="285">
        <f>B41/'- 7 -'!E41</f>
        <v>1136.8357047576701</v>
      </c>
      <c r="D41" s="361">
        <f t="shared" si="0"/>
        <v>6.7068545578789838</v>
      </c>
      <c r="E41" s="285">
        <f>I41/'- 7 -'!E41</f>
        <v>169.50355713650512</v>
      </c>
      <c r="F41" s="285">
        <f>'- 31 -'!F41</f>
        <v>228288</v>
      </c>
      <c r="G41" s="361">
        <f t="shared" si="1"/>
        <v>0.29942276440892046</v>
      </c>
      <c r="I41" s="2">
        <f>+Data!AB41</f>
        <v>762427</v>
      </c>
    </row>
    <row r="42" spans="1:9" ht="14.1" customHeight="1" x14ac:dyDescent="0.2">
      <c r="A42" s="19" t="s">
        <v>140</v>
      </c>
      <c r="B42" s="20">
        <f>'- 31 -'!D42</f>
        <v>1941548</v>
      </c>
      <c r="C42" s="20">
        <f>B42/'- 7 -'!E42</f>
        <v>1417.0848843150134</v>
      </c>
      <c r="D42" s="362">
        <f t="shared" si="0"/>
        <v>6.6787108669553881</v>
      </c>
      <c r="E42" s="20">
        <f>I42/'- 7 -'!E42</f>
        <v>212.17940296328732</v>
      </c>
      <c r="F42" s="20">
        <f>'- 31 -'!F42</f>
        <v>254373</v>
      </c>
      <c r="G42" s="362">
        <f t="shared" si="1"/>
        <v>0.87501504951721154</v>
      </c>
      <c r="I42" s="2">
        <f>+Data!AB42</f>
        <v>290707</v>
      </c>
    </row>
    <row r="43" spans="1:9" ht="14.1" customHeight="1" x14ac:dyDescent="0.2">
      <c r="A43" s="284" t="s">
        <v>141</v>
      </c>
      <c r="B43" s="285">
        <f>'- 31 -'!D43</f>
        <v>792297</v>
      </c>
      <c r="C43" s="285">
        <f>B43/'- 7 -'!E43</f>
        <v>790.32119700748126</v>
      </c>
      <c r="D43" s="361">
        <f t="shared" si="0"/>
        <v>4.339023428515099</v>
      </c>
      <c r="E43" s="285">
        <f>I43/'- 7 -'!E43</f>
        <v>182.1426433915212</v>
      </c>
      <c r="F43" s="285">
        <f>'- 31 -'!F43</f>
        <v>101489</v>
      </c>
      <c r="G43" s="361">
        <f t="shared" si="1"/>
        <v>0.55580564956899858</v>
      </c>
      <c r="I43" s="2">
        <f>+Data!AB43</f>
        <v>182598</v>
      </c>
    </row>
    <row r="44" spans="1:9" ht="14.1" customHeight="1" x14ac:dyDescent="0.2">
      <c r="A44" s="19" t="s">
        <v>142</v>
      </c>
      <c r="B44" s="20">
        <f>'- 31 -'!D44</f>
        <v>1057525</v>
      </c>
      <c r="C44" s="20">
        <f>B44/'- 7 -'!E44</f>
        <v>1528.2153179190752</v>
      </c>
      <c r="D44" s="362">
        <f t="shared" si="0"/>
        <v>5.8521529326478774</v>
      </c>
      <c r="E44" s="20">
        <f>I44/'- 7 -'!E44</f>
        <v>261.13728323699422</v>
      </c>
      <c r="F44" s="20">
        <f>'- 31 -'!F44</f>
        <v>82068</v>
      </c>
      <c r="G44" s="362">
        <f t="shared" si="1"/>
        <v>0.45414953488243398</v>
      </c>
      <c r="I44" s="2">
        <f>+Data!AB44</f>
        <v>180707</v>
      </c>
    </row>
    <row r="45" spans="1:9" ht="14.1" customHeight="1" x14ac:dyDescent="0.2">
      <c r="A45" s="284" t="s">
        <v>143</v>
      </c>
      <c r="B45" s="285">
        <f>'- 31 -'!D45</f>
        <v>1691518</v>
      </c>
      <c r="C45" s="285">
        <f>B45/'- 7 -'!E45</f>
        <v>883.2992167101828</v>
      </c>
      <c r="D45" s="361">
        <f t="shared" si="0"/>
        <v>7.6590220644501095</v>
      </c>
      <c r="E45" s="285">
        <f>I45/'- 7 -'!E45</f>
        <v>115.32793733681463</v>
      </c>
      <c r="F45" s="285">
        <f>'- 31 -'!F45</f>
        <v>309408</v>
      </c>
      <c r="G45" s="361">
        <f t="shared" si="1"/>
        <v>1.4009680647308391</v>
      </c>
      <c r="I45" s="2">
        <f>+Data!AB45</f>
        <v>220853</v>
      </c>
    </row>
    <row r="46" spans="1:9" ht="14.1" customHeight="1" x14ac:dyDescent="0.2">
      <c r="A46" s="19" t="s">
        <v>144</v>
      </c>
      <c r="B46" s="20">
        <f>'- 31 -'!D46</f>
        <v>39500441</v>
      </c>
      <c r="C46" s="20">
        <f>B46/'- 7 -'!E46</f>
        <v>1337.1984481900629</v>
      </c>
      <c r="D46" s="362">
        <f t="shared" si="0"/>
        <v>7.7991869981303878</v>
      </c>
      <c r="E46" s="20">
        <f>I46/'- 7 -'!E46</f>
        <v>171.45356926441366</v>
      </c>
      <c r="F46" s="20">
        <f>'- 31 -'!F46</f>
        <v>7266582</v>
      </c>
      <c r="G46" s="362">
        <f t="shared" si="1"/>
        <v>1.434754408317829</v>
      </c>
      <c r="I46" s="2">
        <f>+Data!AB46</f>
        <v>5064687</v>
      </c>
    </row>
    <row r="47" spans="1:9" ht="5.0999999999999996" customHeight="1" x14ac:dyDescent="0.2">
      <c r="A47"/>
      <c r="B47" s="22"/>
      <c r="C47" s="367"/>
      <c r="D47" s="364"/>
      <c r="E47" s="367"/>
      <c r="F47" s="367"/>
      <c r="G47" s="364"/>
      <c r="I47"/>
    </row>
    <row r="48" spans="1:9" ht="14.1" customHeight="1" x14ac:dyDescent="0.2">
      <c r="A48" s="286" t="s">
        <v>145</v>
      </c>
      <c r="B48" s="287">
        <f>SUM(B11:B46)</f>
        <v>220582134</v>
      </c>
      <c r="C48" s="287">
        <f>B48/'- 7 -'!E48</f>
        <v>1223.9290405455724</v>
      </c>
      <c r="D48" s="365">
        <f>B48/I48</f>
        <v>7.4274625295245347</v>
      </c>
      <c r="E48" s="287">
        <f>I48/'- 7 -'!E48</f>
        <v>164.78427668674104</v>
      </c>
      <c r="F48" s="287">
        <f>SUM(F11:F46)</f>
        <v>22564289</v>
      </c>
      <c r="G48" s="365">
        <f t="shared" si="1"/>
        <v>0.75978687853687477</v>
      </c>
      <c r="I48" s="2">
        <f>+Data!AB48</f>
        <v>29698182</v>
      </c>
    </row>
    <row r="49" spans="1:9" ht="5.0999999999999996" customHeight="1" x14ac:dyDescent="0.2">
      <c r="A49" s="21" t="s">
        <v>7</v>
      </c>
      <c r="B49" s="22"/>
      <c r="C49" s="367"/>
      <c r="D49" s="364"/>
      <c r="E49" s="367"/>
      <c r="F49" s="367"/>
      <c r="G49" s="364"/>
    </row>
    <row r="50" spans="1:9" ht="14.1" customHeight="1" x14ac:dyDescent="0.2">
      <c r="A50" s="19" t="s">
        <v>146</v>
      </c>
      <c r="B50" s="20">
        <f>'- 31 -'!D50</f>
        <v>405123</v>
      </c>
      <c r="C50" s="20">
        <f>B50/'- 7 -'!E50</f>
        <v>2132.2263157894736</v>
      </c>
      <c r="D50" s="362">
        <f>B50/I50</f>
        <v>5.5453761498028911</v>
      </c>
      <c r="E50" s="20">
        <f>I50/'- 7 -'!E50</f>
        <v>384.50526315789472</v>
      </c>
      <c r="F50" s="20">
        <f>'- 31 -'!F50</f>
        <v>0</v>
      </c>
      <c r="G50" s="362">
        <f>F50/I50</f>
        <v>0</v>
      </c>
      <c r="I50" s="2">
        <f>+Data!AB50</f>
        <v>73056</v>
      </c>
    </row>
    <row r="51" spans="1:9" ht="14.1" customHeight="1" x14ac:dyDescent="0.2">
      <c r="A51" s="284" t="s">
        <v>599</v>
      </c>
      <c r="B51" s="285">
        <f>'- 31 -'!D51</f>
        <v>3905335</v>
      </c>
      <c r="C51" s="285">
        <f>B51/'- 7 -'!E51</f>
        <v>3164.7771474878446</v>
      </c>
      <c r="D51" s="363" t="s">
        <v>95</v>
      </c>
      <c r="E51" s="285">
        <f>I51/'- 7 -'!E51</f>
        <v>0</v>
      </c>
      <c r="F51" s="285">
        <f>'- 31 -'!F51</f>
        <v>0</v>
      </c>
      <c r="G51" s="363" t="s">
        <v>95</v>
      </c>
    </row>
    <row r="52" spans="1:9" ht="50.1" customHeight="1" x14ac:dyDescent="0.2">
      <c r="A52" s="23"/>
      <c r="B52" s="23"/>
      <c r="C52" s="23"/>
      <c r="D52" s="23"/>
      <c r="E52" s="23"/>
      <c r="F52" s="23"/>
      <c r="G52" s="23"/>
      <c r="I52" s="221"/>
    </row>
    <row r="53" spans="1:9" ht="15" customHeight="1" x14ac:dyDescent="0.2">
      <c r="A53" s="133" t="s">
        <v>647</v>
      </c>
    </row>
    <row r="54" spans="1:9" ht="12" customHeight="1" x14ac:dyDescent="0.2">
      <c r="A54" s="25" t="s">
        <v>347</v>
      </c>
    </row>
  </sheetData>
  <mergeCells count="6">
    <mergeCell ref="B7:E7"/>
    <mergeCell ref="F6:G7"/>
    <mergeCell ref="C8:C9"/>
    <mergeCell ref="D8:D9"/>
    <mergeCell ref="E8:E9"/>
    <mergeCell ref="G8:G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J56"/>
  <sheetViews>
    <sheetView showGridLines="0" showZeros="0" workbookViewId="0"/>
  </sheetViews>
  <sheetFormatPr defaultColWidth="15.83203125" defaultRowHeight="12" x14ac:dyDescent="0.2"/>
  <cols>
    <col min="1" max="1" width="32.83203125" style="2" customWidth="1"/>
    <col min="2" max="2" width="13.83203125" style="2" customWidth="1"/>
    <col min="3" max="3" width="8.83203125" style="2" customWidth="1"/>
    <col min="4" max="4" width="9.83203125" style="2" customWidth="1"/>
    <col min="5" max="5" width="14.83203125" style="2" customWidth="1"/>
    <col min="6" max="6" width="8.83203125" style="2" customWidth="1"/>
    <col min="7" max="7" width="9.83203125" style="2" customWidth="1"/>
    <col min="8" max="8" width="14.83203125" style="2" customWidth="1"/>
    <col min="9" max="9" width="8.83203125" style="2" customWidth="1"/>
    <col min="10" max="10" width="9.83203125" style="2" customWidth="1"/>
    <col min="11" max="16384" width="15.83203125" style="2"/>
  </cols>
  <sheetData>
    <row r="1" spans="1:10" ht="6.95" customHeight="1" x14ac:dyDescent="0.2">
      <c r="A1" s="7"/>
      <c r="B1" s="8"/>
      <c r="C1" s="8"/>
      <c r="D1" s="8"/>
      <c r="E1" s="8"/>
      <c r="F1" s="8"/>
      <c r="G1" s="8"/>
      <c r="H1" s="8"/>
      <c r="I1" s="8"/>
      <c r="J1" s="8"/>
    </row>
    <row r="2" spans="1:10" ht="15.95" customHeight="1" x14ac:dyDescent="0.2">
      <c r="A2" s="134"/>
      <c r="B2" s="9" t="s">
        <v>284</v>
      </c>
      <c r="C2" s="10"/>
      <c r="D2" s="10"/>
      <c r="E2" s="10"/>
      <c r="F2" s="10"/>
      <c r="G2" s="10"/>
      <c r="H2" s="73"/>
      <c r="I2" s="153"/>
      <c r="J2" s="81"/>
    </row>
    <row r="3" spans="1:10" ht="15.95" customHeight="1" x14ac:dyDescent="0.2">
      <c r="A3" s="541"/>
      <c r="B3" s="11" t="str">
        <f>OPYEAR</f>
        <v>OPERATING FUND 2019/2020 ACTUAL</v>
      </c>
      <c r="C3" s="12"/>
      <c r="D3" s="12"/>
      <c r="E3" s="12"/>
      <c r="F3" s="12"/>
      <c r="G3" s="12"/>
      <c r="H3" s="75"/>
      <c r="I3" s="75"/>
      <c r="J3" s="66"/>
    </row>
    <row r="4" spans="1:10" ht="15.95" customHeight="1" x14ac:dyDescent="0.2">
      <c r="B4" s="8"/>
      <c r="C4" s="8"/>
      <c r="D4" s="8"/>
      <c r="E4" s="8"/>
      <c r="F4" s="8"/>
      <c r="G4" s="8"/>
      <c r="H4" s="8"/>
      <c r="I4" s="8"/>
      <c r="J4" s="8"/>
    </row>
    <row r="5" spans="1:10" ht="14.1" customHeight="1" x14ac:dyDescent="0.2"/>
    <row r="6" spans="1:10" ht="18" customHeight="1" x14ac:dyDescent="0.2">
      <c r="B6" s="393" t="s">
        <v>265</v>
      </c>
      <c r="C6" s="155"/>
      <c r="D6" s="156"/>
      <c r="E6" s="156"/>
      <c r="F6" s="156"/>
      <c r="G6" s="156"/>
      <c r="H6" s="156"/>
      <c r="I6" s="156"/>
      <c r="J6" s="157"/>
    </row>
    <row r="7" spans="1:10" ht="15.95" customHeight="1" x14ac:dyDescent="0.2">
      <c r="B7" s="713" t="s">
        <v>72</v>
      </c>
      <c r="C7" s="714"/>
      <c r="D7" s="715"/>
      <c r="E7" s="713" t="s">
        <v>67</v>
      </c>
      <c r="F7" s="714"/>
      <c r="G7" s="715"/>
      <c r="H7" s="713" t="s">
        <v>274</v>
      </c>
      <c r="I7" s="714"/>
      <c r="J7" s="715"/>
    </row>
    <row r="8" spans="1:10" ht="15.95" customHeight="1" x14ac:dyDescent="0.2">
      <c r="A8" s="67"/>
      <c r="B8" s="139"/>
      <c r="C8" s="68"/>
      <c r="D8" s="602" t="s">
        <v>471</v>
      </c>
      <c r="E8" s="139"/>
      <c r="F8" s="137"/>
      <c r="G8" s="602" t="s">
        <v>471</v>
      </c>
      <c r="H8" s="139"/>
      <c r="I8" s="137"/>
      <c r="J8" s="602" t="s">
        <v>471</v>
      </c>
    </row>
    <row r="9" spans="1:10" ht="15.95" customHeight="1" x14ac:dyDescent="0.2">
      <c r="A9" s="35" t="s">
        <v>42</v>
      </c>
      <c r="B9" s="77" t="s">
        <v>43</v>
      </c>
      <c r="C9" s="77" t="s">
        <v>44</v>
      </c>
      <c r="D9" s="604"/>
      <c r="E9" s="77" t="s">
        <v>43</v>
      </c>
      <c r="F9" s="77" t="s">
        <v>44</v>
      </c>
      <c r="G9" s="604"/>
      <c r="H9" s="77" t="s">
        <v>43</v>
      </c>
      <c r="I9" s="77" t="s">
        <v>44</v>
      </c>
      <c r="J9" s="604"/>
    </row>
    <row r="10" spans="1:10" ht="5.0999999999999996" customHeight="1" x14ac:dyDescent="0.2">
      <c r="A10" s="6"/>
    </row>
    <row r="11" spans="1:10" ht="14.1" customHeight="1" x14ac:dyDescent="0.2">
      <c r="A11" s="284" t="s">
        <v>110</v>
      </c>
      <c r="B11" s="285">
        <v>162442</v>
      </c>
      <c r="C11" s="291">
        <f>B11/'- 3 -'!$D11*100</f>
        <v>0.77288124238797007</v>
      </c>
      <c r="D11" s="285">
        <f>B11/'- 7 -'!$E11</f>
        <v>82.041414141414137</v>
      </c>
      <c r="E11" s="285">
        <v>174950</v>
      </c>
      <c r="F11" s="291">
        <f>E11/'- 3 -'!$D11*100</f>
        <v>0.83239293628356803</v>
      </c>
      <c r="G11" s="285">
        <f>E11/'- 7 -'!$E11</f>
        <v>88.358585858585855</v>
      </c>
      <c r="H11" s="285">
        <v>240192</v>
      </c>
      <c r="I11" s="291">
        <f>H11/'- 3 -'!$D11*100</f>
        <v>1.1428072257892128</v>
      </c>
      <c r="J11" s="285">
        <f>H11/'- 7 -'!$E11</f>
        <v>121.30909090909091</v>
      </c>
    </row>
    <row r="12" spans="1:10" ht="14.1" customHeight="1" x14ac:dyDescent="0.2">
      <c r="A12" s="19" t="s">
        <v>111</v>
      </c>
      <c r="B12" s="20">
        <v>312792</v>
      </c>
      <c r="C12" s="70">
        <f>B12/'- 3 -'!$D12*100</f>
        <v>0.93237391749603271</v>
      </c>
      <c r="D12" s="20">
        <f>B12/'- 7 -'!$E12</f>
        <v>143.78861429832304</v>
      </c>
      <c r="E12" s="20">
        <v>153731</v>
      </c>
      <c r="F12" s="70">
        <f>E12/'- 3 -'!$D12*100</f>
        <v>0.45824309672428509</v>
      </c>
      <c r="G12" s="20">
        <f>E12/'- 7 -'!$E12</f>
        <v>70.66922256546043</v>
      </c>
      <c r="H12" s="20">
        <v>164980</v>
      </c>
      <c r="I12" s="70">
        <f>H12/'- 3 -'!$D12*100</f>
        <v>0.49177424265484887</v>
      </c>
      <c r="J12" s="20">
        <f>H12/'- 7 -'!$E12</f>
        <v>75.840320682553681</v>
      </c>
    </row>
    <row r="13" spans="1:10" ht="14.1" customHeight="1" x14ac:dyDescent="0.2">
      <c r="A13" s="284" t="s">
        <v>112</v>
      </c>
      <c r="B13" s="285">
        <v>514708</v>
      </c>
      <c r="C13" s="291">
        <f>B13/'- 3 -'!$D13*100</f>
        <v>0.49233754098906973</v>
      </c>
      <c r="D13" s="285">
        <f>B13/'- 7 -'!$E13</f>
        <v>59.435103926097</v>
      </c>
      <c r="E13" s="285">
        <v>684408</v>
      </c>
      <c r="F13" s="291">
        <f>E13/'- 3 -'!$D13*100</f>
        <v>0.65466196708278734</v>
      </c>
      <c r="G13" s="285">
        <f>E13/'- 7 -'!$E13</f>
        <v>79.030946882217094</v>
      </c>
      <c r="H13" s="285">
        <v>1797506</v>
      </c>
      <c r="I13" s="291">
        <f>H13/'- 3 -'!$D13*100</f>
        <v>1.7193820262228272</v>
      </c>
      <c r="J13" s="285">
        <f>H13/'- 7 -'!$E13</f>
        <v>207.56420323325636</v>
      </c>
    </row>
    <row r="14" spans="1:10" ht="14.1" customHeight="1" x14ac:dyDescent="0.2">
      <c r="A14" s="19" t="s">
        <v>358</v>
      </c>
      <c r="B14" s="20">
        <v>516373</v>
      </c>
      <c r="C14" s="70">
        <f>B14/'- 3 -'!$D14*100</f>
        <v>0.57643141185882774</v>
      </c>
      <c r="D14" s="20">
        <f>B14/'- 7 -'!$E14</f>
        <v>93.300412682581339</v>
      </c>
      <c r="E14" s="20">
        <v>470372</v>
      </c>
      <c r="F14" s="70">
        <f>E14/'- 3 -'!$D14*100</f>
        <v>0.52508011855550252</v>
      </c>
      <c r="G14" s="20">
        <f>E14/'- 7 -'!$E14</f>
        <v>84.988761446340433</v>
      </c>
      <c r="H14" s="20">
        <v>1028152</v>
      </c>
      <c r="I14" s="70">
        <f>H14/'- 3 -'!$D14*100</f>
        <v>1.1477345038673159</v>
      </c>
      <c r="J14" s="20">
        <f>H14/'- 7 -'!$E14</f>
        <v>185.77076241480745</v>
      </c>
    </row>
    <row r="15" spans="1:10" ht="14.1" customHeight="1" x14ac:dyDescent="0.2">
      <c r="A15" s="284" t="s">
        <v>113</v>
      </c>
      <c r="B15" s="285">
        <v>142058</v>
      </c>
      <c r="C15" s="291">
        <f>B15/'- 3 -'!$D15*100</f>
        <v>0.72020082762917048</v>
      </c>
      <c r="D15" s="285">
        <f>B15/'- 7 -'!$E15</f>
        <v>97.600824458948821</v>
      </c>
      <c r="E15" s="285">
        <v>144621</v>
      </c>
      <c r="F15" s="291">
        <f>E15/'- 3 -'!$D15*100</f>
        <v>0.73319463805317742</v>
      </c>
      <c r="G15" s="285">
        <f>E15/'- 7 -'!$E15</f>
        <v>99.361731363792515</v>
      </c>
      <c r="H15" s="285">
        <v>82527</v>
      </c>
      <c r="I15" s="291">
        <f>H15/'- 3 -'!$D15*100</f>
        <v>0.41839258402731666</v>
      </c>
      <c r="J15" s="285">
        <f>H15/'- 7 -'!$E15</f>
        <v>56.700103057368601</v>
      </c>
    </row>
    <row r="16" spans="1:10" ht="14.1" customHeight="1" x14ac:dyDescent="0.2">
      <c r="A16" s="19" t="s">
        <v>114</v>
      </c>
      <c r="B16" s="20">
        <v>0</v>
      </c>
      <c r="C16" s="70">
        <f>B16/'- 3 -'!$D16*100</f>
        <v>0</v>
      </c>
      <c r="D16" s="20">
        <f>B16/'- 7 -'!$E16</f>
        <v>0</v>
      </c>
      <c r="E16" s="20">
        <v>176223</v>
      </c>
      <c r="F16" s="70">
        <f>E16/'- 3 -'!$D16*100</f>
        <v>1.2260395172901188</v>
      </c>
      <c r="G16" s="20">
        <f>E16/'- 7 -'!$E16</f>
        <v>193.63037028897924</v>
      </c>
      <c r="H16" s="20">
        <v>6841</v>
      </c>
      <c r="I16" s="70">
        <f>H16/'- 3 -'!$D16*100</f>
        <v>4.7595015053549787E-2</v>
      </c>
      <c r="J16" s="20">
        <f>H16/'- 7 -'!$E16</f>
        <v>7.5167564003955611</v>
      </c>
    </row>
    <row r="17" spans="1:10" ht="14.1" customHeight="1" x14ac:dyDescent="0.2">
      <c r="A17" s="284" t="s">
        <v>115</v>
      </c>
      <c r="B17" s="285">
        <v>125906</v>
      </c>
      <c r="C17" s="291">
        <f>B17/'- 3 -'!$D17*100</f>
        <v>0.69946728576849126</v>
      </c>
      <c r="D17" s="285">
        <f>B17/'- 7 -'!$E17</f>
        <v>88.076949982511366</v>
      </c>
      <c r="E17" s="285">
        <v>141104</v>
      </c>
      <c r="F17" s="291">
        <f>E17/'- 3 -'!$D17*100</f>
        <v>0.78389935262082178</v>
      </c>
      <c r="G17" s="285">
        <f>E17/'- 7 -'!$E17</f>
        <v>98.708639384400144</v>
      </c>
      <c r="H17" s="285">
        <v>102644</v>
      </c>
      <c r="I17" s="291">
        <f>H17/'- 3 -'!$D17*100</f>
        <v>0.57023589090608084</v>
      </c>
      <c r="J17" s="285">
        <f>H17/'- 7 -'!$E17</f>
        <v>71.804127317243797</v>
      </c>
    </row>
    <row r="18" spans="1:10" ht="14.1" customHeight="1" x14ac:dyDescent="0.2">
      <c r="A18" s="19" t="s">
        <v>116</v>
      </c>
      <c r="B18" s="20">
        <v>356801</v>
      </c>
      <c r="C18" s="70">
        <f>B18/'- 3 -'!$D18*100</f>
        <v>0.2679033354314781</v>
      </c>
      <c r="D18" s="20">
        <f>B18/'- 7 -'!$E18</f>
        <v>59.901116427432214</v>
      </c>
      <c r="E18" s="20">
        <v>0</v>
      </c>
      <c r="F18" s="70">
        <f>E18/'- 3 -'!$D18*100</f>
        <v>0</v>
      </c>
      <c r="G18" s="20">
        <f>E18/'- 7 -'!$E18</f>
        <v>0</v>
      </c>
      <c r="H18" s="20">
        <v>2245180</v>
      </c>
      <c r="I18" s="70">
        <f>H18/'- 3 -'!$D18*100</f>
        <v>1.6857890270600306</v>
      </c>
      <c r="J18" s="20">
        <f>H18/'- 7 -'!$E18</f>
        <v>376.92940485184255</v>
      </c>
    </row>
    <row r="19" spans="1:10" ht="14.1" customHeight="1" x14ac:dyDescent="0.2">
      <c r="A19" s="284" t="s">
        <v>117</v>
      </c>
      <c r="B19" s="285">
        <v>424260</v>
      </c>
      <c r="C19" s="291">
        <f>B19/'- 3 -'!$D19*100</f>
        <v>0.85314416079167332</v>
      </c>
      <c r="D19" s="285">
        <f>B19/'- 7 -'!$E19</f>
        <v>96.328587970846669</v>
      </c>
      <c r="E19" s="285">
        <v>267824</v>
      </c>
      <c r="F19" s="291">
        <f>E19/'- 3 -'!$D19*100</f>
        <v>0.53856710913088468</v>
      </c>
      <c r="G19" s="285">
        <f>E19/'- 7 -'!$E19</f>
        <v>60.809663283609197</v>
      </c>
      <c r="H19" s="285">
        <v>502062</v>
      </c>
      <c r="I19" s="291">
        <f>H19/'- 3 -'!$D19*100</f>
        <v>1.0095961524899568</v>
      </c>
      <c r="J19" s="285">
        <f>H19/'- 7 -'!$E19</f>
        <v>113.99359716640555</v>
      </c>
    </row>
    <row r="20" spans="1:10" ht="14.1" customHeight="1" x14ac:dyDescent="0.2">
      <c r="A20" s="19" t="s">
        <v>118</v>
      </c>
      <c r="B20" s="20">
        <v>767331</v>
      </c>
      <c r="C20" s="70">
        <f>B20/'- 3 -'!$D20*100</f>
        <v>0.86686630560483191</v>
      </c>
      <c r="D20" s="20">
        <f>B20/'- 7 -'!$E20</f>
        <v>95.671217505143076</v>
      </c>
      <c r="E20" s="20">
        <v>334601</v>
      </c>
      <c r="F20" s="70">
        <f>E20/'- 3 -'!$D20*100</f>
        <v>0.37800418948495806</v>
      </c>
      <c r="G20" s="20">
        <f>E20/'- 7 -'!$E20</f>
        <v>41.718222055981549</v>
      </c>
      <c r="H20" s="20">
        <v>2024070</v>
      </c>
      <c r="I20" s="70">
        <f>H20/'- 3 -'!$D20*100</f>
        <v>2.286624785373681</v>
      </c>
      <c r="J20" s="20">
        <f>H20/'- 7 -'!$E20</f>
        <v>252.36207219001309</v>
      </c>
    </row>
    <row r="21" spans="1:10" ht="14.1" customHeight="1" x14ac:dyDescent="0.2">
      <c r="A21" s="284" t="s">
        <v>119</v>
      </c>
      <c r="B21" s="285">
        <v>377278</v>
      </c>
      <c r="C21" s="291">
        <f>B21/'- 3 -'!$D21*100</f>
        <v>1.0031538037992207</v>
      </c>
      <c r="D21" s="285">
        <f>B21/'- 7 -'!$E21</f>
        <v>133.64434998228833</v>
      </c>
      <c r="E21" s="285">
        <v>158599</v>
      </c>
      <c r="F21" s="291">
        <f>E21/'- 3 -'!$D21*100</f>
        <v>0.4217028030490847</v>
      </c>
      <c r="G21" s="285">
        <f>E21/'- 7 -'!$E21</f>
        <v>56.181013106624157</v>
      </c>
      <c r="H21" s="285">
        <v>474693</v>
      </c>
      <c r="I21" s="291">
        <f>H21/'- 3 -'!$D21*100</f>
        <v>1.2621729562467554</v>
      </c>
      <c r="J21" s="285">
        <f>H21/'- 7 -'!$E21</f>
        <v>168.1519659936238</v>
      </c>
    </row>
    <row r="22" spans="1:10" ht="14.1" customHeight="1" x14ac:dyDescent="0.2">
      <c r="A22" s="19" t="s">
        <v>120</v>
      </c>
      <c r="B22" s="20">
        <v>165326</v>
      </c>
      <c r="C22" s="70">
        <f>B22/'- 3 -'!$D22*100</f>
        <v>0.80087168415332921</v>
      </c>
      <c r="D22" s="20">
        <f>B22/'- 7 -'!$E22</f>
        <v>107.70423452768729</v>
      </c>
      <c r="E22" s="20">
        <v>7419</v>
      </c>
      <c r="F22" s="70">
        <f>E22/'- 3 -'!$D22*100</f>
        <v>3.593909623854414E-2</v>
      </c>
      <c r="G22" s="20">
        <f>E22/'- 7 -'!$E22</f>
        <v>4.8332247557003258</v>
      </c>
      <c r="H22" s="20">
        <v>206989</v>
      </c>
      <c r="I22" s="70">
        <f>H22/'- 3 -'!$D22*100</f>
        <v>1.0026954564388748</v>
      </c>
      <c r="J22" s="20">
        <f>H22/'- 7 -'!$E22</f>
        <v>134.84625407166124</v>
      </c>
    </row>
    <row r="23" spans="1:10" ht="14.1" customHeight="1" x14ac:dyDescent="0.2">
      <c r="A23" s="284" t="s">
        <v>121</v>
      </c>
      <c r="B23" s="285">
        <v>123168</v>
      </c>
      <c r="C23" s="291">
        <f>B23/'- 3 -'!$D23*100</f>
        <v>0.79360528162974642</v>
      </c>
      <c r="D23" s="285">
        <f>B23/'- 7 -'!$E23</f>
        <v>131.1972731146144</v>
      </c>
      <c r="E23" s="285">
        <v>53248</v>
      </c>
      <c r="F23" s="291">
        <f>E23/'- 3 -'!$D23*100</f>
        <v>0.34309150133330685</v>
      </c>
      <c r="G23" s="285">
        <f>E23/'- 7 -'!$E23</f>
        <v>56.71921602045164</v>
      </c>
      <c r="H23" s="285">
        <v>265381</v>
      </c>
      <c r="I23" s="291">
        <f>H23/'- 3 -'!$D23*100</f>
        <v>1.709922733536176</v>
      </c>
      <c r="J23" s="285">
        <f>H23/'- 7 -'!$E23</f>
        <v>282.68108223263744</v>
      </c>
    </row>
    <row r="24" spans="1:10" ht="14.1" customHeight="1" x14ac:dyDescent="0.2">
      <c r="A24" s="19" t="s">
        <v>122</v>
      </c>
      <c r="B24" s="20">
        <v>521557</v>
      </c>
      <c r="C24" s="70">
        <f>B24/'- 3 -'!$D24*100</f>
        <v>0.89243205869292264</v>
      </c>
      <c r="D24" s="20">
        <f>B24/'- 7 -'!$E24</f>
        <v>139.28615302443583</v>
      </c>
      <c r="E24" s="20">
        <v>470192</v>
      </c>
      <c r="F24" s="70">
        <f>E24/'- 3 -'!$D24*100</f>
        <v>0.80454181334148089</v>
      </c>
      <c r="G24" s="20">
        <f>E24/'- 7 -'!$E24</f>
        <v>125.5687007611163</v>
      </c>
      <c r="H24" s="20">
        <v>1035917</v>
      </c>
      <c r="I24" s="70">
        <f>H24/'- 3 -'!$D24*100</f>
        <v>1.7725493875932956</v>
      </c>
      <c r="J24" s="20">
        <f>H24/'- 7 -'!$E24</f>
        <v>276.65028708772866</v>
      </c>
    </row>
    <row r="25" spans="1:10" ht="14.1" customHeight="1" x14ac:dyDescent="0.2">
      <c r="A25" s="284" t="s">
        <v>123</v>
      </c>
      <c r="B25" s="285">
        <v>947110</v>
      </c>
      <c r="C25" s="291">
        <f>B25/'- 3 -'!$D25*100</f>
        <v>0.48799256754617104</v>
      </c>
      <c r="D25" s="285">
        <f>B25/'- 7 -'!$E25</f>
        <v>63.093977123595209</v>
      </c>
      <c r="E25" s="285">
        <v>1219754</v>
      </c>
      <c r="F25" s="291">
        <f>E25/'- 3 -'!$D25*100</f>
        <v>0.62847070164470054</v>
      </c>
      <c r="G25" s="285">
        <f>E25/'- 7 -'!$E25</f>
        <v>81.256803298892166</v>
      </c>
      <c r="H25" s="285">
        <v>1652839</v>
      </c>
      <c r="I25" s="291">
        <f>H25/'- 3 -'!$D25*100</f>
        <v>0.85161506831354949</v>
      </c>
      <c r="J25" s="285">
        <f>H25/'- 7 -'!$E25</f>
        <v>110.10778690435745</v>
      </c>
    </row>
    <row r="26" spans="1:10" ht="14.1" customHeight="1" x14ac:dyDescent="0.2">
      <c r="A26" s="19" t="s">
        <v>124</v>
      </c>
      <c r="B26" s="20">
        <v>396757</v>
      </c>
      <c r="C26" s="70">
        <f>B26/'- 3 -'!$D26*100</f>
        <v>0.96984560599247671</v>
      </c>
      <c r="D26" s="20">
        <f>B26/'- 7 -'!$E26</f>
        <v>129.55330612244899</v>
      </c>
      <c r="E26" s="20">
        <v>465007</v>
      </c>
      <c r="F26" s="70">
        <f>E26/'- 3 -'!$D26*100</f>
        <v>1.1366781070169993</v>
      </c>
      <c r="G26" s="20">
        <f>E26/'- 7 -'!$E26</f>
        <v>151.83902040816326</v>
      </c>
      <c r="H26" s="20">
        <v>390332</v>
      </c>
      <c r="I26" s="70">
        <f>H26/'- 3 -'!$D26*100</f>
        <v>0.95414012878980192</v>
      </c>
      <c r="J26" s="20">
        <f>H26/'- 7 -'!$E26</f>
        <v>127.45534693877551</v>
      </c>
    </row>
    <row r="27" spans="1:10" ht="14.1" customHeight="1" x14ac:dyDescent="0.2">
      <c r="A27" s="284" t="s">
        <v>125</v>
      </c>
      <c r="B27" s="285">
        <v>153556</v>
      </c>
      <c r="C27" s="291">
        <f>B27/'- 3 -'!$D27*100</f>
        <v>0.36876575478417345</v>
      </c>
      <c r="D27" s="285">
        <f>B27/'- 7 -'!$E27</f>
        <v>50.801611825345887</v>
      </c>
      <c r="E27" s="285">
        <v>188376</v>
      </c>
      <c r="F27" s="291">
        <f>E27/'- 3 -'!$D27*100</f>
        <v>0.45238621625480907</v>
      </c>
      <c r="G27" s="285">
        <f>E27/'- 7 -'!$E27</f>
        <v>62.321266698867888</v>
      </c>
      <c r="H27" s="285">
        <v>251159</v>
      </c>
      <c r="I27" s="291">
        <f>H27/'- 3 -'!$D27*100</f>
        <v>0.6031600081132501</v>
      </c>
      <c r="J27" s="285">
        <f>H27/'- 7 -'!$E27</f>
        <v>83.092044755281776</v>
      </c>
    </row>
    <row r="28" spans="1:10" ht="14.1" customHeight="1" x14ac:dyDescent="0.2">
      <c r="A28" s="19" t="s">
        <v>126</v>
      </c>
      <c r="B28" s="20">
        <v>243726</v>
      </c>
      <c r="C28" s="70">
        <f>B28/'- 3 -'!$D28*100</f>
        <v>0.86325269233853397</v>
      </c>
      <c r="D28" s="20">
        <f>B28/'- 7 -'!$E28</f>
        <v>122.59859154929578</v>
      </c>
      <c r="E28" s="20">
        <v>133280</v>
      </c>
      <c r="F28" s="70">
        <f>E28/'- 3 -'!$D28*100</f>
        <v>0.47206419846417624</v>
      </c>
      <c r="G28" s="20">
        <f>E28/'- 7 -'!$E28</f>
        <v>67.042253521126767</v>
      </c>
      <c r="H28" s="20">
        <v>386769</v>
      </c>
      <c r="I28" s="70">
        <f>H28/'- 3 -'!$D28*100</f>
        <v>1.3698964433957908</v>
      </c>
      <c r="J28" s="20">
        <f>H28/'- 7 -'!$E28</f>
        <v>194.55181086519116</v>
      </c>
    </row>
    <row r="29" spans="1:10" ht="14.1" customHeight="1" x14ac:dyDescent="0.2">
      <c r="A29" s="284" t="s">
        <v>127</v>
      </c>
      <c r="B29" s="285">
        <v>998042</v>
      </c>
      <c r="C29" s="291">
        <f>B29/'- 3 -'!$D29*100</f>
        <v>0.58986251746226903</v>
      </c>
      <c r="D29" s="285">
        <f>B29/'- 7 -'!$E29</f>
        <v>69.717578848101709</v>
      </c>
      <c r="E29" s="285">
        <v>1295172</v>
      </c>
      <c r="F29" s="291">
        <f>E29/'- 3 -'!$D29*100</f>
        <v>0.76547221105588936</v>
      </c>
      <c r="G29" s="285">
        <f>E29/'- 7 -'!$E29</f>
        <v>90.473402954839159</v>
      </c>
      <c r="H29" s="285">
        <v>2258705</v>
      </c>
      <c r="I29" s="291">
        <f>H29/'- 3 -'!$D29*100</f>
        <v>1.3349392285140449</v>
      </c>
      <c r="J29" s="285">
        <f>H29/'- 7 -'!$E29</f>
        <v>157.78037791205338</v>
      </c>
    </row>
    <row r="30" spans="1:10" ht="14.1" customHeight="1" x14ac:dyDescent="0.2">
      <c r="A30" s="19" t="s">
        <v>128</v>
      </c>
      <c r="B30" s="20">
        <v>157782</v>
      </c>
      <c r="C30" s="70">
        <f>B30/'- 3 -'!$D30*100</f>
        <v>1.0142052499658358</v>
      </c>
      <c r="D30" s="20">
        <f>B30/'- 7 -'!$E30</f>
        <v>153.85860555826426</v>
      </c>
      <c r="E30" s="20">
        <v>128369</v>
      </c>
      <c r="F30" s="70">
        <f>E30/'- 3 -'!$D30*100</f>
        <v>0.82514173817586534</v>
      </c>
      <c r="G30" s="20">
        <f>E30/'- 7 -'!$E30</f>
        <v>125.1769868356899</v>
      </c>
      <c r="H30" s="20">
        <v>126440</v>
      </c>
      <c r="I30" s="70">
        <f>H30/'- 3 -'!$D30*100</f>
        <v>0.81274233946635399</v>
      </c>
      <c r="J30" s="20">
        <f>H30/'- 7 -'!$E30</f>
        <v>123.29595319356412</v>
      </c>
    </row>
    <row r="31" spans="1:10" ht="14.1" customHeight="1" x14ac:dyDescent="0.2">
      <c r="A31" s="284" t="s">
        <v>129</v>
      </c>
      <c r="B31" s="285">
        <v>275433</v>
      </c>
      <c r="C31" s="291">
        <f>B31/'- 3 -'!$D31*100</f>
        <v>0.6893654122987477</v>
      </c>
      <c r="D31" s="285">
        <f>B31/'- 7 -'!$E31</f>
        <v>82.613377324535094</v>
      </c>
      <c r="E31" s="285">
        <v>168099</v>
      </c>
      <c r="F31" s="291">
        <f>E31/'- 3 -'!$D31*100</f>
        <v>0.42072531774336114</v>
      </c>
      <c r="G31" s="285">
        <f>E31/'- 7 -'!$E31</f>
        <v>50.419616076784642</v>
      </c>
      <c r="H31" s="285">
        <v>513816</v>
      </c>
      <c r="I31" s="291">
        <f>H31/'- 3 -'!$D31*100</f>
        <v>1.2860005107800931</v>
      </c>
      <c r="J31" s="285">
        <f>H31/'- 7 -'!$E31</f>
        <v>154.11397720455909</v>
      </c>
    </row>
    <row r="32" spans="1:10" ht="14.1" customHeight="1" x14ac:dyDescent="0.2">
      <c r="A32" s="19" t="s">
        <v>130</v>
      </c>
      <c r="B32" s="20">
        <v>224226</v>
      </c>
      <c r="C32" s="70">
        <f>B32/'- 3 -'!$D32*100</f>
        <v>0.739152212922357</v>
      </c>
      <c r="D32" s="20">
        <f>B32/'- 7 -'!$E32</f>
        <v>98.517574692442878</v>
      </c>
      <c r="E32" s="20">
        <v>183305</v>
      </c>
      <c r="F32" s="70">
        <f>E32/'- 3 -'!$D32*100</f>
        <v>0.60425774169691582</v>
      </c>
      <c r="G32" s="20">
        <f>E32/'- 7 -'!$E32</f>
        <v>80.538224956063274</v>
      </c>
      <c r="H32" s="20">
        <v>261809</v>
      </c>
      <c r="I32" s="70">
        <f>H32/'- 3 -'!$D32*100</f>
        <v>0.86304309809294799</v>
      </c>
      <c r="J32" s="20">
        <f>H32/'- 7 -'!$E32</f>
        <v>115.03031634446397</v>
      </c>
    </row>
    <row r="33" spans="1:10" ht="14.1" customHeight="1" x14ac:dyDescent="0.2">
      <c r="A33" s="284" t="s">
        <v>131</v>
      </c>
      <c r="B33" s="285">
        <v>338962</v>
      </c>
      <c r="C33" s="291">
        <f>B33/'- 3 -'!$D33*100</f>
        <v>1.2075517997157341</v>
      </c>
      <c r="D33" s="285">
        <f>B33/'- 7 -'!$E33</f>
        <v>165.08961620884475</v>
      </c>
      <c r="E33" s="285">
        <v>318123</v>
      </c>
      <c r="F33" s="291">
        <f>E33/'- 3 -'!$D33*100</f>
        <v>1.1333128822138423</v>
      </c>
      <c r="G33" s="285">
        <f>E33/'- 7 -'!$E33</f>
        <v>154.94009351256577</v>
      </c>
      <c r="H33" s="285">
        <v>292837</v>
      </c>
      <c r="I33" s="291">
        <f>H33/'- 3 -'!$D33*100</f>
        <v>1.0432315314795062</v>
      </c>
      <c r="J33" s="285">
        <f>H33/'- 7 -'!$E33</f>
        <v>142.62468342100138</v>
      </c>
    </row>
    <row r="34" spans="1:10" ht="14.1" customHeight="1" x14ac:dyDescent="0.2">
      <c r="A34" s="19" t="s">
        <v>132</v>
      </c>
      <c r="B34" s="20">
        <v>333660</v>
      </c>
      <c r="C34" s="70">
        <f>B34/'- 3 -'!$D34*100</f>
        <v>1.0960610130775723</v>
      </c>
      <c r="D34" s="20">
        <f>B34/'- 7 -'!$E34</f>
        <v>150.04047126540158</v>
      </c>
      <c r="E34" s="20">
        <v>251666</v>
      </c>
      <c r="F34" s="70">
        <f>E34/'- 3 -'!$D34*100</f>
        <v>0.82671369333207534</v>
      </c>
      <c r="G34" s="20">
        <f>E34/'- 7 -'!$E34</f>
        <v>113.16934976166922</v>
      </c>
      <c r="H34" s="20">
        <v>201522</v>
      </c>
      <c r="I34" s="70">
        <f>H34/'- 3 -'!$D34*100</f>
        <v>0.6619924698118399</v>
      </c>
      <c r="J34" s="20">
        <f>H34/'- 7 -'!$E34</f>
        <v>90.620559402824</v>
      </c>
    </row>
    <row r="35" spans="1:10" ht="14.1" customHeight="1" x14ac:dyDescent="0.2">
      <c r="A35" s="284" t="s">
        <v>133</v>
      </c>
      <c r="B35" s="285">
        <v>959337</v>
      </c>
      <c r="C35" s="291">
        <f>B35/'- 3 -'!$D35*100</f>
        <v>0.50076433954607247</v>
      </c>
      <c r="D35" s="285">
        <f>B35/'- 7 -'!$E35</f>
        <v>59.165376669030806</v>
      </c>
      <c r="E35" s="285">
        <v>627848</v>
      </c>
      <c r="F35" s="291">
        <f>E35/'- 3 -'!$D35*100</f>
        <v>0.32773038989981884</v>
      </c>
      <c r="G35" s="285">
        <f>E35/'- 7 -'!$E35</f>
        <v>38.721391347250915</v>
      </c>
      <c r="H35" s="285">
        <v>500184</v>
      </c>
      <c r="I35" s="291">
        <f>H35/'- 3 -'!$D35*100</f>
        <v>0.261091056022558</v>
      </c>
      <c r="J35" s="285">
        <f>H35/'- 7 -'!$E35</f>
        <v>30.847944740818402</v>
      </c>
    </row>
    <row r="36" spans="1:10" ht="14.1" customHeight="1" x14ac:dyDescent="0.2">
      <c r="A36" s="19" t="s">
        <v>134</v>
      </c>
      <c r="B36" s="20">
        <v>197583</v>
      </c>
      <c r="C36" s="70">
        <f>B36/'- 3 -'!$D36*100</f>
        <v>0.83551755822495932</v>
      </c>
      <c r="D36" s="20">
        <f>B36/'- 7 -'!$E36</f>
        <v>115.1080687445383</v>
      </c>
      <c r="E36" s="20">
        <v>335766</v>
      </c>
      <c r="F36" s="70">
        <f>E36/'- 3 -'!$D36*100</f>
        <v>1.4198508396722476</v>
      </c>
      <c r="G36" s="20">
        <f>E36/'- 7 -'!$E36</f>
        <v>195.61083600349548</v>
      </c>
      <c r="H36" s="20">
        <v>249350</v>
      </c>
      <c r="I36" s="70">
        <f>H36/'- 3 -'!$D36*100</f>
        <v>1.054424232567547</v>
      </c>
      <c r="J36" s="20">
        <f>H36/'- 7 -'!$E36</f>
        <v>145.26653073113894</v>
      </c>
    </row>
    <row r="37" spans="1:10" ht="14.1" customHeight="1" x14ac:dyDescent="0.2">
      <c r="A37" s="284" t="s">
        <v>135</v>
      </c>
      <c r="B37" s="285">
        <v>299230</v>
      </c>
      <c r="C37" s="291">
        <f>B37/'- 3 -'!$D37*100</f>
        <v>0.54525055750926532</v>
      </c>
      <c r="D37" s="285">
        <f>B37/'- 7 -'!$E37</f>
        <v>69.956048066582511</v>
      </c>
      <c r="E37" s="285">
        <v>856110</v>
      </c>
      <c r="F37" s="291">
        <f>E37/'- 3 -'!$D37*100</f>
        <v>1.5599854786928353</v>
      </c>
      <c r="G37" s="285">
        <f>E37/'- 7 -'!$E37</f>
        <v>200.14728573432461</v>
      </c>
      <c r="H37" s="285">
        <v>786748</v>
      </c>
      <c r="I37" s="291">
        <f>H37/'- 3 -'!$D37*100</f>
        <v>1.4335955138832985</v>
      </c>
      <c r="J37" s="285">
        <f>H37/'- 7 -'!$E37</f>
        <v>183.93136017206717</v>
      </c>
    </row>
    <row r="38" spans="1:10" ht="14.1" customHeight="1" x14ac:dyDescent="0.2">
      <c r="A38" s="19" t="s">
        <v>136</v>
      </c>
      <c r="B38" s="20">
        <v>334860</v>
      </c>
      <c r="C38" s="70">
        <f>B38/'- 3 -'!$D38*100</f>
        <v>0.22704982953837055</v>
      </c>
      <c r="D38" s="20">
        <f>B38/'- 7 -'!$E38</f>
        <v>29.214796719595185</v>
      </c>
      <c r="E38" s="20">
        <v>740520</v>
      </c>
      <c r="F38" s="70">
        <f>E38/'- 3 -'!$D38*100</f>
        <v>0.50210517759587336</v>
      </c>
      <c r="G38" s="20">
        <f>E38/'- 7 -'!$E38</f>
        <v>64.60652591170826</v>
      </c>
      <c r="H38" s="20">
        <v>1359165</v>
      </c>
      <c r="I38" s="70">
        <f>H38/'- 3 -'!$D38*100</f>
        <v>0.92157373697819789</v>
      </c>
      <c r="J38" s="20">
        <f>H38/'- 7 -'!$E38</f>
        <v>118.58009073460128</v>
      </c>
    </row>
    <row r="39" spans="1:10" ht="14.1" customHeight="1" x14ac:dyDescent="0.2">
      <c r="A39" s="284" t="s">
        <v>137</v>
      </c>
      <c r="B39" s="285">
        <v>189270</v>
      </c>
      <c r="C39" s="291">
        <f>B39/'- 3 -'!$D39*100</f>
        <v>0.87005800662525701</v>
      </c>
      <c r="D39" s="285">
        <f>B39/'- 7 -'!$E39</f>
        <v>126.43286573146293</v>
      </c>
      <c r="E39" s="285">
        <v>111133</v>
      </c>
      <c r="F39" s="291">
        <f>E39/'- 3 -'!$D39*100</f>
        <v>0.51086889866478935</v>
      </c>
      <c r="G39" s="285">
        <f>E39/'- 7 -'!$E39</f>
        <v>74.237140948563791</v>
      </c>
      <c r="H39" s="285">
        <v>189956</v>
      </c>
      <c r="I39" s="291">
        <f>H39/'- 3 -'!$D39*100</f>
        <v>0.87321148996939468</v>
      </c>
      <c r="J39" s="285">
        <f>H39/'- 7 -'!$E39</f>
        <v>126.89111556446225</v>
      </c>
    </row>
    <row r="40" spans="1:10" ht="14.1" customHeight="1" x14ac:dyDescent="0.2">
      <c r="A40" s="19" t="s">
        <v>138</v>
      </c>
      <c r="B40" s="20">
        <v>703275</v>
      </c>
      <c r="C40" s="70">
        <f>B40/'- 3 -'!$D40*100</f>
        <v>0.66077696434397615</v>
      </c>
      <c r="D40" s="20">
        <f>B40/'- 7 -'!$E40</f>
        <v>86.184922433263438</v>
      </c>
      <c r="E40" s="20">
        <v>570648</v>
      </c>
      <c r="F40" s="70">
        <f>E40/'- 3 -'!$D40*100</f>
        <v>0.53616444939598495</v>
      </c>
      <c r="G40" s="20">
        <f>E40/'- 7 -'!$E40</f>
        <v>69.931753036432283</v>
      </c>
      <c r="H40" s="20">
        <v>722936</v>
      </c>
      <c r="I40" s="70">
        <f>H40/'- 3 -'!$D40*100</f>
        <v>0.67924987450851615</v>
      </c>
      <c r="J40" s="20">
        <f>H40/'- 7 -'!$E40</f>
        <v>88.594338038766821</v>
      </c>
    </row>
    <row r="41" spans="1:10" ht="14.1" customHeight="1" x14ac:dyDescent="0.2">
      <c r="A41" s="284" t="s">
        <v>139</v>
      </c>
      <c r="B41" s="285">
        <v>389602</v>
      </c>
      <c r="C41" s="291">
        <f>B41/'- 3 -'!$D41*100</f>
        <v>0.60453233689868002</v>
      </c>
      <c r="D41" s="285">
        <f>B41/'- 7 -'!$E41</f>
        <v>86.616718541574031</v>
      </c>
      <c r="E41" s="285">
        <v>693960</v>
      </c>
      <c r="F41" s="291">
        <f>E41/'- 3 -'!$D41*100</f>
        <v>1.076794422293027</v>
      </c>
      <c r="G41" s="285">
        <f>E41/'- 7 -'!$E41</f>
        <v>154.28190306803023</v>
      </c>
      <c r="H41" s="285">
        <v>308174</v>
      </c>
      <c r="I41" s="291">
        <f>H41/'- 3 -'!$D41*100</f>
        <v>0.47818324441715854</v>
      </c>
      <c r="J41" s="285">
        <f>H41/'- 7 -'!$E41</f>
        <v>68.513561582925746</v>
      </c>
    </row>
    <row r="42" spans="1:10" ht="14.1" customHeight="1" x14ac:dyDescent="0.2">
      <c r="A42" s="19" t="s">
        <v>140</v>
      </c>
      <c r="B42" s="20">
        <v>214786</v>
      </c>
      <c r="C42" s="70">
        <f>B42/'- 3 -'!$D42*100</f>
        <v>1.0508496120042639</v>
      </c>
      <c r="D42" s="20">
        <f>B42/'- 7 -'!$E42</f>
        <v>156.76665936792932</v>
      </c>
      <c r="E42" s="20">
        <v>161043</v>
      </c>
      <c r="F42" s="70">
        <f>E42/'- 3 -'!$D42*100</f>
        <v>0.78790970578158093</v>
      </c>
      <c r="G42" s="20">
        <f>E42/'- 7 -'!$E42</f>
        <v>117.54105539741623</v>
      </c>
      <c r="H42" s="20">
        <v>304773</v>
      </c>
      <c r="I42" s="70">
        <f>H42/'- 3 -'!$D42*100</f>
        <v>1.4911148249856856</v>
      </c>
      <c r="J42" s="20">
        <f>H42/'- 7 -'!$E42</f>
        <v>222.44580687541054</v>
      </c>
    </row>
    <row r="43" spans="1:10" ht="14.1" customHeight="1" x14ac:dyDescent="0.2">
      <c r="A43" s="284" t="s">
        <v>141</v>
      </c>
      <c r="B43" s="285">
        <v>66426</v>
      </c>
      <c r="C43" s="291">
        <f>B43/'- 3 -'!$D43*100</f>
        <v>0.50893899482058458</v>
      </c>
      <c r="D43" s="285">
        <f>B43/'- 7 -'!$E43</f>
        <v>66.260349127182039</v>
      </c>
      <c r="E43" s="285">
        <v>105244</v>
      </c>
      <c r="F43" s="291">
        <f>E43/'- 3 -'!$D43*100</f>
        <v>0.80635256632790775</v>
      </c>
      <c r="G43" s="285">
        <f>E43/'- 7 -'!$E43</f>
        <v>104.98154613466335</v>
      </c>
      <c r="H43" s="285">
        <v>206768</v>
      </c>
      <c r="I43" s="291">
        <f>H43/'- 3 -'!$D43*100</f>
        <v>1.5842034456547531</v>
      </c>
      <c r="J43" s="285">
        <f>H43/'- 7 -'!$E43</f>
        <v>206.25236907730672</v>
      </c>
    </row>
    <row r="44" spans="1:10" ht="14.1" customHeight="1" x14ac:dyDescent="0.2">
      <c r="A44" s="19" t="s">
        <v>142</v>
      </c>
      <c r="B44" s="20">
        <v>122588</v>
      </c>
      <c r="C44" s="70">
        <f>B44/'- 3 -'!$D44*100</f>
        <v>1.1526655649765989</v>
      </c>
      <c r="D44" s="20">
        <f>B44/'- 7 -'!$E44</f>
        <v>177.15028901734104</v>
      </c>
      <c r="E44" s="20">
        <v>72999</v>
      </c>
      <c r="F44" s="70">
        <f>E44/'- 3 -'!$D44*100</f>
        <v>0.68639209039813631</v>
      </c>
      <c r="G44" s="20">
        <f>E44/'- 7 -'!$E44</f>
        <v>105.48988439306359</v>
      </c>
      <c r="H44" s="20">
        <v>209603</v>
      </c>
      <c r="I44" s="70">
        <f>H44/'- 3 -'!$D44*100</f>
        <v>1.970846742061132</v>
      </c>
      <c r="J44" s="20">
        <f>H44/'- 7 -'!$E44</f>
        <v>302.89450867052022</v>
      </c>
    </row>
    <row r="45" spans="1:10" ht="14.1" customHeight="1" x14ac:dyDescent="0.2">
      <c r="A45" s="284" t="s">
        <v>143</v>
      </c>
      <c r="B45" s="285">
        <v>233747</v>
      </c>
      <c r="C45" s="291">
        <f>B45/'- 3 -'!$D45*100</f>
        <v>1.1048544690648832</v>
      </c>
      <c r="D45" s="285">
        <f>B45/'- 7 -'!$E45</f>
        <v>122.06109660574413</v>
      </c>
      <c r="E45" s="285">
        <v>73585</v>
      </c>
      <c r="F45" s="291">
        <f>E45/'- 3 -'!$D45*100</f>
        <v>0.34781501412270283</v>
      </c>
      <c r="G45" s="285">
        <f>E45/'- 7 -'!$E45</f>
        <v>38.425587467362924</v>
      </c>
      <c r="H45" s="285">
        <v>129101</v>
      </c>
      <c r="I45" s="291">
        <f>H45/'- 3 -'!$D45*100</f>
        <v>0.61022309082360615</v>
      </c>
      <c r="J45" s="285">
        <f>H45/'- 7 -'!$E45</f>
        <v>67.415665796344641</v>
      </c>
    </row>
    <row r="46" spans="1:10" ht="14.1" customHeight="1" x14ac:dyDescent="0.2">
      <c r="A46" s="19" t="s">
        <v>144</v>
      </c>
      <c r="B46" s="20">
        <v>2231662</v>
      </c>
      <c r="C46" s="70">
        <f>B46/'- 3 -'!$D46*100</f>
        <v>0.53983367131023452</v>
      </c>
      <c r="D46" s="20">
        <f>B46/'- 7 -'!$E46</f>
        <v>75.547889788995818</v>
      </c>
      <c r="E46" s="20">
        <v>980607</v>
      </c>
      <c r="F46" s="70">
        <f>E46/'- 3 -'!$D46*100</f>
        <v>0.23720647522900651</v>
      </c>
      <c r="G46" s="20">
        <f>E46/'- 7 -'!$E46</f>
        <v>33.196240990937618</v>
      </c>
      <c r="H46" s="20">
        <v>5528613</v>
      </c>
      <c r="I46" s="70">
        <f>H46/'- 3 -'!$D46*100</f>
        <v>1.3373581900142091</v>
      </c>
      <c r="J46" s="20">
        <f>H46/'- 7 -'!$E46</f>
        <v>187.15873891745684</v>
      </c>
    </row>
    <row r="47" spans="1:10" ht="5.0999999999999996" customHeight="1" x14ac:dyDescent="0.2">
      <c r="A47" s="21"/>
      <c r="B47" s="22"/>
      <c r="C47"/>
      <c r="D47"/>
      <c r="E47"/>
      <c r="F47"/>
      <c r="G47"/>
      <c r="H47"/>
      <c r="I47"/>
      <c r="J47"/>
    </row>
    <row r="48" spans="1:10" ht="14.1" customHeight="1" x14ac:dyDescent="0.2">
      <c r="A48" s="286" t="s">
        <v>145</v>
      </c>
      <c r="B48" s="287">
        <f>SUM(B11:B46)</f>
        <v>14521620</v>
      </c>
      <c r="C48" s="294">
        <f>B48/'- 3 -'!$D48*100</f>
        <v>0.60211831421080753</v>
      </c>
      <c r="D48" s="287">
        <f>B48/'- 7 -'!$E48</f>
        <v>80.57512234316944</v>
      </c>
      <c r="E48" s="287">
        <v>12917906</v>
      </c>
      <c r="F48" s="294">
        <f>E48/'- 3 -'!$D48*100</f>
        <v>0.53562259471420381</v>
      </c>
      <c r="G48" s="287">
        <f>E48/'- 7 -'!$E48</f>
        <v>71.676703864139299</v>
      </c>
      <c r="H48" s="287">
        <v>27008733</v>
      </c>
      <c r="I48" s="294">
        <f>H48/'- 3 -'!$D48*100</f>
        <v>1.1198786900448991</v>
      </c>
      <c r="J48" s="287">
        <f>H48/'- 7 -'!$E48</f>
        <v>149.86151447352279</v>
      </c>
    </row>
    <row r="49" spans="1:10" ht="5.0999999999999996" customHeight="1" x14ac:dyDescent="0.2">
      <c r="A49" s="21" t="s">
        <v>7</v>
      </c>
      <c r="B49" s="22"/>
      <c r="C49"/>
      <c r="D49"/>
      <c r="E49"/>
      <c r="F49"/>
      <c r="G49"/>
      <c r="H49"/>
      <c r="I49"/>
      <c r="J49"/>
    </row>
    <row r="50" spans="1:10" ht="14.1" customHeight="1" x14ac:dyDescent="0.2">
      <c r="A50" s="19" t="s">
        <v>146</v>
      </c>
      <c r="B50" s="20">
        <v>0</v>
      </c>
      <c r="C50" s="70">
        <f>B50/'- 3 -'!$D50*100</f>
        <v>0</v>
      </c>
      <c r="D50" s="20">
        <f>B50/'- 7 -'!$E50</f>
        <v>0</v>
      </c>
      <c r="E50" s="20">
        <v>41013</v>
      </c>
      <c r="F50" s="70">
        <f>E50/'- 3 -'!$D50*100</f>
        <v>1.2914161273826947</v>
      </c>
      <c r="G50" s="20">
        <f>E50/'- 7 -'!$E50</f>
        <v>215.8578947368421</v>
      </c>
      <c r="H50" s="20">
        <v>14654</v>
      </c>
      <c r="I50" s="70">
        <f>H50/'- 3 -'!$D50*100</f>
        <v>0.46142471730100232</v>
      </c>
      <c r="J50" s="20">
        <f>H50/'- 7 -'!$E50</f>
        <v>77.126315789473679</v>
      </c>
    </row>
    <row r="51" spans="1:10" ht="14.1" customHeight="1" x14ac:dyDescent="0.2">
      <c r="A51" s="284" t="s">
        <v>599</v>
      </c>
      <c r="B51" s="285">
        <v>19651</v>
      </c>
      <c r="C51" s="291">
        <f>B51/'- 3 -'!$D51*100</f>
        <v>6.5130325446468851E-2</v>
      </c>
      <c r="D51" s="285">
        <f>B51/'- 7 -'!$E51</f>
        <v>15.924635332252837</v>
      </c>
      <c r="E51" s="285">
        <v>273996</v>
      </c>
      <c r="F51" s="291">
        <f>E51/'- 3 -'!$D51*100</f>
        <v>0.90811911103916754</v>
      </c>
      <c r="G51" s="285">
        <f>E51/'- 7 -'!$E51</f>
        <v>222.03889789303079</v>
      </c>
      <c r="H51" s="285">
        <v>71265</v>
      </c>
      <c r="I51" s="291">
        <f>H51/'- 3 -'!$D51*100</f>
        <v>0.23619727458870304</v>
      </c>
      <c r="J51" s="285">
        <f>H51/'- 7 -'!$E51</f>
        <v>57.75121555915721</v>
      </c>
    </row>
    <row r="52" spans="1:10" ht="50.1" customHeight="1" x14ac:dyDescent="0.2">
      <c r="A52" s="23"/>
      <c r="B52" s="23"/>
      <c r="C52" s="23"/>
      <c r="D52" s="23"/>
      <c r="E52" s="23"/>
      <c r="F52" s="23"/>
      <c r="G52" s="23"/>
      <c r="H52" s="23"/>
      <c r="I52" s="23"/>
      <c r="J52" s="23"/>
    </row>
    <row r="53" spans="1:10" ht="15" customHeight="1" x14ac:dyDescent="0.2">
      <c r="A53" s="625" t="s">
        <v>511</v>
      </c>
      <c r="B53" s="625"/>
      <c r="C53" s="625"/>
      <c r="D53" s="625"/>
      <c r="E53" s="625"/>
      <c r="F53" s="625"/>
      <c r="G53" s="625"/>
      <c r="H53" s="625"/>
      <c r="I53" s="625"/>
      <c r="J53" s="625"/>
    </row>
    <row r="54" spans="1:10" ht="12" customHeight="1" x14ac:dyDescent="0.2">
      <c r="A54" s="626"/>
      <c r="B54" s="626"/>
      <c r="C54" s="626"/>
      <c r="D54" s="626"/>
      <c r="E54" s="626"/>
      <c r="F54" s="626"/>
      <c r="G54" s="626"/>
      <c r="H54" s="626"/>
      <c r="I54" s="626"/>
      <c r="J54" s="626"/>
    </row>
    <row r="55" spans="1:10" ht="12" customHeight="1" x14ac:dyDescent="0.2">
      <c r="A55" s="626"/>
      <c r="B55" s="626"/>
      <c r="C55" s="626"/>
      <c r="D55" s="626"/>
      <c r="E55" s="626"/>
      <c r="F55" s="626"/>
      <c r="G55" s="626"/>
      <c r="H55" s="626"/>
      <c r="I55" s="626"/>
      <c r="J55" s="626"/>
    </row>
    <row r="56" spans="1:10" x14ac:dyDescent="0.2">
      <c r="A56" s="133" t="s">
        <v>412</v>
      </c>
    </row>
  </sheetData>
  <mergeCells count="7">
    <mergeCell ref="A53:J55"/>
    <mergeCell ref="B7:D7"/>
    <mergeCell ref="E7:G7"/>
    <mergeCell ref="H7:J7"/>
    <mergeCell ref="D8:D9"/>
    <mergeCell ref="G8:G9"/>
    <mergeCell ref="J8:J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autoPageBreaks="0" fitToPage="1"/>
  </sheetPr>
  <dimension ref="A1:H54"/>
  <sheetViews>
    <sheetView showGridLines="0" showZeros="0" workbookViewId="0"/>
  </sheetViews>
  <sheetFormatPr defaultColWidth="15.83203125" defaultRowHeight="12" x14ac:dyDescent="0.2"/>
  <cols>
    <col min="1" max="1" width="32.83203125" style="2" customWidth="1"/>
    <col min="2" max="2" width="18.83203125" style="2" customWidth="1"/>
    <col min="3" max="3" width="9.83203125" style="2" customWidth="1"/>
    <col min="4" max="4" width="10.83203125" style="2" customWidth="1"/>
    <col min="5" max="5" width="18.83203125" style="2" customWidth="1"/>
    <col min="6" max="6" width="9.83203125" style="2" customWidth="1"/>
    <col min="7" max="7" width="10.83203125" style="2" customWidth="1"/>
    <col min="8" max="8" width="22.1640625" style="2" customWidth="1"/>
    <col min="9" max="16384" width="15.83203125" style="2"/>
  </cols>
  <sheetData>
    <row r="1" spans="1:8" ht="6.95" customHeight="1" x14ac:dyDescent="0.2">
      <c r="A1" s="7"/>
      <c r="B1" s="7"/>
      <c r="C1" s="7"/>
      <c r="D1" s="7"/>
      <c r="E1" s="8"/>
      <c r="F1" s="8"/>
      <c r="G1" s="8"/>
    </row>
    <row r="2" spans="1:8" ht="15.95" customHeight="1" x14ac:dyDescent="0.2">
      <c r="A2" s="134"/>
      <c r="B2" s="9" t="s">
        <v>284</v>
      </c>
      <c r="C2" s="141"/>
      <c r="D2" s="141"/>
      <c r="E2" s="9"/>
      <c r="F2" s="142"/>
      <c r="G2" s="143"/>
      <c r="H2" s="144"/>
    </row>
    <row r="3" spans="1:8" ht="15.95" customHeight="1" x14ac:dyDescent="0.2">
      <c r="A3" s="541"/>
      <c r="B3" s="11" t="str">
        <f>OPYEAR</f>
        <v>OPERATING FUND 2019/2020 ACTUAL</v>
      </c>
      <c r="C3" s="145"/>
      <c r="D3" s="145"/>
      <c r="E3" s="11"/>
      <c r="F3" s="146"/>
      <c r="G3" s="146"/>
      <c r="H3" s="147"/>
    </row>
    <row r="4" spans="1:8" ht="15.95" customHeight="1" x14ac:dyDescent="0.2">
      <c r="E4" s="8"/>
      <c r="F4" s="8"/>
      <c r="G4" s="8"/>
    </row>
    <row r="5" spans="1:8" ht="18" customHeight="1" x14ac:dyDescent="0.2">
      <c r="B5" s="559" t="s">
        <v>265</v>
      </c>
      <c r="C5" s="560"/>
      <c r="D5" s="561"/>
      <c r="E5" s="148"/>
      <c r="F5" s="149"/>
      <c r="G5" s="150"/>
    </row>
    <row r="6" spans="1:8" ht="15.95" customHeight="1" x14ac:dyDescent="0.2">
      <c r="B6" s="676" t="s">
        <v>512</v>
      </c>
      <c r="C6" s="680"/>
      <c r="D6" s="677"/>
      <c r="E6" s="321"/>
      <c r="F6" s="322"/>
      <c r="G6" s="323"/>
    </row>
    <row r="7" spans="1:8" ht="15.95" customHeight="1" x14ac:dyDescent="0.2">
      <c r="B7" s="678"/>
      <c r="C7" s="681"/>
      <c r="D7" s="679"/>
      <c r="E7" s="716" t="s">
        <v>31</v>
      </c>
      <c r="F7" s="717"/>
      <c r="G7" s="718"/>
    </row>
    <row r="8" spans="1:8" ht="15.95" customHeight="1" x14ac:dyDescent="0.2">
      <c r="A8" s="67"/>
      <c r="B8" s="139"/>
      <c r="C8" s="68"/>
      <c r="D8" s="608" t="s">
        <v>471</v>
      </c>
      <c r="E8" s="139"/>
      <c r="F8" s="137"/>
      <c r="G8" s="608" t="s">
        <v>471</v>
      </c>
    </row>
    <row r="9" spans="1:8" ht="15.95" customHeight="1" x14ac:dyDescent="0.2">
      <c r="A9" s="35" t="s">
        <v>42</v>
      </c>
      <c r="B9" s="77" t="s">
        <v>43</v>
      </c>
      <c r="C9" s="77" t="s">
        <v>44</v>
      </c>
      <c r="D9" s="604"/>
      <c r="E9" s="77" t="s">
        <v>43</v>
      </c>
      <c r="F9" s="77" t="s">
        <v>44</v>
      </c>
      <c r="G9" s="604"/>
    </row>
    <row r="10" spans="1:8" ht="5.0999999999999996" customHeight="1" x14ac:dyDescent="0.2">
      <c r="A10" s="6"/>
      <c r="B10" s="6"/>
      <c r="C10" s="6"/>
      <c r="D10" s="6"/>
    </row>
    <row r="11" spans="1:8" ht="14.1" customHeight="1" x14ac:dyDescent="0.2">
      <c r="A11" s="284" t="s">
        <v>110</v>
      </c>
      <c r="B11" s="285">
        <f>'- 26 -'!B11</f>
        <v>34949</v>
      </c>
      <c r="C11" s="291">
        <f>'- 26 -'!C11</f>
        <v>0.16628351374778175</v>
      </c>
      <c r="D11" s="285">
        <f>'- 26 -'!D11</f>
        <v>17.651010101010101</v>
      </c>
      <c r="E11" s="285">
        <f>SUM('- 37 -'!B11,'- 37 -'!E11,'- 37 -'!H11,B11)</f>
        <v>612533</v>
      </c>
      <c r="F11" s="291">
        <f>E11/'- 3 -'!D11*100</f>
        <v>2.9143649182085323</v>
      </c>
      <c r="G11" s="285">
        <f>E11/'- 7 -'!E11</f>
        <v>309.360101010101</v>
      </c>
    </row>
    <row r="12" spans="1:8" ht="14.1" customHeight="1" x14ac:dyDescent="0.2">
      <c r="A12" s="19" t="s">
        <v>111</v>
      </c>
      <c r="B12" s="20">
        <f>'- 26 -'!B12</f>
        <v>84357</v>
      </c>
      <c r="C12" s="70">
        <f>'- 26 -'!C12</f>
        <v>0.25145229596093516</v>
      </c>
      <c r="D12" s="20">
        <f>'- 26 -'!D12</f>
        <v>38.778409090909086</v>
      </c>
      <c r="E12" s="20">
        <f>SUM('- 37 -'!B12,'- 37 -'!E12,'- 37 -'!H12,B12)</f>
        <v>715860</v>
      </c>
      <c r="F12" s="70">
        <f>E12/'- 3 -'!D12*100</f>
        <v>2.1338435528361019</v>
      </c>
      <c r="G12" s="20">
        <f>E12/'- 7 -'!E12</f>
        <v>329.07656663724623</v>
      </c>
    </row>
    <row r="13" spans="1:8" ht="14.1" customHeight="1" x14ac:dyDescent="0.2">
      <c r="A13" s="284" t="s">
        <v>112</v>
      </c>
      <c r="B13" s="285">
        <f>'- 26 -'!B13</f>
        <v>341944</v>
      </c>
      <c r="C13" s="291">
        <f>'- 26 -'!C13</f>
        <v>0.32708228377248166</v>
      </c>
      <c r="D13" s="285">
        <f>'- 26 -'!D13</f>
        <v>39.485450346420322</v>
      </c>
      <c r="E13" s="285">
        <f>SUM('- 37 -'!B13,'- 37 -'!E13,'- 37 -'!H13,B13)</f>
        <v>3338566</v>
      </c>
      <c r="F13" s="291">
        <f>E13/'- 3 -'!D13*100</f>
        <v>3.1934638180671659</v>
      </c>
      <c r="G13" s="285">
        <f>E13/'- 7 -'!E13</f>
        <v>385.51570438799075</v>
      </c>
    </row>
    <row r="14" spans="1:8" ht="14.1" customHeight="1" x14ac:dyDescent="0.2">
      <c r="A14" s="19" t="s">
        <v>358</v>
      </c>
      <c r="B14" s="20">
        <f>'- 26 -'!B14</f>
        <v>123062</v>
      </c>
      <c r="C14" s="70">
        <f>'- 26 -'!C14</f>
        <v>0.13737511916031833</v>
      </c>
      <c r="D14" s="20">
        <f>'- 26 -'!D14</f>
        <v>22.235351936572641</v>
      </c>
      <c r="E14" s="20">
        <f>SUM('- 37 -'!B14,'- 37 -'!E14,'- 37 -'!H14,B14)</f>
        <v>2137959</v>
      </c>
      <c r="F14" s="70">
        <f>E14/'- 3 -'!D14*100</f>
        <v>2.3866211534419648</v>
      </c>
      <c r="G14" s="20">
        <f>E14/'- 7 -'!E14</f>
        <v>386.29528848030185</v>
      </c>
    </row>
    <row r="15" spans="1:8" ht="14.1" customHeight="1" x14ac:dyDescent="0.2">
      <c r="A15" s="284" t="s">
        <v>113</v>
      </c>
      <c r="B15" s="285">
        <f>'- 26 -'!B15</f>
        <v>21940</v>
      </c>
      <c r="C15" s="291">
        <f>'- 26 -'!C15</f>
        <v>0.11123066746106521</v>
      </c>
      <c r="D15" s="285">
        <f>'- 26 -'!D15</f>
        <v>15.073857780831329</v>
      </c>
      <c r="E15" s="285">
        <f>SUM('- 37 -'!B15,'- 37 -'!E15,'- 37 -'!H15,B15)</f>
        <v>391146</v>
      </c>
      <c r="F15" s="291">
        <f>E15/'- 3 -'!D15*100</f>
        <v>1.9830187171707296</v>
      </c>
      <c r="G15" s="285">
        <f>E15/'- 7 -'!E15</f>
        <v>268.73651666094128</v>
      </c>
    </row>
    <row r="16" spans="1:8" ht="14.1" customHeight="1" x14ac:dyDescent="0.2">
      <c r="A16" s="19" t="s">
        <v>114</v>
      </c>
      <c r="B16" s="20">
        <f>'- 26 -'!B16</f>
        <v>35866</v>
      </c>
      <c r="C16" s="70">
        <f>'- 26 -'!C16</f>
        <v>0.24953118110080641</v>
      </c>
      <c r="D16" s="20">
        <f>'- 26 -'!D16</f>
        <v>39.408856169651685</v>
      </c>
      <c r="E16" s="20">
        <f>SUM('- 37 -'!B16,'- 37 -'!E16,'- 37 -'!H16,B16)</f>
        <v>218930</v>
      </c>
      <c r="F16" s="70">
        <f>E16/'- 3 -'!D16*100</f>
        <v>1.5231657134444752</v>
      </c>
      <c r="G16" s="20">
        <f>E16/'- 7 -'!E16</f>
        <v>240.55598285902647</v>
      </c>
    </row>
    <row r="17" spans="1:7" ht="14.1" customHeight="1" x14ac:dyDescent="0.2">
      <c r="A17" s="284" t="s">
        <v>115</v>
      </c>
      <c r="B17" s="285">
        <f>'- 26 -'!B17</f>
        <v>78691</v>
      </c>
      <c r="C17" s="291">
        <f>'- 26 -'!C17</f>
        <v>0.43716566473725116</v>
      </c>
      <c r="D17" s="285">
        <f>'- 26 -'!D17</f>
        <v>55.047918852745717</v>
      </c>
      <c r="E17" s="285">
        <f>SUM('- 37 -'!B17,'- 37 -'!E17,'- 37 -'!H17,B17)</f>
        <v>448345</v>
      </c>
      <c r="F17" s="291">
        <f>E17/'- 3 -'!D17*100</f>
        <v>2.4907681940326452</v>
      </c>
      <c r="G17" s="285">
        <f>E17/'- 7 -'!E17</f>
        <v>313.63763553690103</v>
      </c>
    </row>
    <row r="18" spans="1:7" ht="14.1" customHeight="1" x14ac:dyDescent="0.2">
      <c r="A18" s="19" t="s">
        <v>116</v>
      </c>
      <c r="B18" s="20">
        <f>'- 26 -'!B18</f>
        <v>716446</v>
      </c>
      <c r="C18" s="70">
        <f>'- 26 -'!C18</f>
        <v>0.53794208271989363</v>
      </c>
      <c r="D18" s="20">
        <f>'- 26 -'!D18</f>
        <v>120.27969445143961</v>
      </c>
      <c r="E18" s="20">
        <f>SUM('- 37 -'!B18,'- 37 -'!E18,'- 37 -'!H18,B18)</f>
        <v>3318427</v>
      </c>
      <c r="F18" s="70">
        <f>E18/'- 3 -'!D18*100</f>
        <v>2.4916344452114023</v>
      </c>
      <c r="G18" s="20">
        <f>E18/'- 7 -'!E18</f>
        <v>557.11021573071434</v>
      </c>
    </row>
    <row r="19" spans="1:7" ht="14.1" customHeight="1" x14ac:dyDescent="0.2">
      <c r="A19" s="284" t="s">
        <v>117</v>
      </c>
      <c r="B19" s="285">
        <f>'- 26 -'!B19</f>
        <v>134261</v>
      </c>
      <c r="C19" s="291">
        <f>'- 26 -'!C19</f>
        <v>0.26998535844069876</v>
      </c>
      <c r="D19" s="285">
        <f>'- 26 -'!D19</f>
        <v>30.484072383806733</v>
      </c>
      <c r="E19" s="285">
        <f>SUM('- 37 -'!B19,'- 37 -'!E19,'- 37 -'!H19,B19)</f>
        <v>1328407</v>
      </c>
      <c r="F19" s="291">
        <f>E19/'- 3 -'!D19*100</f>
        <v>2.6712927808532139</v>
      </c>
      <c r="G19" s="285">
        <f>E19/'- 7 -'!E19</f>
        <v>301.61592080466818</v>
      </c>
    </row>
    <row r="20" spans="1:7" ht="14.1" customHeight="1" x14ac:dyDescent="0.2">
      <c r="A20" s="19" t="s">
        <v>118</v>
      </c>
      <c r="B20" s="20">
        <f>'- 26 -'!B20</f>
        <v>103275</v>
      </c>
      <c r="C20" s="70">
        <f>'- 26 -'!C20</f>
        <v>0.11667144649615227</v>
      </c>
      <c r="D20" s="20">
        <f>'- 26 -'!D20</f>
        <v>12.876379278099868</v>
      </c>
      <c r="E20" s="20">
        <f>SUM('- 37 -'!B20,'- 37 -'!E20,'- 37 -'!H20,B20)</f>
        <v>3229277</v>
      </c>
      <c r="F20" s="70">
        <f>E20/'- 3 -'!D20*100</f>
        <v>3.6481667269596239</v>
      </c>
      <c r="G20" s="20">
        <f>E20/'- 7 -'!E20</f>
        <v>402.62789102923756</v>
      </c>
    </row>
    <row r="21" spans="1:7" ht="14.1" customHeight="1" x14ac:dyDescent="0.2">
      <c r="A21" s="284" t="s">
        <v>119</v>
      </c>
      <c r="B21" s="285">
        <f>'- 26 -'!B21</f>
        <v>44253</v>
      </c>
      <c r="C21" s="291">
        <f>'- 26 -'!C21</f>
        <v>0.1176653960197173</v>
      </c>
      <c r="D21" s="285">
        <f>'- 26 -'!D21</f>
        <v>15.67587672688629</v>
      </c>
      <c r="E21" s="285">
        <f>SUM('- 37 -'!B21,'- 37 -'!E21,'- 37 -'!H21,B21)</f>
        <v>1054823</v>
      </c>
      <c r="F21" s="291">
        <f>E21/'- 3 -'!D21*100</f>
        <v>2.8046949591147783</v>
      </c>
      <c r="G21" s="285">
        <f>E21/'- 7 -'!E21</f>
        <v>373.65320580942262</v>
      </c>
    </row>
    <row r="22" spans="1:7" ht="14.1" customHeight="1" x14ac:dyDescent="0.2">
      <c r="A22" s="19" t="s">
        <v>120</v>
      </c>
      <c r="B22" s="20">
        <f>'- 26 -'!B22</f>
        <v>20189</v>
      </c>
      <c r="C22" s="70">
        <f>'- 26 -'!C22</f>
        <v>9.779948968324137E-2</v>
      </c>
      <c r="D22" s="20">
        <f>'- 26 -'!D22</f>
        <v>13.152442996742671</v>
      </c>
      <c r="E22" s="20">
        <f>SUM('- 37 -'!B22,'- 37 -'!E22,'- 37 -'!H22,B22)</f>
        <v>399923</v>
      </c>
      <c r="F22" s="70">
        <f>E22/'- 3 -'!D22*100</f>
        <v>1.9373057265139895</v>
      </c>
      <c r="G22" s="20">
        <f>E22/'- 7 -'!E22</f>
        <v>260.53615635179153</v>
      </c>
    </row>
    <row r="23" spans="1:7" ht="14.1" customHeight="1" x14ac:dyDescent="0.2">
      <c r="A23" s="284" t="s">
        <v>121</v>
      </c>
      <c r="B23" s="285">
        <f>'- 26 -'!B23</f>
        <v>26293</v>
      </c>
      <c r="C23" s="291">
        <f>'- 26 -'!C23</f>
        <v>0.16941302667812197</v>
      </c>
      <c r="D23" s="285">
        <f>'- 26 -'!D23</f>
        <v>28.007030251384748</v>
      </c>
      <c r="E23" s="285">
        <f>SUM('- 37 -'!B23,'- 37 -'!E23,'- 37 -'!H23,B23)</f>
        <v>468090</v>
      </c>
      <c r="F23" s="291">
        <f>E23/'- 3 -'!D23*100</f>
        <v>3.0160325431773516</v>
      </c>
      <c r="G23" s="285">
        <f>E23/'- 7 -'!E23</f>
        <v>498.60460161908821</v>
      </c>
    </row>
    <row r="24" spans="1:7" ht="14.1" customHeight="1" x14ac:dyDescent="0.2">
      <c r="A24" s="19" t="s">
        <v>122</v>
      </c>
      <c r="B24" s="20">
        <f>'- 26 -'!B24</f>
        <v>171645</v>
      </c>
      <c r="C24" s="70">
        <f>'- 26 -'!C24</f>
        <v>0.29370040228459537</v>
      </c>
      <c r="D24" s="20">
        <f>'- 26 -'!D24</f>
        <v>45.839230871945517</v>
      </c>
      <c r="E24" s="20">
        <f>SUM('- 37 -'!B24,'- 37 -'!E24,'- 37 -'!H24,B24)</f>
        <v>2199311</v>
      </c>
      <c r="F24" s="70">
        <f>E24/'- 3 -'!D24*100</f>
        <v>3.7632236619122947</v>
      </c>
      <c r="G24" s="20">
        <f>E24/'- 7 -'!E24</f>
        <v>587.34437174522634</v>
      </c>
    </row>
    <row r="25" spans="1:7" ht="14.1" customHeight="1" x14ac:dyDescent="0.2">
      <c r="A25" s="284" t="s">
        <v>123</v>
      </c>
      <c r="B25" s="285">
        <f>'- 26 -'!B25</f>
        <v>969320</v>
      </c>
      <c r="C25" s="291">
        <f>'- 26 -'!C25</f>
        <v>0.49943613262858005</v>
      </c>
      <c r="D25" s="285">
        <f>'- 26 -'!D25</f>
        <v>64.573548907142055</v>
      </c>
      <c r="E25" s="285">
        <f>SUM('- 37 -'!B25,'- 37 -'!E25,'- 37 -'!H25,B25)</f>
        <v>4789023</v>
      </c>
      <c r="F25" s="291">
        <f>E25/'- 3 -'!D25*100</f>
        <v>2.467514470133001</v>
      </c>
      <c r="G25" s="285">
        <f>E25/'- 7 -'!E25</f>
        <v>319.03211623398687</v>
      </c>
    </row>
    <row r="26" spans="1:7" ht="14.1" customHeight="1" x14ac:dyDescent="0.2">
      <c r="A26" s="19" t="s">
        <v>124</v>
      </c>
      <c r="B26" s="20">
        <f>'- 26 -'!B26</f>
        <v>38953</v>
      </c>
      <c r="C26" s="70">
        <f>'- 26 -'!C26</f>
        <v>9.5217969412574821E-2</v>
      </c>
      <c r="D26" s="20">
        <f>'- 26 -'!D26</f>
        <v>12.71934693877551</v>
      </c>
      <c r="E26" s="20">
        <f>SUM('- 37 -'!B26,'- 37 -'!E26,'- 37 -'!H26,B26)</f>
        <v>1291049</v>
      </c>
      <c r="F26" s="70">
        <f>E26/'- 3 -'!D26*100</f>
        <v>3.1558818112118532</v>
      </c>
      <c r="G26" s="20">
        <f>E26/'- 7 -'!E26</f>
        <v>421.56702040816327</v>
      </c>
    </row>
    <row r="27" spans="1:7" ht="14.1" customHeight="1" x14ac:dyDescent="0.2">
      <c r="A27" s="284" t="s">
        <v>125</v>
      </c>
      <c r="B27" s="285">
        <f>'- 26 -'!B27</f>
        <v>221677</v>
      </c>
      <c r="C27" s="291">
        <f>'- 26 -'!C27</f>
        <v>0.53235878912768786</v>
      </c>
      <c r="D27" s="285">
        <f>'- 26 -'!D27</f>
        <v>73.338384072307178</v>
      </c>
      <c r="E27" s="285">
        <f>SUM('- 37 -'!B27,'- 37 -'!E27,'- 37 -'!H27,B27)</f>
        <v>814768</v>
      </c>
      <c r="F27" s="291">
        <f>E27/'- 3 -'!D27*100</f>
        <v>1.9566707682799205</v>
      </c>
      <c r="G27" s="285">
        <f>E27/'- 7 -'!E27</f>
        <v>269.55330735180274</v>
      </c>
    </row>
    <row r="28" spans="1:7" ht="14.1" customHeight="1" x14ac:dyDescent="0.2">
      <c r="A28" s="19" t="s">
        <v>126</v>
      </c>
      <c r="B28" s="20">
        <f>'- 26 -'!B28</f>
        <v>76574</v>
      </c>
      <c r="C28" s="70">
        <f>'- 26 -'!C28</f>
        <v>0.27121731642553898</v>
      </c>
      <c r="D28" s="20">
        <f>'- 26 -'!D28</f>
        <v>38.518108651911469</v>
      </c>
      <c r="E28" s="20">
        <f>SUM('- 37 -'!B28,'- 37 -'!E28,'- 37 -'!H28,B28)</f>
        <v>840349</v>
      </c>
      <c r="F28" s="70">
        <f>E28/'- 3 -'!D28*100</f>
        <v>2.9764306506240401</v>
      </c>
      <c r="G28" s="20">
        <f>E28/'- 7 -'!E28</f>
        <v>422.71076458752515</v>
      </c>
    </row>
    <row r="29" spans="1:7" ht="14.1" customHeight="1" x14ac:dyDescent="0.2">
      <c r="A29" s="284" t="s">
        <v>127</v>
      </c>
      <c r="B29" s="285">
        <f>'- 26 -'!B29</f>
        <v>1634923</v>
      </c>
      <c r="C29" s="291">
        <f>'- 26 -'!C29</f>
        <v>0.96627175673665577</v>
      </c>
      <c r="D29" s="285">
        <f>'- 26 -'!D29</f>
        <v>114.20648946945619</v>
      </c>
      <c r="E29" s="285">
        <f>SUM('- 37 -'!B29,'- 37 -'!E29,'- 37 -'!H29,B29)</f>
        <v>6186842</v>
      </c>
      <c r="F29" s="291">
        <f>E29/'- 3 -'!D29*100</f>
        <v>3.6565457137688591</v>
      </c>
      <c r="G29" s="285">
        <f>E29/'- 7 -'!E29</f>
        <v>432.17784918445039</v>
      </c>
    </row>
    <row r="30" spans="1:7" ht="14.1" customHeight="1" x14ac:dyDescent="0.2">
      <c r="A30" s="19" t="s">
        <v>128</v>
      </c>
      <c r="B30" s="20">
        <f>'- 26 -'!B30</f>
        <v>51409</v>
      </c>
      <c r="C30" s="70">
        <f>'- 26 -'!C30</f>
        <v>0.33045136768131755</v>
      </c>
      <c r="D30" s="20">
        <f>'- 26 -'!D30</f>
        <v>50.130667966845444</v>
      </c>
      <c r="E30" s="20">
        <f>SUM('- 37 -'!B30,'- 37 -'!E30,'- 37 -'!H30,B30)</f>
        <v>464000</v>
      </c>
      <c r="F30" s="70">
        <f>E30/'- 3 -'!D30*100</f>
        <v>2.9825406952893729</v>
      </c>
      <c r="G30" s="20">
        <f>E30/'- 7 -'!E30</f>
        <v>452.4622135543637</v>
      </c>
    </row>
    <row r="31" spans="1:7" ht="14.1" customHeight="1" x14ac:dyDescent="0.2">
      <c r="A31" s="284" t="s">
        <v>129</v>
      </c>
      <c r="B31" s="285">
        <f>'- 26 -'!B31</f>
        <v>80325</v>
      </c>
      <c r="C31" s="291">
        <f>'- 26 -'!C31</f>
        <v>0.20104082206161539</v>
      </c>
      <c r="D31" s="285">
        <f>'- 26 -'!D31</f>
        <v>24.092681463707258</v>
      </c>
      <c r="E31" s="285">
        <f>SUM('- 37 -'!B31,'- 37 -'!E31,'- 37 -'!H31,B31)</f>
        <v>1037673</v>
      </c>
      <c r="F31" s="291">
        <f>E31/'- 3 -'!D31*100</f>
        <v>2.597132062883817</v>
      </c>
      <c r="G31" s="285">
        <f>E31/'- 7 -'!E31</f>
        <v>311.2396520695861</v>
      </c>
    </row>
    <row r="32" spans="1:7" ht="14.1" customHeight="1" x14ac:dyDescent="0.2">
      <c r="A32" s="19" t="s">
        <v>130</v>
      </c>
      <c r="B32" s="20">
        <f>'- 26 -'!B32</f>
        <v>61676</v>
      </c>
      <c r="C32" s="70">
        <f>'- 26 -'!C32</f>
        <v>0.20331251453533172</v>
      </c>
      <c r="D32" s="20">
        <f>'- 26 -'!D32</f>
        <v>27.098418277680139</v>
      </c>
      <c r="E32" s="20">
        <f>SUM('- 37 -'!B32,'- 37 -'!E32,'- 37 -'!H32,B32)</f>
        <v>731016</v>
      </c>
      <c r="F32" s="70">
        <f>E32/'- 3 -'!D32*100</f>
        <v>2.4097655672475526</v>
      </c>
      <c r="G32" s="20">
        <f>E32/'- 7 -'!E32</f>
        <v>321.18453427065026</v>
      </c>
    </row>
    <row r="33" spans="1:7" ht="14.1" customHeight="1" x14ac:dyDescent="0.2">
      <c r="A33" s="284" t="s">
        <v>131</v>
      </c>
      <c r="B33" s="285">
        <f>'- 26 -'!B33</f>
        <v>37252</v>
      </c>
      <c r="C33" s="291">
        <f>'- 26 -'!C33</f>
        <v>0.13271021425118604</v>
      </c>
      <c r="D33" s="285">
        <f>'- 26 -'!D33</f>
        <v>18.143385934151571</v>
      </c>
      <c r="E33" s="285">
        <f>SUM('- 37 -'!B33,'- 37 -'!E33,'- 37 -'!H33,B33)</f>
        <v>987174</v>
      </c>
      <c r="F33" s="291">
        <f>E33/'- 3 -'!D33*100</f>
        <v>3.5168064276602684</v>
      </c>
      <c r="G33" s="285">
        <f>E33/'- 7 -'!E33</f>
        <v>480.79777907656347</v>
      </c>
    </row>
    <row r="34" spans="1:7" ht="14.1" customHeight="1" x14ac:dyDescent="0.2">
      <c r="A34" s="19" t="s">
        <v>132</v>
      </c>
      <c r="B34" s="20">
        <f>'- 26 -'!B34</f>
        <v>38139</v>
      </c>
      <c r="C34" s="70">
        <f>'- 26 -'!C34</f>
        <v>0.1252852334045601</v>
      </c>
      <c r="D34" s="20">
        <f>'- 26 -'!D34</f>
        <v>17.150373235003151</v>
      </c>
      <c r="E34" s="20">
        <f>SUM('- 37 -'!B34,'- 37 -'!E34,'- 37 -'!H34,B34)</f>
        <v>824987</v>
      </c>
      <c r="F34" s="70">
        <f>E34/'- 3 -'!D34*100</f>
        <v>2.7100524096260474</v>
      </c>
      <c r="G34" s="20">
        <f>E34/'- 7 -'!E34</f>
        <v>370.98075366489797</v>
      </c>
    </row>
    <row r="35" spans="1:7" ht="14.1" customHeight="1" x14ac:dyDescent="0.2">
      <c r="A35" s="284" t="s">
        <v>133</v>
      </c>
      <c r="B35" s="285">
        <f>'- 26 -'!B35</f>
        <v>1186699</v>
      </c>
      <c r="C35" s="291">
        <f>'- 26 -'!C35</f>
        <v>0.61944503440916443</v>
      </c>
      <c r="D35" s="285">
        <f>'- 26 -'!D35</f>
        <v>73.187517345585746</v>
      </c>
      <c r="E35" s="285">
        <f>SUM('- 37 -'!B35,'- 37 -'!E35,'- 37 -'!H35,B35)</f>
        <v>3274068</v>
      </c>
      <c r="F35" s="291">
        <f>E35/'- 3 -'!D35*100</f>
        <v>1.7090308198776136</v>
      </c>
      <c r="G35" s="285">
        <f>E35/'- 7 -'!E35</f>
        <v>201.92223010268586</v>
      </c>
    </row>
    <row r="36" spans="1:7" ht="14.1" customHeight="1" x14ac:dyDescent="0.2">
      <c r="A36" s="19" t="s">
        <v>134</v>
      </c>
      <c r="B36" s="20">
        <f>'- 26 -'!B36</f>
        <v>25677</v>
      </c>
      <c r="C36" s="70">
        <f>'- 26 -'!C36</f>
        <v>0.10858011237071145</v>
      </c>
      <c r="D36" s="20">
        <f>'- 26 -'!D36</f>
        <v>14.958928051267113</v>
      </c>
      <c r="E36" s="20">
        <f>SUM('- 37 -'!B36,'- 37 -'!E36,'- 37 -'!H36,B36)</f>
        <v>808376</v>
      </c>
      <c r="F36" s="70">
        <f>E36/'- 3 -'!D36*100</f>
        <v>3.4183727428354653</v>
      </c>
      <c r="G36" s="20">
        <f>E36/'- 7 -'!E36</f>
        <v>470.94436353043983</v>
      </c>
    </row>
    <row r="37" spans="1:7" ht="14.1" customHeight="1" x14ac:dyDescent="0.2">
      <c r="A37" s="284" t="s">
        <v>135</v>
      </c>
      <c r="B37" s="285">
        <f>'- 26 -'!B37</f>
        <v>83276</v>
      </c>
      <c r="C37" s="291">
        <f>'- 26 -'!C37</f>
        <v>0.15174376040885465</v>
      </c>
      <c r="D37" s="285">
        <f>'- 26 -'!D37</f>
        <v>19.468836208911956</v>
      </c>
      <c r="E37" s="285">
        <f>SUM('- 37 -'!B37,'- 37 -'!E37,'- 37 -'!H37,B37)</f>
        <v>2025364</v>
      </c>
      <c r="F37" s="291">
        <f>E37/'- 3 -'!D37*100</f>
        <v>3.6905753104942542</v>
      </c>
      <c r="G37" s="285">
        <f>E37/'- 7 -'!E37</f>
        <v>473.50353018188622</v>
      </c>
    </row>
    <row r="38" spans="1:7" ht="14.1" customHeight="1" x14ac:dyDescent="0.2">
      <c r="A38" s="19" t="s">
        <v>136</v>
      </c>
      <c r="B38" s="20">
        <f>'- 26 -'!B38</f>
        <v>571056</v>
      </c>
      <c r="C38" s="70">
        <f>'- 26 -'!C38</f>
        <v>0.38720112123533329</v>
      </c>
      <c r="D38" s="20">
        <f>'- 26 -'!D38</f>
        <v>49.82167161053917</v>
      </c>
      <c r="E38" s="20">
        <f>SUM('- 37 -'!B38,'- 37 -'!E38,'- 37 -'!H38,B38)</f>
        <v>3005601</v>
      </c>
      <c r="F38" s="70">
        <f>E38/'- 3 -'!D38*100</f>
        <v>2.0379298653477753</v>
      </c>
      <c r="G38" s="20">
        <f>E38/'- 7 -'!E38</f>
        <v>262.22308497644389</v>
      </c>
    </row>
    <row r="39" spans="1:7" ht="14.1" customHeight="1" x14ac:dyDescent="0.2">
      <c r="A39" s="284" t="s">
        <v>137</v>
      </c>
      <c r="B39" s="285">
        <f>'- 26 -'!B39</f>
        <v>54275</v>
      </c>
      <c r="C39" s="291">
        <f>'- 26 -'!C39</f>
        <v>0.2494975342610336</v>
      </c>
      <c r="D39" s="285">
        <f>'- 26 -'!D39</f>
        <v>36.255845023380097</v>
      </c>
      <c r="E39" s="285">
        <f>SUM('- 37 -'!B39,'- 37 -'!E39,'- 37 -'!H39,B39)</f>
        <v>544634</v>
      </c>
      <c r="F39" s="291">
        <f>E39/'- 3 -'!D39*100</f>
        <v>2.5036359295204749</v>
      </c>
      <c r="G39" s="285">
        <f>E39/'- 7 -'!E39</f>
        <v>363.81696726786907</v>
      </c>
    </row>
    <row r="40" spans="1:7" ht="14.1" customHeight="1" x14ac:dyDescent="0.2">
      <c r="A40" s="19" t="s">
        <v>138</v>
      </c>
      <c r="B40" s="20">
        <f>'- 26 -'!B40</f>
        <v>416745</v>
      </c>
      <c r="C40" s="70">
        <f>'- 26 -'!C40</f>
        <v>0.39156161672962969</v>
      </c>
      <c r="D40" s="20">
        <f>'- 26 -'!D40</f>
        <v>51.071253065231055</v>
      </c>
      <c r="E40" s="20">
        <f>SUM('- 37 -'!B40,'- 37 -'!E40,'- 37 -'!H40,B40)</f>
        <v>2413604</v>
      </c>
      <c r="F40" s="70">
        <f>E40/'- 3 -'!D40*100</f>
        <v>2.2677529049781064</v>
      </c>
      <c r="G40" s="20">
        <f>E40/'- 7 -'!E40</f>
        <v>295.78226657369356</v>
      </c>
    </row>
    <row r="41" spans="1:7" ht="14.1" customHeight="1" x14ac:dyDescent="0.2">
      <c r="A41" s="284" t="s">
        <v>139</v>
      </c>
      <c r="B41" s="285">
        <f>'- 26 -'!B41</f>
        <v>121206</v>
      </c>
      <c r="C41" s="291">
        <f>'- 26 -'!C41</f>
        <v>0.18807127896196993</v>
      </c>
      <c r="D41" s="285">
        <f>'- 26 -'!D41</f>
        <v>26.9466429524233</v>
      </c>
      <c r="E41" s="285">
        <f>SUM('- 37 -'!B41,'- 37 -'!E41,'- 37 -'!H41,B41)</f>
        <v>1512942</v>
      </c>
      <c r="F41" s="291">
        <f>E41/'- 3 -'!D41*100</f>
        <v>2.347581282570836</v>
      </c>
      <c r="G41" s="285">
        <f>E41/'- 7 -'!E41</f>
        <v>336.3588261449533</v>
      </c>
    </row>
    <row r="42" spans="1:7" ht="14.1" customHeight="1" x14ac:dyDescent="0.2">
      <c r="A42" s="19" t="s">
        <v>140</v>
      </c>
      <c r="B42" s="20">
        <f>'- 26 -'!B42</f>
        <v>15935</v>
      </c>
      <c r="C42" s="70">
        <f>'- 26 -'!C42</f>
        <v>7.796266314977672E-2</v>
      </c>
      <c r="D42" s="20">
        <f>'- 26 -'!D42</f>
        <v>11.630537916940368</v>
      </c>
      <c r="E42" s="20">
        <f>SUM('- 37 -'!B42,'- 37 -'!E42,'- 37 -'!H42,B42)</f>
        <v>696537</v>
      </c>
      <c r="F42" s="70">
        <f>E42/'- 3 -'!D42*100</f>
        <v>3.4078368059213071</v>
      </c>
      <c r="G42" s="20">
        <f>E42/'- 7 -'!E42</f>
        <v>508.38405955769645</v>
      </c>
    </row>
    <row r="43" spans="1:7" ht="14.1" customHeight="1" x14ac:dyDescent="0.2">
      <c r="A43" s="284" t="s">
        <v>141</v>
      </c>
      <c r="B43" s="285">
        <f>'- 26 -'!B43</f>
        <v>22024</v>
      </c>
      <c r="C43" s="291">
        <f>'- 26 -'!C43</f>
        <v>0.16874224583639771</v>
      </c>
      <c r="D43" s="285">
        <f>'- 26 -'!D43</f>
        <v>21.969077306733165</v>
      </c>
      <c r="E43" s="285">
        <f>SUM('- 37 -'!B43,'- 37 -'!E43,'- 37 -'!H43,B43)</f>
        <v>400462</v>
      </c>
      <c r="F43" s="291">
        <f>E43/'- 3 -'!D43*100</f>
        <v>3.0682372526396433</v>
      </c>
      <c r="G43" s="285">
        <f>E43/'- 7 -'!E43</f>
        <v>399.46334164588529</v>
      </c>
    </row>
    <row r="44" spans="1:7" ht="14.1" customHeight="1" x14ac:dyDescent="0.2">
      <c r="A44" s="19" t="s">
        <v>142</v>
      </c>
      <c r="B44" s="20">
        <f>'- 26 -'!B44</f>
        <v>14148</v>
      </c>
      <c r="C44" s="70">
        <f>'- 26 -'!C44</f>
        <v>0.13303025103018989</v>
      </c>
      <c r="D44" s="20">
        <f>'- 26 -'!D44</f>
        <v>20.445086705202311</v>
      </c>
      <c r="E44" s="20">
        <f>SUM('- 37 -'!B44,'- 37 -'!E44,'- 37 -'!H44,B44)</f>
        <v>419338</v>
      </c>
      <c r="F44" s="70">
        <f>E44/'- 3 -'!D44*100</f>
        <v>3.9429346484660575</v>
      </c>
      <c r="G44" s="20">
        <f>E44/'- 7 -'!E44</f>
        <v>605.97976878612712</v>
      </c>
    </row>
    <row r="45" spans="1:7" ht="14.1" customHeight="1" x14ac:dyDescent="0.2">
      <c r="A45" s="284" t="s">
        <v>143</v>
      </c>
      <c r="B45" s="285">
        <f>'- 26 -'!B45</f>
        <v>72492</v>
      </c>
      <c r="C45" s="291">
        <f>'- 26 -'!C45</f>
        <v>0.34264871921971835</v>
      </c>
      <c r="D45" s="285">
        <f>'- 26 -'!D45</f>
        <v>37.854830287206269</v>
      </c>
      <c r="E45" s="285">
        <f>SUM('- 37 -'!B45,'- 37 -'!E45,'- 37 -'!H45,B45)</f>
        <v>508925</v>
      </c>
      <c r="F45" s="291">
        <f>E45/'- 3 -'!D45*100</f>
        <v>2.4055412932309106</v>
      </c>
      <c r="G45" s="285">
        <f>E45/'- 7 -'!E45</f>
        <v>265.75718015665797</v>
      </c>
    </row>
    <row r="46" spans="1:7" ht="14.1" customHeight="1" x14ac:dyDescent="0.2">
      <c r="A46" s="19" t="s">
        <v>144</v>
      </c>
      <c r="B46" s="20">
        <f>'- 26 -'!B46</f>
        <v>1021377</v>
      </c>
      <c r="C46" s="70">
        <f>'- 26 -'!C46</f>
        <v>0.24706864018916547</v>
      </c>
      <c r="D46" s="20">
        <f>'- 26 -'!D46</f>
        <v>34.57641749916214</v>
      </c>
      <c r="E46" s="20">
        <f>SUM('- 37 -'!B46,'- 37 -'!E46,'- 37 -'!H46,B46)</f>
        <v>9762259</v>
      </c>
      <c r="F46" s="70">
        <f>E46/'- 3 -'!D46*100</f>
        <v>2.3614669767426157</v>
      </c>
      <c r="G46" s="20">
        <f>E46/'- 7 -'!E46</f>
        <v>330.47928719655243</v>
      </c>
    </row>
    <row r="47" spans="1:7" ht="5.0999999999999996" customHeight="1" x14ac:dyDescent="0.2">
      <c r="A47" s="21"/>
      <c r="B47" s="22"/>
      <c r="C47"/>
      <c r="D47"/>
      <c r="E47"/>
      <c r="F47"/>
      <c r="G47"/>
    </row>
    <row r="48" spans="1:7" ht="14.1" customHeight="1" x14ac:dyDescent="0.2">
      <c r="A48" s="286" t="s">
        <v>145</v>
      </c>
      <c r="B48" s="287">
        <f>SUM(B11:B46)</f>
        <v>8752329</v>
      </c>
      <c r="C48" s="294">
        <f>'- 26 -'!C48</f>
        <v>0.36290287054050191</v>
      </c>
      <c r="D48" s="287">
        <f>'- 26 -'!D48</f>
        <v>48.563450907176325</v>
      </c>
      <c r="E48" s="287">
        <f>SUM('- 37 -'!B48,'- 37 -'!E48,'- 37 -'!H48,B48)</f>
        <v>63200588</v>
      </c>
      <c r="F48" s="294">
        <f>E48/'- 3 -'!D48*100</f>
        <v>2.6205224695104126</v>
      </c>
      <c r="G48" s="287">
        <f>E48/'- 7 -'!E48</f>
        <v>350.67679158800786</v>
      </c>
    </row>
    <row r="49" spans="1:8" ht="5.0999999999999996" customHeight="1" x14ac:dyDescent="0.2">
      <c r="A49" s="21" t="s">
        <v>7</v>
      </c>
      <c r="B49" s="22"/>
      <c r="C49"/>
      <c r="D49"/>
      <c r="E49"/>
      <c r="F49"/>
      <c r="G49"/>
    </row>
    <row r="50" spans="1:8" ht="14.1" customHeight="1" x14ac:dyDescent="0.2">
      <c r="A50" s="19" t="s">
        <v>146</v>
      </c>
      <c r="B50" s="20">
        <f>'- 26 -'!B50</f>
        <v>16713</v>
      </c>
      <c r="C50" s="70">
        <f>'- 26 -'!C50</f>
        <v>0.52625844822244117</v>
      </c>
      <c r="D50" s="20">
        <f>'- 26 -'!D50</f>
        <v>87.963157894736838</v>
      </c>
      <c r="E50" s="20">
        <f>SUM('- 37 -'!B50,'- 37 -'!E50,'- 37 -'!H50,B50)</f>
        <v>72380</v>
      </c>
      <c r="F50" s="70">
        <f>E50/'- 3 -'!D50*100</f>
        <v>2.2790992929061384</v>
      </c>
      <c r="G50" s="20">
        <f>E50/'- 7 -'!E50</f>
        <v>380.94736842105266</v>
      </c>
    </row>
    <row r="51" spans="1:8" ht="14.1" customHeight="1" x14ac:dyDescent="0.2">
      <c r="A51" s="284" t="s">
        <v>599</v>
      </c>
      <c r="B51" s="285">
        <f>'- 26 -'!B51</f>
        <v>2194484</v>
      </c>
      <c r="C51" s="291">
        <f>'- 26 -'!C51</f>
        <v>7.2732917972148368</v>
      </c>
      <c r="D51" s="285">
        <f>'- 26 -'!D51</f>
        <v>1778.3500810372771</v>
      </c>
      <c r="E51" s="285">
        <f>SUM('- 37 -'!B51,'- 37 -'!E51,'- 37 -'!H51,B51)</f>
        <v>2559396</v>
      </c>
      <c r="F51" s="291">
        <f>E51/'- 3 -'!D51*100</f>
        <v>8.4827385082891773</v>
      </c>
      <c r="G51" s="285">
        <f>E51/'- 7 -'!E51</f>
        <v>2074.0648298217179</v>
      </c>
    </row>
    <row r="52" spans="1:8" ht="50.1" customHeight="1" x14ac:dyDescent="0.2">
      <c r="A52" s="23"/>
      <c r="B52" s="23"/>
      <c r="C52" s="23"/>
      <c r="D52" s="23"/>
      <c r="E52" s="23"/>
      <c r="F52" s="23"/>
      <c r="G52" s="23"/>
      <c r="H52" s="23"/>
    </row>
    <row r="53" spans="1:8" ht="15" customHeight="1" x14ac:dyDescent="0.2">
      <c r="A53" s="133" t="s">
        <v>348</v>
      </c>
    </row>
    <row r="54" spans="1:8" ht="12" customHeight="1" x14ac:dyDescent="0.2">
      <c r="A54" s="133" t="s">
        <v>413</v>
      </c>
      <c r="B54" s="130"/>
      <c r="C54" s="130"/>
      <c r="D54" s="130"/>
    </row>
  </sheetData>
  <mergeCells count="4">
    <mergeCell ref="D8:D9"/>
    <mergeCell ref="G8:G9"/>
    <mergeCell ref="E7:G7"/>
    <mergeCell ref="B6:D7"/>
  </mergeCells>
  <phoneticPr fontId="6" type="noConversion"/>
  <pageMargins left="0.5" right="0.5" top="0.6" bottom="0.2" header="0.3" footer="0.5"/>
  <pageSetup orientation="portrait" r:id="rId1"/>
  <headerFooter alignWithMargins="0">
    <oddHeader>&amp;C&amp;"Arial,Regular"&amp;11&amp;A</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M55"/>
  <sheetViews>
    <sheetView showGridLines="0" showZeros="0" workbookViewId="0"/>
  </sheetViews>
  <sheetFormatPr defaultColWidth="14.83203125" defaultRowHeight="12" x14ac:dyDescent="0.2"/>
  <cols>
    <col min="1" max="1" width="31.83203125" style="2" customWidth="1"/>
    <col min="2" max="2" width="15.83203125" style="2" customWidth="1"/>
    <col min="3" max="3" width="13.83203125" style="2" customWidth="1"/>
    <col min="4" max="5" width="14.83203125" style="2" customWidth="1"/>
    <col min="6" max="6" width="12.83203125" style="2" customWidth="1"/>
    <col min="7" max="7" width="16.83203125" style="2" customWidth="1"/>
    <col min="8" max="8" width="11.83203125" style="2" customWidth="1"/>
    <col min="9" max="10" width="14.83203125" style="2"/>
    <col min="11" max="11" width="19.5" style="2" customWidth="1"/>
    <col min="12" max="16384" width="14.83203125" style="2"/>
  </cols>
  <sheetData>
    <row r="1" spans="1:13" ht="6.95" customHeight="1" x14ac:dyDescent="0.2">
      <c r="A1" s="7"/>
      <c r="J1" s="495">
        <v>100.00000000000003</v>
      </c>
    </row>
    <row r="2" spans="1:13" ht="15.95" customHeight="1" x14ac:dyDescent="0.2">
      <c r="A2" s="204" t="str">
        <f>"  SUMMARY"&amp;REPLACE(REVYEAR,1,8,"")</f>
        <v xml:space="preserve">  SUMMARY OF OPERATING FUND REVENUE: 2019/2020 ACTUAL</v>
      </c>
      <c r="B2" s="41"/>
      <c r="C2" s="41"/>
      <c r="D2" s="41"/>
      <c r="E2" s="41"/>
      <c r="F2" s="41"/>
      <c r="G2" s="41"/>
      <c r="H2" s="41"/>
    </row>
    <row r="3" spans="1:13" ht="15.95" customHeight="1" x14ac:dyDescent="0.2">
      <c r="A3" s="537"/>
    </row>
    <row r="4" spans="1:13" ht="15.95" customHeight="1" x14ac:dyDescent="0.2">
      <c r="B4" s="8"/>
      <c r="C4" s="69"/>
      <c r="D4" s="69"/>
      <c r="E4" s="8"/>
      <c r="F4" s="8"/>
      <c r="G4" s="8"/>
      <c r="H4" s="8"/>
    </row>
    <row r="5" spans="1:13" ht="15.95" customHeight="1" x14ac:dyDescent="0.2">
      <c r="B5" s="8"/>
      <c r="C5" s="8"/>
      <c r="D5" s="8"/>
      <c r="E5" s="8"/>
      <c r="F5" s="8"/>
      <c r="G5" s="8"/>
      <c r="H5" s="8"/>
    </row>
    <row r="6" spans="1:13" ht="15.95" customHeight="1" x14ac:dyDescent="0.2">
      <c r="B6" s="206" t="s">
        <v>54</v>
      </c>
      <c r="C6" s="173"/>
      <c r="D6" s="173"/>
      <c r="E6" s="173"/>
      <c r="F6" s="173"/>
      <c r="G6" s="173"/>
      <c r="H6" s="174"/>
    </row>
    <row r="7" spans="1:13" ht="15.95" customHeight="1" x14ac:dyDescent="0.2">
      <c r="B7" s="697" t="s">
        <v>58</v>
      </c>
      <c r="C7" s="698"/>
      <c r="D7" s="699"/>
      <c r="E7" s="642" t="s">
        <v>514</v>
      </c>
      <c r="F7" s="303" t="s">
        <v>7</v>
      </c>
      <c r="G7" s="640" t="s">
        <v>513</v>
      </c>
      <c r="H7" s="303" t="s">
        <v>7</v>
      </c>
    </row>
    <row r="8" spans="1:13" ht="15.95" customHeight="1" x14ac:dyDescent="0.2">
      <c r="A8" s="33"/>
      <c r="B8" s="338"/>
      <c r="C8" s="372"/>
      <c r="D8" s="372"/>
      <c r="E8" s="719"/>
      <c r="F8" s="719" t="s">
        <v>61</v>
      </c>
      <c r="G8" s="719"/>
      <c r="H8" s="350" t="s">
        <v>7</v>
      </c>
      <c r="K8" s="510"/>
      <c r="L8" s="510"/>
      <c r="M8" s="510"/>
    </row>
    <row r="9" spans="1:13" ht="15.95" customHeight="1" x14ac:dyDescent="0.2">
      <c r="A9" s="82" t="s">
        <v>42</v>
      </c>
      <c r="B9" s="307" t="s">
        <v>246</v>
      </c>
      <c r="C9" s="307" t="s">
        <v>56</v>
      </c>
      <c r="D9" s="307" t="s">
        <v>57</v>
      </c>
      <c r="E9" s="641"/>
      <c r="F9" s="641"/>
      <c r="G9" s="641"/>
      <c r="H9" s="307" t="s">
        <v>24</v>
      </c>
      <c r="J9" s="496" t="s">
        <v>85</v>
      </c>
      <c r="K9" s="510"/>
      <c r="L9" s="510"/>
      <c r="M9" s="510"/>
    </row>
    <row r="10" spans="1:13" ht="5.0999999999999996" customHeight="1" x14ac:dyDescent="0.2">
      <c r="A10" s="6"/>
      <c r="B10" s="207"/>
      <c r="C10" s="207"/>
      <c r="D10" s="207"/>
      <c r="E10" s="207"/>
      <c r="F10" s="207"/>
      <c r="G10" s="207"/>
      <c r="H10" s="207"/>
      <c r="K10" s="510"/>
      <c r="L10" s="510"/>
      <c r="M10" s="510"/>
    </row>
    <row r="11" spans="1:13" ht="14.1" customHeight="1" x14ac:dyDescent="0.2">
      <c r="A11" s="284" t="s">
        <v>110</v>
      </c>
      <c r="B11" s="291">
        <f>'- 41 -'!I11</f>
        <v>63.845417251704404</v>
      </c>
      <c r="C11" s="291">
        <f>'- 42 -'!C11</f>
        <v>0.11599069531921405</v>
      </c>
      <c r="D11" s="291">
        <f>'- 42 -'!E11</f>
        <v>35.290804679881219</v>
      </c>
      <c r="E11" s="291">
        <f>'- 42 -'!G11</f>
        <v>0.13570911352348045</v>
      </c>
      <c r="F11" s="291">
        <f>'- 42 -'!I11</f>
        <v>0</v>
      </c>
      <c r="G11" s="291">
        <f>'- 43 -'!C11</f>
        <v>9.6286195998385962E-2</v>
      </c>
      <c r="H11" s="291">
        <f>'- 43 -'!E11</f>
        <v>0.51579206357329388</v>
      </c>
      <c r="J11" s="131">
        <f>SUM(B11:H11)</f>
        <v>100</v>
      </c>
      <c r="K11" s="495" t="s">
        <v>60</v>
      </c>
      <c r="L11" s="548">
        <f>B48</f>
        <v>58.363582860543062</v>
      </c>
      <c r="M11" s="510"/>
    </row>
    <row r="12" spans="1:13" ht="14.1" customHeight="1" x14ac:dyDescent="0.2">
      <c r="A12" s="19" t="s">
        <v>111</v>
      </c>
      <c r="B12" s="70">
        <f>'- 41 -'!I12</f>
        <v>59.03770948922039</v>
      </c>
      <c r="C12" s="70">
        <f>'- 42 -'!C12</f>
        <v>7.1547899079040508E-2</v>
      </c>
      <c r="D12" s="70">
        <f>'- 42 -'!E12</f>
        <v>35.367134945788244</v>
      </c>
      <c r="E12" s="70">
        <f>'- 42 -'!G12</f>
        <v>1.2150692382258566</v>
      </c>
      <c r="F12" s="70">
        <f>'- 42 -'!I12</f>
        <v>2.9954316666438032</v>
      </c>
      <c r="G12" s="70">
        <f>'- 43 -'!C12</f>
        <v>0.35738175589980736</v>
      </c>
      <c r="H12" s="70">
        <f>'- 43 -'!E12</f>
        <v>0.9557250051428573</v>
      </c>
      <c r="J12" s="131">
        <f t="shared" ref="J12:J46" si="0">SUM(B12:H12)</f>
        <v>100</v>
      </c>
      <c r="K12" s="495" t="s">
        <v>56</v>
      </c>
      <c r="L12" s="548">
        <f>C48</f>
        <v>0.31251918462571882</v>
      </c>
      <c r="M12" s="510"/>
    </row>
    <row r="13" spans="1:13" ht="14.1" customHeight="1" x14ac:dyDescent="0.2">
      <c r="A13" s="284" t="s">
        <v>112</v>
      </c>
      <c r="B13" s="291">
        <f>'- 41 -'!I13</f>
        <v>60.081821156681123</v>
      </c>
      <c r="C13" s="291">
        <f>'- 42 -'!C13</f>
        <v>4.1891078472270193E-2</v>
      </c>
      <c r="D13" s="291">
        <f>'- 42 -'!E13</f>
        <v>38.17566307234371</v>
      </c>
      <c r="E13" s="291">
        <f>'- 42 -'!G13</f>
        <v>0.3800294062774337</v>
      </c>
      <c r="F13" s="291">
        <f>'- 42 -'!I13</f>
        <v>0.38575286356168509</v>
      </c>
      <c r="G13" s="291">
        <f>'- 43 -'!C13</f>
        <v>0.62477123125917511</v>
      </c>
      <c r="H13" s="291">
        <f>'- 43 -'!E13</f>
        <v>0.31007119140460027</v>
      </c>
      <c r="J13" s="131">
        <f t="shared" si="0"/>
        <v>100</v>
      </c>
      <c r="K13" s="495" t="s">
        <v>57</v>
      </c>
      <c r="L13" s="548">
        <f>D48</f>
        <v>35.235787515024207</v>
      </c>
      <c r="M13" s="510"/>
    </row>
    <row r="14" spans="1:13" ht="14.1" customHeight="1" x14ac:dyDescent="0.2">
      <c r="A14" s="19" t="s">
        <v>358</v>
      </c>
      <c r="B14" s="70">
        <f>'- 41 -'!I14</f>
        <v>69.643736089672075</v>
      </c>
      <c r="C14" s="70">
        <f>'- 42 -'!C14</f>
        <v>0.22096906202308314</v>
      </c>
      <c r="D14" s="70">
        <f>'- 42 -'!E14</f>
        <v>27.329461669832689</v>
      </c>
      <c r="E14" s="70">
        <f>'- 42 -'!G14</f>
        <v>2.2128087965795107</v>
      </c>
      <c r="F14" s="70">
        <f>'- 42 -'!I14</f>
        <v>0</v>
      </c>
      <c r="G14" s="70">
        <f>'- 43 -'!C14</f>
        <v>0.36929986595139175</v>
      </c>
      <c r="H14" s="70">
        <f>'- 43 -'!E14</f>
        <v>0.22372451594124895</v>
      </c>
      <c r="J14" s="131">
        <f t="shared" si="0"/>
        <v>100</v>
      </c>
      <c r="K14" s="495" t="s">
        <v>70</v>
      </c>
      <c r="L14" s="548">
        <f>E48</f>
        <v>0.52388015100717578</v>
      </c>
      <c r="M14" s="510"/>
    </row>
    <row r="15" spans="1:13" ht="14.1" customHeight="1" x14ac:dyDescent="0.2">
      <c r="A15" s="284" t="s">
        <v>113</v>
      </c>
      <c r="B15" s="291">
        <f>'- 41 -'!I15</f>
        <v>58.785209687854042</v>
      </c>
      <c r="C15" s="291">
        <f>'- 42 -'!C15</f>
        <v>0.24569734094268661</v>
      </c>
      <c r="D15" s="291">
        <f>'- 42 -'!E15</f>
        <v>39.171008498847577</v>
      </c>
      <c r="E15" s="291">
        <f>'- 42 -'!G15</f>
        <v>0.13207796460652288</v>
      </c>
      <c r="F15" s="291">
        <f>'- 42 -'!I15</f>
        <v>0.73889770409243571</v>
      </c>
      <c r="G15" s="291">
        <f>'- 43 -'!C15</f>
        <v>0.78519888147512795</v>
      </c>
      <c r="H15" s="291">
        <f>'- 43 -'!E15</f>
        <v>0.14190992218160287</v>
      </c>
      <c r="J15" s="131">
        <f t="shared" si="0"/>
        <v>99.999999999999986</v>
      </c>
      <c r="K15" s="495" t="s">
        <v>61</v>
      </c>
      <c r="L15" s="548">
        <f>F48</f>
        <v>3.9911238279096408</v>
      </c>
      <c r="M15" s="510"/>
    </row>
    <row r="16" spans="1:13" ht="14.1" customHeight="1" x14ac:dyDescent="0.2">
      <c r="A16" s="19" t="s">
        <v>114</v>
      </c>
      <c r="B16" s="70">
        <f>'- 41 -'!I16</f>
        <v>72.151395094079604</v>
      </c>
      <c r="C16" s="70">
        <f>'- 42 -'!C16</f>
        <v>0.33729460667856648</v>
      </c>
      <c r="D16" s="70">
        <f>'- 42 -'!E16</f>
        <v>24.191854185295568</v>
      </c>
      <c r="E16" s="70">
        <f>'- 42 -'!G16</f>
        <v>1.7605432222611506</v>
      </c>
      <c r="F16" s="70">
        <f>'- 42 -'!I16</f>
        <v>7.8615435296984199E-2</v>
      </c>
      <c r="G16" s="70">
        <f>'- 43 -'!C16</f>
        <v>1.0606619118412799</v>
      </c>
      <c r="H16" s="70">
        <f>'- 43 -'!E16</f>
        <v>0.41963554454684726</v>
      </c>
      <c r="J16" s="131">
        <f t="shared" si="0"/>
        <v>100</v>
      </c>
      <c r="K16" s="495" t="s">
        <v>53</v>
      </c>
      <c r="L16" s="548">
        <f>G48</f>
        <v>1.1645379737978423</v>
      </c>
      <c r="M16" s="510"/>
    </row>
    <row r="17" spans="1:13" ht="14.1" customHeight="1" x14ac:dyDescent="0.2">
      <c r="A17" s="284" t="s">
        <v>115</v>
      </c>
      <c r="B17" s="291">
        <f>'- 41 -'!I17</f>
        <v>51.464610476015736</v>
      </c>
      <c r="C17" s="291">
        <f>'- 42 -'!C17</f>
        <v>0</v>
      </c>
      <c r="D17" s="291">
        <f>'- 42 -'!E17</f>
        <v>43.202963771794508</v>
      </c>
      <c r="E17" s="291">
        <f>'- 42 -'!G17</f>
        <v>0.19423318766810591</v>
      </c>
      <c r="F17" s="291">
        <f>'- 42 -'!I17</f>
        <v>4.9300125379235684</v>
      </c>
      <c r="G17" s="291">
        <f>'- 43 -'!C17</f>
        <v>0</v>
      </c>
      <c r="H17" s="291">
        <f>'- 43 -'!E17</f>
        <v>0.20818002659808715</v>
      </c>
      <c r="J17" s="131">
        <f t="shared" si="0"/>
        <v>100.00000000000001</v>
      </c>
      <c r="K17" s="497" t="s">
        <v>24</v>
      </c>
      <c r="L17" s="548">
        <f>H48</f>
        <v>0.40856848709234767</v>
      </c>
      <c r="M17" s="510"/>
    </row>
    <row r="18" spans="1:13" ht="14.1" customHeight="1" x14ac:dyDescent="0.2">
      <c r="A18" s="19" t="s">
        <v>116</v>
      </c>
      <c r="B18" s="70">
        <f>'- 41 -'!I18</f>
        <v>35.301079602464135</v>
      </c>
      <c r="C18" s="70">
        <f>'- 42 -'!C18</f>
        <v>0.64548356559885389</v>
      </c>
      <c r="D18" s="70">
        <f>'- 42 -'!E18</f>
        <v>2.3198019511138099</v>
      </c>
      <c r="E18" s="70">
        <f>'- 42 -'!G18</f>
        <v>1.1668164272559213E-2</v>
      </c>
      <c r="F18" s="70">
        <f>'- 42 -'!I18</f>
        <v>57.311052371697279</v>
      </c>
      <c r="G18" s="70">
        <f>'- 43 -'!C18</f>
        <v>3.8099529039142035</v>
      </c>
      <c r="H18" s="70">
        <f>'- 43 -'!E18</f>
        <v>0.60096144093915949</v>
      </c>
      <c r="J18" s="131">
        <f t="shared" si="0"/>
        <v>100</v>
      </c>
      <c r="K18" s="495"/>
      <c r="L18" s="548"/>
      <c r="M18" s="510"/>
    </row>
    <row r="19" spans="1:13" ht="14.1" customHeight="1" x14ac:dyDescent="0.2">
      <c r="A19" s="284" t="s">
        <v>117</v>
      </c>
      <c r="B19" s="291">
        <f>'- 41 -'!I19</f>
        <v>66.625699543771731</v>
      </c>
      <c r="C19" s="291">
        <f>'- 42 -'!C19</f>
        <v>0</v>
      </c>
      <c r="D19" s="291">
        <f>'- 42 -'!E19</f>
        <v>31.558278247876824</v>
      </c>
      <c r="E19" s="291">
        <f>'- 42 -'!G19</f>
        <v>0.68354260958114899</v>
      </c>
      <c r="F19" s="291">
        <f>'- 42 -'!I19</f>
        <v>0</v>
      </c>
      <c r="G19" s="291">
        <f>'- 43 -'!C19</f>
        <v>4.0066514446556428E-2</v>
      </c>
      <c r="H19" s="291">
        <f>'- 43 -'!E19</f>
        <v>1.0924130843237385</v>
      </c>
      <c r="J19" s="131">
        <f t="shared" si="0"/>
        <v>100</v>
      </c>
      <c r="K19" s="495"/>
      <c r="L19" s="548">
        <f>SUM(L11:L17)</f>
        <v>100.00000000000001</v>
      </c>
      <c r="M19" s="510"/>
    </row>
    <row r="20" spans="1:13" ht="14.1" customHeight="1" x14ac:dyDescent="0.2">
      <c r="A20" s="19" t="s">
        <v>118</v>
      </c>
      <c r="B20" s="70">
        <f>'- 41 -'!I20</f>
        <v>69.255817983522235</v>
      </c>
      <c r="C20" s="70">
        <f>'- 42 -'!C20</f>
        <v>0</v>
      </c>
      <c r="D20" s="70">
        <f>'- 42 -'!E20</f>
        <v>30.025401357865434</v>
      </c>
      <c r="E20" s="70">
        <f>'- 42 -'!G20</f>
        <v>0.11494848389677667</v>
      </c>
      <c r="F20" s="70">
        <f>'- 42 -'!I20</f>
        <v>0</v>
      </c>
      <c r="G20" s="70">
        <f>'- 43 -'!C20</f>
        <v>0.34071343339175675</v>
      </c>
      <c r="H20" s="70">
        <f>'- 43 -'!E20</f>
        <v>0.26311874132378998</v>
      </c>
      <c r="J20" s="131">
        <f t="shared" si="0"/>
        <v>100</v>
      </c>
      <c r="K20" s="495"/>
      <c r="L20" s="495"/>
      <c r="M20" s="510"/>
    </row>
    <row r="21" spans="1:13" ht="14.1" customHeight="1" x14ac:dyDescent="0.2">
      <c r="A21" s="284" t="s">
        <v>119</v>
      </c>
      <c r="B21" s="291">
        <f>'- 41 -'!I21</f>
        <v>57.092493361526977</v>
      </c>
      <c r="C21" s="291">
        <f>'- 42 -'!C21</f>
        <v>2.0526410419455424E-2</v>
      </c>
      <c r="D21" s="291">
        <f>'- 42 -'!E21</f>
        <v>41.833815686292674</v>
      </c>
      <c r="E21" s="291">
        <f>'- 42 -'!G21</f>
        <v>6.3926659609197953E-2</v>
      </c>
      <c r="F21" s="291">
        <f>'- 42 -'!I21</f>
        <v>0</v>
      </c>
      <c r="G21" s="291">
        <f>'- 43 -'!C21</f>
        <v>0.46042723661847434</v>
      </c>
      <c r="H21" s="291">
        <f>'- 43 -'!E21</f>
        <v>0.52881064553322044</v>
      </c>
      <c r="J21" s="131">
        <f t="shared" si="0"/>
        <v>100</v>
      </c>
      <c r="K21" s="510"/>
      <c r="L21" s="510"/>
      <c r="M21" s="510"/>
    </row>
    <row r="22" spans="1:13" ht="14.1" customHeight="1" x14ac:dyDescent="0.2">
      <c r="A22" s="19" t="s">
        <v>120</v>
      </c>
      <c r="B22" s="70">
        <f>'- 41 -'!I22</f>
        <v>84.046349820841542</v>
      </c>
      <c r="C22" s="70">
        <f>'- 42 -'!C22</f>
        <v>0</v>
      </c>
      <c r="D22" s="70">
        <f>'- 42 -'!E22</f>
        <v>15.260574244412906</v>
      </c>
      <c r="E22" s="70">
        <f>'- 42 -'!G22</f>
        <v>1.706647639753776E-2</v>
      </c>
      <c r="F22" s="70">
        <f>'- 42 -'!I22</f>
        <v>0.26103996343858454</v>
      </c>
      <c r="G22" s="70">
        <f>'- 43 -'!C22</f>
        <v>0.36671170924419633</v>
      </c>
      <c r="H22" s="70">
        <f>'- 43 -'!E22</f>
        <v>4.8257785665227718E-2</v>
      </c>
      <c r="J22" s="131">
        <f t="shared" si="0"/>
        <v>100</v>
      </c>
      <c r="K22" s="510"/>
      <c r="L22" s="510"/>
      <c r="M22" s="510"/>
    </row>
    <row r="23" spans="1:13" ht="14.1" customHeight="1" x14ac:dyDescent="0.2">
      <c r="A23" s="284" t="s">
        <v>121</v>
      </c>
      <c r="B23" s="291">
        <f>'- 41 -'!I23</f>
        <v>70.14985322837488</v>
      </c>
      <c r="C23" s="291">
        <f>'- 42 -'!C23</f>
        <v>2.1057908389686331</v>
      </c>
      <c r="D23" s="291">
        <f>'- 42 -'!E23</f>
        <v>23.644100697916308</v>
      </c>
      <c r="E23" s="291">
        <f>'- 42 -'!G23</f>
        <v>0.27744239437507467</v>
      </c>
      <c r="F23" s="291">
        <f>'- 42 -'!I23</f>
        <v>1.8745786247833498</v>
      </c>
      <c r="G23" s="291">
        <f>'- 43 -'!C23</f>
        <v>0.78050523578250286</v>
      </c>
      <c r="H23" s="291">
        <f>'- 43 -'!E23</f>
        <v>1.1677289797992505</v>
      </c>
      <c r="J23" s="131">
        <f t="shared" si="0"/>
        <v>99.999999999999986</v>
      </c>
      <c r="K23" s="510"/>
      <c r="L23" s="510"/>
      <c r="M23" s="510"/>
    </row>
    <row r="24" spans="1:13" ht="14.1" customHeight="1" x14ac:dyDescent="0.2">
      <c r="A24" s="19" t="s">
        <v>122</v>
      </c>
      <c r="B24" s="70">
        <f>'- 41 -'!I24</f>
        <v>55.575965297856278</v>
      </c>
      <c r="C24" s="70">
        <f>'- 42 -'!C24</f>
        <v>0</v>
      </c>
      <c r="D24" s="70">
        <f>'- 42 -'!E24</f>
        <v>42.117317513391512</v>
      </c>
      <c r="E24" s="70">
        <f>'- 42 -'!G24</f>
        <v>0.23836283723461105</v>
      </c>
      <c r="F24" s="70">
        <f>'- 42 -'!I24</f>
        <v>0.82576594860609021</v>
      </c>
      <c r="G24" s="70">
        <f>'- 43 -'!C24</f>
        <v>0.70715257921073571</v>
      </c>
      <c r="H24" s="70">
        <f>'- 43 -'!E24</f>
        <v>0.53543582370077969</v>
      </c>
      <c r="J24" s="131">
        <f t="shared" si="0"/>
        <v>100.00000000000003</v>
      </c>
      <c r="K24" s="510"/>
      <c r="L24" s="510"/>
      <c r="M24" s="510"/>
    </row>
    <row r="25" spans="1:13" ht="14.1" customHeight="1" x14ac:dyDescent="0.2">
      <c r="A25" s="284" t="s">
        <v>123</v>
      </c>
      <c r="B25" s="291">
        <f>'- 41 -'!I25</f>
        <v>56.213676179972396</v>
      </c>
      <c r="C25" s="291">
        <f>'- 42 -'!C25</f>
        <v>0.10609966025499355</v>
      </c>
      <c r="D25" s="291">
        <f>'- 42 -'!E25</f>
        <v>38.923563992019311</v>
      </c>
      <c r="E25" s="291">
        <f>'- 42 -'!G25</f>
        <v>0.25138871532081186</v>
      </c>
      <c r="F25" s="291">
        <f>'- 42 -'!I25</f>
        <v>1.4242902057229834E-2</v>
      </c>
      <c r="G25" s="291">
        <f>'- 43 -'!C25</f>
        <v>3.9992131742820161</v>
      </c>
      <c r="H25" s="291">
        <f>'- 43 -'!E25</f>
        <v>0.49181537609324105</v>
      </c>
      <c r="J25" s="131">
        <f t="shared" si="0"/>
        <v>100.00000000000001</v>
      </c>
      <c r="K25" s="510"/>
      <c r="L25" s="510"/>
      <c r="M25" s="510"/>
    </row>
    <row r="26" spans="1:13" ht="14.1" customHeight="1" x14ac:dyDescent="0.2">
      <c r="A26" s="19" t="s">
        <v>124</v>
      </c>
      <c r="B26" s="70">
        <f>'- 41 -'!I26</f>
        <v>63.487458155416491</v>
      </c>
      <c r="C26" s="70">
        <f>'- 42 -'!C26</f>
        <v>0</v>
      </c>
      <c r="D26" s="70">
        <f>'- 42 -'!E26</f>
        <v>32.068836747439704</v>
      </c>
      <c r="E26" s="70">
        <f>'- 42 -'!G26</f>
        <v>1.0215504619625129</v>
      </c>
      <c r="F26" s="70">
        <f>'- 42 -'!I26</f>
        <v>2.0263389269685073</v>
      </c>
      <c r="G26" s="70">
        <f>'- 43 -'!C26</f>
        <v>1.1938295394291198</v>
      </c>
      <c r="H26" s="70">
        <f>'- 43 -'!E26</f>
        <v>0.20198616878366737</v>
      </c>
      <c r="J26" s="131">
        <f t="shared" si="0"/>
        <v>100</v>
      </c>
      <c r="K26" s="510"/>
      <c r="L26" s="510"/>
      <c r="M26" s="510"/>
    </row>
    <row r="27" spans="1:13" ht="14.1" customHeight="1" x14ac:dyDescent="0.2">
      <c r="A27" s="284" t="s">
        <v>125</v>
      </c>
      <c r="B27" s="291">
        <f>'- 41 -'!I27</f>
        <v>80.905314800709817</v>
      </c>
      <c r="C27" s="291">
        <f>'- 42 -'!C27</f>
        <v>9.3350325362211897E-2</v>
      </c>
      <c r="D27" s="291">
        <f>'- 42 -'!E27</f>
        <v>16.471776934338124</v>
      </c>
      <c r="E27" s="291">
        <f>'- 42 -'!G27</f>
        <v>0.31395159732279493</v>
      </c>
      <c r="F27" s="291">
        <f>'- 42 -'!I27</f>
        <v>0.93105693899038</v>
      </c>
      <c r="G27" s="291">
        <f>'- 43 -'!C27</f>
        <v>0.45293491747899373</v>
      </c>
      <c r="H27" s="291">
        <f>'- 43 -'!E27</f>
        <v>0.83161448579767672</v>
      </c>
      <c r="J27" s="131">
        <f t="shared" si="0"/>
        <v>100</v>
      </c>
      <c r="K27" s="510"/>
      <c r="L27" s="510"/>
      <c r="M27" s="510"/>
    </row>
    <row r="28" spans="1:13" ht="14.1" customHeight="1" x14ac:dyDescent="0.2">
      <c r="A28" s="19" t="s">
        <v>126</v>
      </c>
      <c r="B28" s="70">
        <f>'- 41 -'!I28</f>
        <v>44.958630054885241</v>
      </c>
      <c r="C28" s="70">
        <f>'- 42 -'!C28</f>
        <v>8.481514725249642E-2</v>
      </c>
      <c r="D28" s="70">
        <f>'- 42 -'!E28</f>
        <v>28.005812348115157</v>
      </c>
      <c r="E28" s="70">
        <f>'- 42 -'!G28</f>
        <v>6.2254318083332372E-2</v>
      </c>
      <c r="F28" s="70">
        <f>'- 42 -'!I28</f>
        <v>26.411209549832748</v>
      </c>
      <c r="G28" s="70">
        <f>'- 43 -'!C28</f>
        <v>0.34482107006385937</v>
      </c>
      <c r="H28" s="70">
        <f>'- 43 -'!E28</f>
        <v>0.13245751176716872</v>
      </c>
      <c r="J28" s="131">
        <f t="shared" si="0"/>
        <v>100</v>
      </c>
      <c r="K28" s="510"/>
      <c r="L28" s="510"/>
      <c r="M28" s="510"/>
    </row>
    <row r="29" spans="1:13" ht="14.1" customHeight="1" x14ac:dyDescent="0.2">
      <c r="A29" s="284" t="s">
        <v>127</v>
      </c>
      <c r="B29" s="291">
        <f>'- 41 -'!I29</f>
        <v>49.124260035712169</v>
      </c>
      <c r="C29" s="291">
        <f>'- 42 -'!C29</f>
        <v>0</v>
      </c>
      <c r="D29" s="291">
        <f>'- 42 -'!E29</f>
        <v>48.138009988557116</v>
      </c>
      <c r="E29" s="291">
        <f>'- 42 -'!G29</f>
        <v>0.29125546037200273</v>
      </c>
      <c r="F29" s="291">
        <f>'- 42 -'!I29</f>
        <v>2.693779625384082E-2</v>
      </c>
      <c r="G29" s="291">
        <f>'- 43 -'!C29</f>
        <v>1.8677794113733091</v>
      </c>
      <c r="H29" s="291">
        <f>'- 43 -'!E29</f>
        <v>0.55175730773156273</v>
      </c>
      <c r="J29" s="131">
        <f t="shared" si="0"/>
        <v>100</v>
      </c>
      <c r="K29" s="510"/>
      <c r="L29" s="510"/>
      <c r="M29" s="510"/>
    </row>
    <row r="30" spans="1:13" ht="14.1" customHeight="1" x14ac:dyDescent="0.2">
      <c r="A30" s="19" t="s">
        <v>128</v>
      </c>
      <c r="B30" s="70">
        <f>'- 41 -'!I30</f>
        <v>56.532091349590395</v>
      </c>
      <c r="C30" s="70">
        <f>'- 42 -'!C30</f>
        <v>0.31610561262564923</v>
      </c>
      <c r="D30" s="70">
        <f>'- 42 -'!E30</f>
        <v>42.422014137537126</v>
      </c>
      <c r="E30" s="70">
        <f>'- 42 -'!G30</f>
        <v>0.28688028341853067</v>
      </c>
      <c r="F30" s="70">
        <f>'- 42 -'!I30</f>
        <v>0</v>
      </c>
      <c r="G30" s="70">
        <f>'- 43 -'!C30</f>
        <v>0</v>
      </c>
      <c r="H30" s="70">
        <f>'- 43 -'!E30</f>
        <v>0.44290861682830146</v>
      </c>
      <c r="J30" s="131">
        <f t="shared" si="0"/>
        <v>100</v>
      </c>
      <c r="K30" s="510"/>
      <c r="L30" s="510"/>
      <c r="M30" s="510"/>
    </row>
    <row r="31" spans="1:13" ht="14.1" customHeight="1" x14ac:dyDescent="0.2">
      <c r="A31" s="284" t="s">
        <v>129</v>
      </c>
      <c r="B31" s="291">
        <f>'- 41 -'!I31</f>
        <v>56.014736524273864</v>
      </c>
      <c r="C31" s="291">
        <f>'- 42 -'!C31</f>
        <v>2.5418767067331465E-2</v>
      </c>
      <c r="D31" s="291">
        <f>'- 42 -'!E31</f>
        <v>36.465374002506231</v>
      </c>
      <c r="E31" s="291">
        <f>'- 42 -'!G31</f>
        <v>0.45208380845186108</v>
      </c>
      <c r="F31" s="291">
        <f>'- 42 -'!I31</f>
        <v>6.586486714137342</v>
      </c>
      <c r="G31" s="291">
        <f>'- 43 -'!C31</f>
        <v>4.7467352133205354E-2</v>
      </c>
      <c r="H31" s="291">
        <f>'- 43 -'!E31</f>
        <v>0.40843283143016551</v>
      </c>
      <c r="J31" s="131">
        <f t="shared" si="0"/>
        <v>99.999999999999986</v>
      </c>
      <c r="K31" s="510"/>
      <c r="L31" s="510"/>
      <c r="M31" s="510"/>
    </row>
    <row r="32" spans="1:13" ht="14.1" customHeight="1" x14ac:dyDescent="0.2">
      <c r="A32" s="19" t="s">
        <v>130</v>
      </c>
      <c r="B32" s="70">
        <f>'- 41 -'!I32</f>
        <v>53.294375615321954</v>
      </c>
      <c r="C32" s="70">
        <f>'- 42 -'!C32</f>
        <v>0</v>
      </c>
      <c r="D32" s="70">
        <f>'- 42 -'!E32</f>
        <v>46.012198911144516</v>
      </c>
      <c r="E32" s="70">
        <f>'- 42 -'!G32</f>
        <v>0.37643505735716659</v>
      </c>
      <c r="F32" s="70">
        <f>'- 42 -'!I32</f>
        <v>0</v>
      </c>
      <c r="G32" s="70">
        <f>'- 43 -'!C32</f>
        <v>4.8782424064436527E-3</v>
      </c>
      <c r="H32" s="70">
        <f>'- 43 -'!E32</f>
        <v>0.31211217376992256</v>
      </c>
      <c r="J32" s="131">
        <f t="shared" si="0"/>
        <v>100.00000000000001</v>
      </c>
      <c r="K32" s="510"/>
      <c r="L32" s="510"/>
      <c r="M32" s="510"/>
    </row>
    <row r="33" spans="1:13" ht="14.1" customHeight="1" x14ac:dyDescent="0.2">
      <c r="A33" s="284" t="s">
        <v>131</v>
      </c>
      <c r="B33" s="291">
        <f>'- 41 -'!I33</f>
        <v>57.374485487127089</v>
      </c>
      <c r="C33" s="291">
        <f>'- 42 -'!C33</f>
        <v>0.11323812729118476</v>
      </c>
      <c r="D33" s="291">
        <f>'- 42 -'!E33</f>
        <v>40.332068406260518</v>
      </c>
      <c r="E33" s="291">
        <f>'- 42 -'!G33</f>
        <v>0.18289673286727723</v>
      </c>
      <c r="F33" s="291">
        <f>'- 42 -'!I33</f>
        <v>0.85944650301446757</v>
      </c>
      <c r="G33" s="291">
        <f>'- 43 -'!C33</f>
        <v>0.65363792239194063</v>
      </c>
      <c r="H33" s="291">
        <f>'- 43 -'!E33</f>
        <v>0.48422682104752268</v>
      </c>
      <c r="J33" s="131">
        <f t="shared" si="0"/>
        <v>100</v>
      </c>
      <c r="K33" s="510"/>
      <c r="L33" s="510"/>
      <c r="M33" s="510"/>
    </row>
    <row r="34" spans="1:13" ht="14.1" customHeight="1" x14ac:dyDescent="0.2">
      <c r="A34" s="19" t="s">
        <v>132</v>
      </c>
      <c r="B34" s="70">
        <f>'- 41 -'!I34</f>
        <v>47.90499553403302</v>
      </c>
      <c r="C34" s="70">
        <f>'- 42 -'!C34</f>
        <v>7.8936515997250226E-2</v>
      </c>
      <c r="D34" s="70">
        <f>'- 42 -'!E34</f>
        <v>46.474628600371695</v>
      </c>
      <c r="E34" s="70">
        <f>'- 42 -'!G34</f>
        <v>4.4980654957862862</v>
      </c>
      <c r="F34" s="70">
        <f>'- 42 -'!I34</f>
        <v>0</v>
      </c>
      <c r="G34" s="70">
        <f>'- 43 -'!C34</f>
        <v>0.71535718004846194</v>
      </c>
      <c r="H34" s="70">
        <f>'- 43 -'!E34</f>
        <v>0.32801667376328714</v>
      </c>
      <c r="J34" s="131">
        <f t="shared" si="0"/>
        <v>100</v>
      </c>
      <c r="K34" s="510"/>
      <c r="L34" s="510"/>
      <c r="M34" s="510"/>
    </row>
    <row r="35" spans="1:13" ht="14.1" customHeight="1" x14ac:dyDescent="0.2">
      <c r="A35" s="284" t="s">
        <v>133</v>
      </c>
      <c r="B35" s="291">
        <f>'- 41 -'!I35</f>
        <v>64.270274394931675</v>
      </c>
      <c r="C35" s="291">
        <f>'- 42 -'!C35</f>
        <v>0.23662658454434385</v>
      </c>
      <c r="D35" s="291">
        <f>'- 42 -'!E35</f>
        <v>34.065194034397415</v>
      </c>
      <c r="E35" s="291">
        <f>'- 42 -'!G35</f>
        <v>0.28755140266661139</v>
      </c>
      <c r="F35" s="291">
        <f>'- 42 -'!I35</f>
        <v>7.7377812708412347E-2</v>
      </c>
      <c r="G35" s="291">
        <f>'- 43 -'!C35</f>
        <v>0.81152105541243225</v>
      </c>
      <c r="H35" s="291">
        <f>'- 43 -'!E35</f>
        <v>0.2514547153391134</v>
      </c>
      <c r="J35" s="131">
        <f t="shared" si="0"/>
        <v>99.999999999999972</v>
      </c>
      <c r="K35" s="510"/>
      <c r="L35" s="510"/>
      <c r="M35" s="510"/>
    </row>
    <row r="36" spans="1:13" ht="14.1" customHeight="1" x14ac:dyDescent="0.2">
      <c r="A36" s="19" t="s">
        <v>134</v>
      </c>
      <c r="B36" s="70">
        <f>'- 41 -'!I36</f>
        <v>53.974646264861661</v>
      </c>
      <c r="C36" s="70">
        <f>'- 42 -'!C36</f>
        <v>0</v>
      </c>
      <c r="D36" s="70">
        <f>'- 42 -'!E36</f>
        <v>40.292604997470519</v>
      </c>
      <c r="E36" s="70">
        <f>'- 42 -'!G36</f>
        <v>0.23560929631316557</v>
      </c>
      <c r="F36" s="70">
        <f>'- 42 -'!I36</f>
        <v>5.0074748559571356</v>
      </c>
      <c r="G36" s="70">
        <f>'- 43 -'!C36</f>
        <v>0.22242323073830569</v>
      </c>
      <c r="H36" s="70">
        <f>'- 43 -'!E36</f>
        <v>0.26724135465921006</v>
      </c>
      <c r="J36" s="131">
        <f t="shared" si="0"/>
        <v>100</v>
      </c>
      <c r="K36" s="510"/>
      <c r="L36" s="510"/>
      <c r="M36" s="510"/>
    </row>
    <row r="37" spans="1:13" ht="14.1" customHeight="1" x14ac:dyDescent="0.2">
      <c r="A37" s="284" t="s">
        <v>135</v>
      </c>
      <c r="B37" s="291">
        <f>'- 41 -'!I37</f>
        <v>67.644624222738415</v>
      </c>
      <c r="C37" s="291">
        <f>'- 42 -'!C37</f>
        <v>9.1915768811604834E-2</v>
      </c>
      <c r="D37" s="291">
        <f>'- 42 -'!E37</f>
        <v>31.229561293820957</v>
      </c>
      <c r="E37" s="291">
        <f>'- 42 -'!G37</f>
        <v>0.7041450753267261</v>
      </c>
      <c r="F37" s="291">
        <f>'- 42 -'!I37</f>
        <v>4.1784417422030429E-2</v>
      </c>
      <c r="G37" s="291">
        <f>'- 43 -'!C37</f>
        <v>9.0984778305220615E-2</v>
      </c>
      <c r="H37" s="291">
        <f>'- 43 -'!E37</f>
        <v>0.19698444357504619</v>
      </c>
      <c r="J37" s="131">
        <f t="shared" si="0"/>
        <v>100</v>
      </c>
      <c r="K37" s="510"/>
      <c r="L37" s="510"/>
      <c r="M37" s="510"/>
    </row>
    <row r="38" spans="1:13" ht="14.1" customHeight="1" x14ac:dyDescent="0.2">
      <c r="A38" s="19" t="s">
        <v>136</v>
      </c>
      <c r="B38" s="70">
        <f>'- 41 -'!I38</f>
        <v>65.182186133939709</v>
      </c>
      <c r="C38" s="70">
        <f>'- 42 -'!C38</f>
        <v>0.82137477811181858</v>
      </c>
      <c r="D38" s="70">
        <f>'- 42 -'!E38</f>
        <v>31.250955202081354</v>
      </c>
      <c r="E38" s="70">
        <f>'- 42 -'!G38</f>
        <v>0.98569379728651929</v>
      </c>
      <c r="F38" s="70">
        <f>'- 42 -'!I38</f>
        <v>0.31926404215581033</v>
      </c>
      <c r="G38" s="70">
        <f>'- 43 -'!C38</f>
        <v>1.2356292166426255</v>
      </c>
      <c r="H38" s="70">
        <f>'- 43 -'!E38</f>
        <v>0.20489682978215634</v>
      </c>
      <c r="J38" s="131">
        <f t="shared" si="0"/>
        <v>99.999999999999986</v>
      </c>
      <c r="K38" s="510"/>
      <c r="L38" s="510"/>
      <c r="M38" s="510"/>
    </row>
    <row r="39" spans="1:13" ht="14.1" customHeight="1" x14ac:dyDescent="0.2">
      <c r="A39" s="284" t="s">
        <v>137</v>
      </c>
      <c r="B39" s="291">
        <f>'- 41 -'!I39</f>
        <v>49.267633078265774</v>
      </c>
      <c r="C39" s="291">
        <f>'- 42 -'!C39</f>
        <v>0.10520910920667662</v>
      </c>
      <c r="D39" s="291">
        <f>'- 42 -'!E39</f>
        <v>49.790682268868949</v>
      </c>
      <c r="E39" s="291">
        <f>'- 42 -'!G39</f>
        <v>0.46839095418812421</v>
      </c>
      <c r="F39" s="291">
        <f>'- 42 -'!I39</f>
        <v>0</v>
      </c>
      <c r="G39" s="291">
        <f>'- 43 -'!C39</f>
        <v>0</v>
      </c>
      <c r="H39" s="291">
        <f>'- 43 -'!E39</f>
        <v>0.36808458947047873</v>
      </c>
      <c r="J39" s="131">
        <f t="shared" si="0"/>
        <v>100.00000000000001</v>
      </c>
      <c r="K39" s="510"/>
      <c r="L39" s="510"/>
      <c r="M39" s="510"/>
    </row>
    <row r="40" spans="1:13" ht="14.1" customHeight="1" x14ac:dyDescent="0.2">
      <c r="A40" s="19" t="s">
        <v>138</v>
      </c>
      <c r="B40" s="70">
        <f>'- 41 -'!I40</f>
        <v>50.181926830561487</v>
      </c>
      <c r="C40" s="70">
        <f>'- 42 -'!C40</f>
        <v>1.8870430148520551E-2</v>
      </c>
      <c r="D40" s="70">
        <f>'- 42 -'!E40</f>
        <v>46.568470390519103</v>
      </c>
      <c r="E40" s="70">
        <f>'- 42 -'!G40</f>
        <v>0.3246021301171681</v>
      </c>
      <c r="F40" s="70">
        <f>'- 42 -'!I40</f>
        <v>0.2401350008958161</v>
      </c>
      <c r="G40" s="70">
        <f>'- 43 -'!C40</f>
        <v>1.9834141577896895</v>
      </c>
      <c r="H40" s="70">
        <f>'- 43 -'!E40</f>
        <v>0.68258105996822227</v>
      </c>
      <c r="J40" s="131">
        <f t="shared" si="0"/>
        <v>100.00000000000003</v>
      </c>
      <c r="K40" s="510"/>
      <c r="L40" s="510"/>
      <c r="M40" s="510"/>
    </row>
    <row r="41" spans="1:13" ht="14.1" customHeight="1" x14ac:dyDescent="0.2">
      <c r="A41" s="284" t="s">
        <v>139</v>
      </c>
      <c r="B41" s="291">
        <f>'- 41 -'!I41</f>
        <v>54.894794087579136</v>
      </c>
      <c r="C41" s="291">
        <f>'- 42 -'!C41</f>
        <v>0</v>
      </c>
      <c r="D41" s="291">
        <f>'- 42 -'!E41</f>
        <v>44.066131923175078</v>
      </c>
      <c r="E41" s="291">
        <f>'- 42 -'!G41</f>
        <v>0.21892121355859828</v>
      </c>
      <c r="F41" s="291">
        <f>'- 42 -'!I41</f>
        <v>0.51989038192147463</v>
      </c>
      <c r="G41" s="291">
        <f>'- 43 -'!C41</f>
        <v>5.7077223848526669E-2</v>
      </c>
      <c r="H41" s="291">
        <f>'- 43 -'!E41</f>
        <v>0.24318516991718911</v>
      </c>
      <c r="J41" s="131">
        <f t="shared" si="0"/>
        <v>99.999999999999986</v>
      </c>
      <c r="K41" s="510"/>
      <c r="L41" s="510"/>
      <c r="M41" s="510"/>
    </row>
    <row r="42" spans="1:13" ht="14.1" customHeight="1" x14ac:dyDescent="0.2">
      <c r="A42" s="19" t="s">
        <v>140</v>
      </c>
      <c r="B42" s="70">
        <f>'- 41 -'!I42</f>
        <v>66.768543175715081</v>
      </c>
      <c r="C42" s="70">
        <f>'- 42 -'!C42</f>
        <v>8.0151435608524058E-2</v>
      </c>
      <c r="D42" s="70">
        <f>'- 42 -'!E42</f>
        <v>29.672947628860747</v>
      </c>
      <c r="E42" s="70">
        <f>'- 42 -'!G42</f>
        <v>6.4872058066858376E-2</v>
      </c>
      <c r="F42" s="70">
        <f>'- 42 -'!I42</f>
        <v>1.1450764771091044</v>
      </c>
      <c r="G42" s="70">
        <f>'- 43 -'!C42</f>
        <v>1.0920044267285753</v>
      </c>
      <c r="H42" s="70">
        <f>'- 43 -'!E42</f>
        <v>1.1764047979111094</v>
      </c>
      <c r="J42" s="131">
        <f t="shared" si="0"/>
        <v>99.999999999999986</v>
      </c>
      <c r="K42" s="510"/>
      <c r="L42" s="510"/>
      <c r="M42" s="510"/>
    </row>
    <row r="43" spans="1:13" ht="14.1" customHeight="1" x14ac:dyDescent="0.2">
      <c r="A43" s="284" t="s">
        <v>141</v>
      </c>
      <c r="B43" s="291">
        <f>'- 41 -'!I43</f>
        <v>54.892643049404285</v>
      </c>
      <c r="C43" s="291">
        <f>'- 42 -'!C43</f>
        <v>2.2222391122046171E-3</v>
      </c>
      <c r="D43" s="291">
        <f>'- 42 -'!E43</f>
        <v>44.64730278442218</v>
      </c>
      <c r="E43" s="291">
        <f>'- 42 -'!G43</f>
        <v>0.25287922926667195</v>
      </c>
      <c r="F43" s="291">
        <f>'- 42 -'!I43</f>
        <v>0</v>
      </c>
      <c r="G43" s="291">
        <f>'- 43 -'!C43</f>
        <v>1.5924840543485853E-2</v>
      </c>
      <c r="H43" s="291">
        <f>'- 43 -'!E43</f>
        <v>0.18902785725117707</v>
      </c>
      <c r="J43" s="131">
        <f t="shared" si="0"/>
        <v>100</v>
      </c>
      <c r="K43" s="510"/>
      <c r="L43" s="510"/>
      <c r="M43" s="510"/>
    </row>
    <row r="44" spans="1:13" ht="14.1" customHeight="1" x14ac:dyDescent="0.2">
      <c r="A44" s="19" t="s">
        <v>142</v>
      </c>
      <c r="B44" s="70">
        <f>'- 41 -'!I44</f>
        <v>74.855497929812302</v>
      </c>
      <c r="C44" s="70">
        <f>'- 42 -'!C44</f>
        <v>0</v>
      </c>
      <c r="D44" s="70">
        <f>'- 42 -'!E44</f>
        <v>24.497200604516941</v>
      </c>
      <c r="E44" s="70">
        <f>'- 42 -'!G44</f>
        <v>0.46245229890176143</v>
      </c>
      <c r="F44" s="70">
        <f>'- 42 -'!I44</f>
        <v>0</v>
      </c>
      <c r="G44" s="70">
        <f>'- 43 -'!C44</f>
        <v>0</v>
      </c>
      <c r="H44" s="70">
        <f>'- 43 -'!E44</f>
        <v>0.18484916676899465</v>
      </c>
      <c r="J44" s="131">
        <f t="shared" si="0"/>
        <v>100.00000000000001</v>
      </c>
      <c r="K44" s="510"/>
      <c r="L44" s="510"/>
      <c r="M44" s="510"/>
    </row>
    <row r="45" spans="1:13" ht="14.1" customHeight="1" x14ac:dyDescent="0.2">
      <c r="A45" s="284" t="s">
        <v>143</v>
      </c>
      <c r="B45" s="291">
        <f>'- 41 -'!I45</f>
        <v>65.009202738395572</v>
      </c>
      <c r="C45" s="291">
        <f>'- 42 -'!C45</f>
        <v>0.11379106258594923</v>
      </c>
      <c r="D45" s="291">
        <f>'- 42 -'!E45</f>
        <v>33.445901521300023</v>
      </c>
      <c r="E45" s="291">
        <f>'- 42 -'!G45</f>
        <v>0.26035395119665183</v>
      </c>
      <c r="F45" s="291">
        <f>'- 42 -'!I45</f>
        <v>0</v>
      </c>
      <c r="G45" s="291">
        <f>'- 43 -'!C45</f>
        <v>0.8506564674675221</v>
      </c>
      <c r="H45" s="291">
        <f>'- 43 -'!E45</f>
        <v>0.32009425905427519</v>
      </c>
      <c r="J45" s="131">
        <f t="shared" si="0"/>
        <v>99.999999999999986</v>
      </c>
      <c r="K45" s="510"/>
      <c r="L45" s="510"/>
      <c r="M45" s="510"/>
    </row>
    <row r="46" spans="1:13" ht="14.1" customHeight="1" x14ac:dyDescent="0.2">
      <c r="A46" s="19" t="s">
        <v>144</v>
      </c>
      <c r="B46" s="70">
        <f>'- 41 -'!I46</f>
        <v>58.387761973769784</v>
      </c>
      <c r="C46" s="70">
        <f>'- 42 -'!C46</f>
        <v>0.93306634228430207</v>
      </c>
      <c r="D46" s="70">
        <f>'- 42 -'!E46</f>
        <v>38.857680015823924</v>
      </c>
      <c r="E46" s="70">
        <f>'- 42 -'!G46</f>
        <v>0.54616020854493263</v>
      </c>
      <c r="F46" s="70">
        <f>'- 42 -'!I46</f>
        <v>0.41707262064801431</v>
      </c>
      <c r="G46" s="70">
        <f>'- 43 -'!C46</f>
        <v>0.54599015665407724</v>
      </c>
      <c r="H46" s="70">
        <f>'- 43 -'!E46</f>
        <v>0.31226868227496329</v>
      </c>
      <c r="J46" s="131">
        <f t="shared" si="0"/>
        <v>99.999999999999986</v>
      </c>
      <c r="K46" s="510"/>
      <c r="L46" s="510"/>
      <c r="M46" s="510"/>
    </row>
    <row r="47" spans="1:13" ht="5.0999999999999996" customHeight="1" x14ac:dyDescent="0.2">
      <c r="A47" s="21"/>
      <c r="B47"/>
      <c r="C47"/>
      <c r="D47"/>
      <c r="E47"/>
      <c r="F47"/>
      <c r="G47"/>
      <c r="H47"/>
      <c r="J47" s="131"/>
      <c r="K47" s="510"/>
      <c r="L47" s="510"/>
      <c r="M47" s="510"/>
    </row>
    <row r="48" spans="1:13" ht="14.1" customHeight="1" x14ac:dyDescent="0.2">
      <c r="A48" s="286" t="s">
        <v>145</v>
      </c>
      <c r="B48" s="294">
        <f>'- 41 -'!I48</f>
        <v>58.363582860543062</v>
      </c>
      <c r="C48" s="294">
        <f>'- 42 -'!C48</f>
        <v>0.31251918462571882</v>
      </c>
      <c r="D48" s="294">
        <f>'- 42 -'!E48</f>
        <v>35.235787515024207</v>
      </c>
      <c r="E48" s="294">
        <f>'- 42 -'!G48</f>
        <v>0.52388015100717578</v>
      </c>
      <c r="F48" s="294">
        <f>'- 42 -'!I48</f>
        <v>3.9911238279096408</v>
      </c>
      <c r="G48" s="294">
        <f>'- 43 -'!C48</f>
        <v>1.1645379737978423</v>
      </c>
      <c r="H48" s="294">
        <f>'- 43 -'!E48</f>
        <v>0.40856848709234767</v>
      </c>
      <c r="J48" s="131">
        <f>SUM(B48:H48)</f>
        <v>100.00000000000001</v>
      </c>
      <c r="K48" s="510"/>
      <c r="L48" s="510"/>
      <c r="M48" s="510"/>
    </row>
    <row r="49" spans="1:13" ht="5.0999999999999996" customHeight="1" x14ac:dyDescent="0.2">
      <c r="A49" s="21" t="s">
        <v>7</v>
      </c>
      <c r="B49"/>
      <c r="C49"/>
      <c r="D49"/>
      <c r="E49"/>
      <c r="F49"/>
      <c r="G49"/>
      <c r="H49"/>
      <c r="J49" s="131"/>
      <c r="K49" s="510"/>
      <c r="L49" s="510"/>
      <c r="M49" s="510"/>
    </row>
    <row r="50" spans="1:13" ht="14.1" customHeight="1" x14ac:dyDescent="0.2">
      <c r="A50" s="19" t="s">
        <v>146</v>
      </c>
      <c r="B50" s="70">
        <f>'- 41 -'!I50</f>
        <v>38.740900959044637</v>
      </c>
      <c r="C50" s="70">
        <f>'- 42 -'!C50</f>
        <v>0</v>
      </c>
      <c r="D50" s="70">
        <f>'- 42 -'!E50</f>
        <v>57.042987483469922</v>
      </c>
      <c r="E50" s="70">
        <f>'- 42 -'!G50</f>
        <v>1.0983715755608783</v>
      </c>
      <c r="F50" s="70">
        <f>'- 42 -'!I50</f>
        <v>0</v>
      </c>
      <c r="G50" s="70">
        <f>'- 43 -'!C50</f>
        <v>1.1744944492715861</v>
      </c>
      <c r="H50" s="70">
        <f>'- 43 -'!E50</f>
        <v>1.9432455326529792</v>
      </c>
      <c r="J50" s="131">
        <f>SUM(B50:H50)</f>
        <v>100</v>
      </c>
      <c r="K50" s="510"/>
      <c r="L50" s="510"/>
      <c r="M50" s="510"/>
    </row>
    <row r="51" spans="1:13" ht="14.1" customHeight="1" x14ac:dyDescent="0.2">
      <c r="A51" s="284" t="s">
        <v>599</v>
      </c>
      <c r="B51" s="291">
        <f>'- 41 -'!I51</f>
        <v>30.325864622798331</v>
      </c>
      <c r="C51" s="291">
        <f>'- 42 -'!C51</f>
        <v>5.9359673028156097</v>
      </c>
      <c r="D51" s="291">
        <f>'- 42 -'!E51</f>
        <v>0</v>
      </c>
      <c r="E51" s="291">
        <f>'- 42 -'!G51</f>
        <v>6.6417563151823833</v>
      </c>
      <c r="F51" s="291">
        <f>'- 42 -'!I51</f>
        <v>0</v>
      </c>
      <c r="G51" s="291">
        <f>'- 43 -'!C51</f>
        <v>55.16374354270399</v>
      </c>
      <c r="H51" s="291">
        <f>'- 43 -'!E51</f>
        <v>1.9326682164996802</v>
      </c>
      <c r="J51" s="131"/>
      <c r="K51" s="510"/>
      <c r="L51" s="510"/>
      <c r="M51" s="510"/>
    </row>
    <row r="52" spans="1:13" ht="50.1" customHeight="1" x14ac:dyDescent="0.2">
      <c r="A52" s="23"/>
      <c r="B52" s="23"/>
      <c r="C52" s="23"/>
      <c r="D52" s="23"/>
      <c r="E52" s="23"/>
      <c r="F52" s="23"/>
      <c r="G52" s="23"/>
      <c r="H52" s="23"/>
    </row>
    <row r="53" spans="1:13" ht="15" customHeight="1" x14ac:dyDescent="0.2">
      <c r="A53" s="625" t="s">
        <v>658</v>
      </c>
      <c r="B53" s="625"/>
      <c r="C53" s="625"/>
      <c r="D53" s="625"/>
      <c r="E53" s="625"/>
      <c r="F53" s="625"/>
      <c r="G53" s="625"/>
      <c r="H53" s="625"/>
    </row>
    <row r="54" spans="1:13" x14ac:dyDescent="0.2">
      <c r="A54" s="626"/>
      <c r="B54" s="626"/>
      <c r="C54" s="626"/>
      <c r="D54" s="626"/>
      <c r="E54" s="626"/>
      <c r="F54" s="626"/>
      <c r="G54" s="626"/>
      <c r="H54" s="626"/>
    </row>
    <row r="55" spans="1:13" x14ac:dyDescent="0.2">
      <c r="A55" s="626"/>
      <c r="B55" s="626"/>
      <c r="C55" s="626"/>
      <c r="D55" s="626"/>
      <c r="E55" s="626"/>
      <c r="F55" s="626"/>
      <c r="G55" s="626"/>
      <c r="H55" s="626"/>
    </row>
  </sheetData>
  <mergeCells count="5">
    <mergeCell ref="B7:D7"/>
    <mergeCell ref="F8:F9"/>
    <mergeCell ref="G7:G9"/>
    <mergeCell ref="E7:E9"/>
    <mergeCell ref="A53:H55"/>
  </mergeCells>
  <phoneticPr fontId="6" type="noConversion"/>
  <conditionalFormatting sqref="J11:J50">
    <cfRule type="cellIs" dxfId="0" priority="1" stopIfTrue="1" operator="equal">
      <formula>$J$1</formula>
    </cfRule>
  </conditionalFormatting>
  <pageMargins left="0.5" right="0.5" top="0.6" bottom="0.2" header="0.3" footer="0.5"/>
  <pageSetup scale="89" orientation="portrait" r:id="rId1"/>
  <headerFooter alignWithMargins="0">
    <oddHeader>&amp;C&amp;"Arial,Regular"&amp;11&amp;A</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I62"/>
  <sheetViews>
    <sheetView showGridLines="0" showZeros="0" workbookViewId="0"/>
  </sheetViews>
  <sheetFormatPr defaultColWidth="15.83203125" defaultRowHeight="12" x14ac:dyDescent="0.2"/>
  <cols>
    <col min="1" max="1" width="26.83203125" style="2" customWidth="1"/>
    <col min="2" max="2" width="15.5" style="2" customWidth="1"/>
    <col min="3" max="3" width="15.83203125" style="2"/>
    <col min="4" max="4" width="12.5" style="2" customWidth="1"/>
    <col min="5" max="5" width="13" style="2" customWidth="1"/>
    <col min="6" max="6" width="15.5" style="2" customWidth="1"/>
    <col min="7" max="7" width="14.83203125" style="2" customWidth="1"/>
    <col min="8" max="8" width="15" style="2" bestFit="1" customWidth="1"/>
    <col min="9" max="9" width="15.1640625" style="2" customWidth="1"/>
    <col min="10" max="16384" width="15.83203125" style="2"/>
  </cols>
  <sheetData>
    <row r="1" spans="1:9" ht="15.95" customHeight="1" x14ac:dyDescent="0.2">
      <c r="A1" s="213"/>
      <c r="B1" s="219" t="str">
        <f>"ANALYSIS OF OPERATING FUND REVENUE: "&amp;FALLYR&amp;"/"&amp;SPRINGYR&amp;" ACTUAL"</f>
        <v>ANALYSIS OF OPERATING FUND REVENUE: 2019/2020 ACTUAL</v>
      </c>
      <c r="C1" s="41"/>
      <c r="D1" s="41"/>
      <c r="E1" s="41"/>
      <c r="F1" s="41"/>
      <c r="G1" s="41"/>
      <c r="H1" s="215"/>
      <c r="I1" s="215" t="s">
        <v>6</v>
      </c>
    </row>
    <row r="2" spans="1:9" ht="15.95" customHeight="1" x14ac:dyDescent="0.2">
      <c r="A2" s="205"/>
    </row>
    <row r="3" spans="1:9" ht="15.95" customHeight="1" x14ac:dyDescent="0.2">
      <c r="A3" s="538"/>
      <c r="B3" s="727" t="s">
        <v>50</v>
      </c>
      <c r="C3" s="728"/>
      <c r="D3" s="728"/>
      <c r="E3" s="728"/>
      <c r="F3" s="728"/>
      <c r="G3" s="728"/>
      <c r="H3" s="728"/>
      <c r="I3" s="729"/>
    </row>
    <row r="4" spans="1:9" ht="8.1" customHeight="1" x14ac:dyDescent="0.2"/>
    <row r="5" spans="1:9" ht="15.95" customHeight="1" x14ac:dyDescent="0.2">
      <c r="B5" s="724" t="s">
        <v>39</v>
      </c>
      <c r="C5" s="725"/>
      <c r="D5" s="725"/>
      <c r="E5" s="725"/>
      <c r="F5" s="726"/>
    </row>
    <row r="6" spans="1:9" ht="11.45" customHeight="1" x14ac:dyDescent="0.2">
      <c r="B6" s="382"/>
      <c r="C6" s="382"/>
      <c r="D6" s="449"/>
      <c r="E6" s="383"/>
      <c r="F6" s="383"/>
      <c r="G6" s="382"/>
      <c r="H6" s="562"/>
      <c r="I6" s="732" t="s">
        <v>516</v>
      </c>
    </row>
    <row r="7" spans="1:9" ht="8.4499999999999993" customHeight="1" x14ac:dyDescent="0.2">
      <c r="B7" s="720" t="s">
        <v>521</v>
      </c>
      <c r="C7" s="720" t="s">
        <v>520</v>
      </c>
      <c r="D7" s="720" t="s">
        <v>519</v>
      </c>
      <c r="E7" s="384"/>
      <c r="F7" s="384"/>
      <c r="G7" s="720" t="s">
        <v>517</v>
      </c>
      <c r="H7" s="730" t="s">
        <v>515</v>
      </c>
      <c r="I7" s="733"/>
    </row>
    <row r="8" spans="1:9" ht="21.6" customHeight="1" x14ac:dyDescent="0.2">
      <c r="A8" s="67"/>
      <c r="B8" s="721"/>
      <c r="C8" s="720"/>
      <c r="D8" s="721"/>
      <c r="E8" s="720" t="s">
        <v>518</v>
      </c>
      <c r="F8" s="384"/>
      <c r="G8" s="721"/>
      <c r="H8" s="730"/>
      <c r="I8" s="733"/>
    </row>
    <row r="9" spans="1:9" ht="15.95" customHeight="1" x14ac:dyDescent="0.2">
      <c r="A9" s="35" t="s">
        <v>42</v>
      </c>
      <c r="B9" s="722"/>
      <c r="C9" s="735"/>
      <c r="D9" s="722"/>
      <c r="E9" s="735"/>
      <c r="F9" s="385" t="s">
        <v>31</v>
      </c>
      <c r="G9" s="722"/>
      <c r="H9" s="731"/>
      <c r="I9" s="734"/>
    </row>
    <row r="10" spans="1:9" ht="5.0999999999999996" customHeight="1" x14ac:dyDescent="0.2">
      <c r="A10" s="6"/>
      <c r="B10" s="207"/>
      <c r="C10" s="207"/>
      <c r="D10" s="207"/>
      <c r="E10" s="207"/>
      <c r="F10" s="207"/>
      <c r="G10" s="207"/>
      <c r="H10" s="207"/>
    </row>
    <row r="11" spans="1:9" ht="14.1" customHeight="1" x14ac:dyDescent="0.2">
      <c r="A11" s="284" t="s">
        <v>110</v>
      </c>
      <c r="B11" s="285">
        <f>'- 61 -'!$F11</f>
        <v>11059894</v>
      </c>
      <c r="C11" s="417">
        <v>1765135</v>
      </c>
      <c r="D11" s="417">
        <v>292512</v>
      </c>
      <c r="E11" s="417">
        <v>643351</v>
      </c>
      <c r="F11" s="285">
        <f>SUM(B11:E11)</f>
        <v>13760892</v>
      </c>
      <c r="G11" s="417">
        <v>0</v>
      </c>
      <c r="H11" s="285">
        <f>SUM(F11:G11)</f>
        <v>13760892</v>
      </c>
      <c r="I11" s="291">
        <f>H11/'- 43 -'!$I11*100</f>
        <v>63.845417251704404</v>
      </c>
    </row>
    <row r="12" spans="1:9" ht="14.1" customHeight="1" x14ac:dyDescent="0.2">
      <c r="A12" s="19" t="s">
        <v>111</v>
      </c>
      <c r="B12" s="20">
        <f>'- 61 -'!$F12</f>
        <v>14491994</v>
      </c>
      <c r="C12" s="418">
        <v>2437173</v>
      </c>
      <c r="D12" s="418">
        <v>2583158</v>
      </c>
      <c r="E12" s="418">
        <v>976836</v>
      </c>
      <c r="F12" s="20">
        <f t="shared" ref="F12:F46" si="0">SUM(B12:E12)</f>
        <v>20489161</v>
      </c>
      <c r="G12" s="418">
        <v>469635</v>
      </c>
      <c r="H12" s="20">
        <f t="shared" ref="H12:H46" si="1">SUM(F12:G12)</f>
        <v>20958796</v>
      </c>
      <c r="I12" s="70">
        <f>H12/'- 43 -'!$I12*100</f>
        <v>59.03770948922039</v>
      </c>
    </row>
    <row r="13" spans="1:9" ht="14.1" customHeight="1" x14ac:dyDescent="0.2">
      <c r="A13" s="284" t="s">
        <v>112</v>
      </c>
      <c r="B13" s="285">
        <f>'- 61 -'!$F13</f>
        <v>51532109</v>
      </c>
      <c r="C13" s="417">
        <v>7838979</v>
      </c>
      <c r="D13" s="417">
        <v>1040928</v>
      </c>
      <c r="E13" s="417">
        <v>2927118</v>
      </c>
      <c r="F13" s="285">
        <f t="shared" si="0"/>
        <v>63339134</v>
      </c>
      <c r="G13" s="417">
        <v>2600</v>
      </c>
      <c r="H13" s="285">
        <f t="shared" si="1"/>
        <v>63341734</v>
      </c>
      <c r="I13" s="291">
        <f>H13/'- 43 -'!$I13*100</f>
        <v>60.081821156681123</v>
      </c>
    </row>
    <row r="14" spans="1:9" ht="14.1" customHeight="1" x14ac:dyDescent="0.2">
      <c r="A14" s="19" t="s">
        <v>358</v>
      </c>
      <c r="B14" s="20">
        <f>'- 61 -'!$F14</f>
        <v>37527312</v>
      </c>
      <c r="C14" s="418">
        <v>6594437</v>
      </c>
      <c r="D14" s="418">
        <v>1233329</v>
      </c>
      <c r="E14" s="418">
        <v>21322696</v>
      </c>
      <c r="F14" s="20">
        <f t="shared" si="0"/>
        <v>66677774</v>
      </c>
      <c r="G14" s="418">
        <v>907225</v>
      </c>
      <c r="H14" s="20">
        <f t="shared" si="1"/>
        <v>67584999</v>
      </c>
      <c r="I14" s="70">
        <f>H14/'- 43 -'!$I14*100</f>
        <v>69.643736089672075</v>
      </c>
    </row>
    <row r="15" spans="1:9" ht="14.1" customHeight="1" x14ac:dyDescent="0.2">
      <c r="A15" s="284" t="s">
        <v>113</v>
      </c>
      <c r="B15" s="285">
        <f>'- 61 -'!$F15</f>
        <v>7819237</v>
      </c>
      <c r="C15" s="417">
        <v>2924913</v>
      </c>
      <c r="D15" s="417">
        <v>1514675</v>
      </c>
      <c r="E15" s="417">
        <v>470452</v>
      </c>
      <c r="F15" s="285">
        <f t="shared" si="0"/>
        <v>12729277</v>
      </c>
      <c r="G15" s="417">
        <v>0</v>
      </c>
      <c r="H15" s="285">
        <f t="shared" si="1"/>
        <v>12729277</v>
      </c>
      <c r="I15" s="291">
        <f>H15/'- 43 -'!$I15*100</f>
        <v>58.785209687854042</v>
      </c>
    </row>
    <row r="16" spans="1:9" ht="14.1" customHeight="1" x14ac:dyDescent="0.2">
      <c r="A16" s="19" t="s">
        <v>114</v>
      </c>
      <c r="B16" s="20">
        <f>'- 61 -'!$F16</f>
        <v>8905591</v>
      </c>
      <c r="C16" s="418">
        <v>877134</v>
      </c>
      <c r="D16" s="418">
        <v>439083</v>
      </c>
      <c r="E16" s="418">
        <v>510283</v>
      </c>
      <c r="F16" s="20">
        <f t="shared" si="0"/>
        <v>10732091</v>
      </c>
      <c r="G16" s="418">
        <v>94000</v>
      </c>
      <c r="H16" s="20">
        <f t="shared" si="1"/>
        <v>10826091</v>
      </c>
      <c r="I16" s="70">
        <f>H16/'- 43 -'!$I16*100</f>
        <v>72.151395094079604</v>
      </c>
    </row>
    <row r="17" spans="1:9" ht="14.1" customHeight="1" x14ac:dyDescent="0.2">
      <c r="A17" s="284" t="s">
        <v>115</v>
      </c>
      <c r="B17" s="285">
        <f>'- 61 -'!$F17</f>
        <v>7047227</v>
      </c>
      <c r="C17" s="417">
        <v>1422727</v>
      </c>
      <c r="D17" s="417">
        <v>462934</v>
      </c>
      <c r="E17" s="417">
        <v>633161</v>
      </c>
      <c r="F17" s="285">
        <f t="shared" si="0"/>
        <v>9566049</v>
      </c>
      <c r="G17" s="417">
        <v>197838</v>
      </c>
      <c r="H17" s="285">
        <f t="shared" si="1"/>
        <v>9763887</v>
      </c>
      <c r="I17" s="291">
        <f>H17/'- 43 -'!$I17*100</f>
        <v>51.464610476015736</v>
      </c>
    </row>
    <row r="18" spans="1:9" ht="14.1" customHeight="1" x14ac:dyDescent="0.2">
      <c r="A18" s="19" t="s">
        <v>116</v>
      </c>
      <c r="B18" s="20">
        <f>'- 61 -'!$F18</f>
        <v>37137298</v>
      </c>
      <c r="C18" s="418">
        <v>546172</v>
      </c>
      <c r="D18" s="418">
        <v>180469</v>
      </c>
      <c r="E18" s="418">
        <v>9853542</v>
      </c>
      <c r="F18" s="20">
        <f t="shared" si="0"/>
        <v>47717481</v>
      </c>
      <c r="G18" s="418">
        <v>1445569</v>
      </c>
      <c r="H18" s="20">
        <f t="shared" si="1"/>
        <v>49163050</v>
      </c>
      <c r="I18" s="70">
        <f>H18/'- 43 -'!$I18*100</f>
        <v>35.301079602464135</v>
      </c>
    </row>
    <row r="19" spans="1:9" ht="14.1" customHeight="1" x14ac:dyDescent="0.2">
      <c r="A19" s="284" t="s">
        <v>117</v>
      </c>
      <c r="B19" s="285">
        <f>'- 61 -'!$F19</f>
        <v>29252006</v>
      </c>
      <c r="C19" s="417">
        <v>3518674</v>
      </c>
      <c r="D19" s="417">
        <v>376935</v>
      </c>
      <c r="E19" s="417">
        <v>1546876</v>
      </c>
      <c r="F19" s="285">
        <f t="shared" si="0"/>
        <v>34694491</v>
      </c>
      <c r="G19" s="417">
        <v>1445</v>
      </c>
      <c r="H19" s="285">
        <f t="shared" si="1"/>
        <v>34695936</v>
      </c>
      <c r="I19" s="291">
        <f>H19/'- 43 -'!$I19*100</f>
        <v>66.625699543771731</v>
      </c>
    </row>
    <row r="20" spans="1:9" ht="14.1" customHeight="1" x14ac:dyDescent="0.2">
      <c r="A20" s="19" t="s">
        <v>118</v>
      </c>
      <c r="B20" s="20">
        <f>'- 61 -'!$F20</f>
        <v>53566023</v>
      </c>
      <c r="C20" s="418">
        <v>6829926</v>
      </c>
      <c r="D20" s="418">
        <v>846509</v>
      </c>
      <c r="E20" s="418">
        <v>2733410</v>
      </c>
      <c r="F20" s="20">
        <f t="shared" si="0"/>
        <v>63975868</v>
      </c>
      <c r="G20" s="418">
        <v>0</v>
      </c>
      <c r="H20" s="20">
        <f t="shared" si="1"/>
        <v>63975868</v>
      </c>
      <c r="I20" s="70">
        <f>H20/'- 43 -'!$I20*100</f>
        <v>69.255817983522235</v>
      </c>
    </row>
    <row r="21" spans="1:9" ht="14.1" customHeight="1" x14ac:dyDescent="0.2">
      <c r="A21" s="284" t="s">
        <v>119</v>
      </c>
      <c r="B21" s="285">
        <f>'- 61 -'!$F21</f>
        <v>16563104</v>
      </c>
      <c r="C21" s="417">
        <v>3746328</v>
      </c>
      <c r="D21" s="417">
        <v>833061</v>
      </c>
      <c r="E21" s="417">
        <v>847920</v>
      </c>
      <c r="F21" s="285">
        <f t="shared" si="0"/>
        <v>21990413</v>
      </c>
      <c r="G21" s="417">
        <v>69000</v>
      </c>
      <c r="H21" s="285">
        <f t="shared" si="1"/>
        <v>22059413</v>
      </c>
      <c r="I21" s="291">
        <f>H21/'- 43 -'!$I21*100</f>
        <v>57.092493361526977</v>
      </c>
    </row>
    <row r="22" spans="1:9" ht="14.1" customHeight="1" x14ac:dyDescent="0.2">
      <c r="A22" s="19" t="s">
        <v>120</v>
      </c>
      <c r="B22" s="20">
        <f>'- 61 -'!$F22</f>
        <v>14173396</v>
      </c>
      <c r="C22" s="418">
        <v>1121969</v>
      </c>
      <c r="D22" s="418">
        <v>197752</v>
      </c>
      <c r="E22" s="418">
        <v>844500</v>
      </c>
      <c r="F22" s="20">
        <f t="shared" si="0"/>
        <v>16337617</v>
      </c>
      <c r="G22" s="418">
        <v>662260</v>
      </c>
      <c r="H22" s="20">
        <f t="shared" si="1"/>
        <v>16999877</v>
      </c>
      <c r="I22" s="70">
        <f>H22/'- 43 -'!$I22*100</f>
        <v>84.046349820841542</v>
      </c>
    </row>
    <row r="23" spans="1:9" ht="14.1" customHeight="1" x14ac:dyDescent="0.2">
      <c r="A23" s="284" t="s">
        <v>121</v>
      </c>
      <c r="B23" s="285">
        <f>'- 61 -'!$F23</f>
        <v>9180277</v>
      </c>
      <c r="C23" s="417">
        <v>1140015</v>
      </c>
      <c r="D23" s="417">
        <v>417575</v>
      </c>
      <c r="E23" s="417">
        <v>444634</v>
      </c>
      <c r="F23" s="285">
        <f t="shared" si="0"/>
        <v>11182501</v>
      </c>
      <c r="G23" s="417">
        <v>258724</v>
      </c>
      <c r="H23" s="285">
        <f t="shared" si="1"/>
        <v>11441225</v>
      </c>
      <c r="I23" s="291">
        <f>H23/'- 43 -'!$I23*100</f>
        <v>70.14985322837488</v>
      </c>
    </row>
    <row r="24" spans="1:9" ht="14.1" customHeight="1" x14ac:dyDescent="0.2">
      <c r="A24" s="19" t="s">
        <v>122</v>
      </c>
      <c r="B24" s="20">
        <f>'- 61 -'!$F24</f>
        <v>22794159</v>
      </c>
      <c r="C24" s="418">
        <v>6062310</v>
      </c>
      <c r="D24" s="418">
        <v>2555230</v>
      </c>
      <c r="E24" s="418">
        <v>1215003</v>
      </c>
      <c r="F24" s="20">
        <f t="shared" si="0"/>
        <v>32626702</v>
      </c>
      <c r="G24" s="418">
        <v>539882</v>
      </c>
      <c r="H24" s="20">
        <f t="shared" si="1"/>
        <v>33166584</v>
      </c>
      <c r="I24" s="70">
        <f>H24/'- 43 -'!$I24*100</f>
        <v>55.575965297856278</v>
      </c>
    </row>
    <row r="25" spans="1:9" ht="14.1" customHeight="1" x14ac:dyDescent="0.2">
      <c r="A25" s="284" t="s">
        <v>123</v>
      </c>
      <c r="B25" s="285">
        <f>'- 61 -'!$F25</f>
        <v>81213810</v>
      </c>
      <c r="C25" s="417">
        <v>22086396</v>
      </c>
      <c r="D25" s="417">
        <v>3299421</v>
      </c>
      <c r="E25" s="417">
        <v>6069607</v>
      </c>
      <c r="F25" s="285">
        <f t="shared" si="0"/>
        <v>112669234</v>
      </c>
      <c r="G25" s="417">
        <v>208825</v>
      </c>
      <c r="H25" s="285">
        <f t="shared" si="1"/>
        <v>112878059</v>
      </c>
      <c r="I25" s="291">
        <f>H25/'- 43 -'!$I25*100</f>
        <v>56.213676179972396</v>
      </c>
    </row>
    <row r="26" spans="1:9" ht="14.1" customHeight="1" x14ac:dyDescent="0.2">
      <c r="A26" s="19" t="s">
        <v>124</v>
      </c>
      <c r="B26" s="20">
        <f>'- 61 -'!$F26</f>
        <v>22117953</v>
      </c>
      <c r="C26" s="418">
        <v>3599760</v>
      </c>
      <c r="D26" s="418">
        <v>391204</v>
      </c>
      <c r="E26" s="418">
        <v>953365</v>
      </c>
      <c r="F26" s="20">
        <f t="shared" si="0"/>
        <v>27062282</v>
      </c>
      <c r="G26" s="418">
        <v>0</v>
      </c>
      <c r="H26" s="20">
        <f t="shared" si="1"/>
        <v>27062282</v>
      </c>
      <c r="I26" s="70">
        <f>H26/'- 43 -'!$I26*100</f>
        <v>63.487458155416491</v>
      </c>
    </row>
    <row r="27" spans="1:9" ht="14.1" customHeight="1" x14ac:dyDescent="0.2">
      <c r="A27" s="284" t="s">
        <v>125</v>
      </c>
      <c r="B27" s="285">
        <f>'- 61 -'!$F27</f>
        <v>30870298</v>
      </c>
      <c r="C27" s="417">
        <v>1621805</v>
      </c>
      <c r="D27" s="417">
        <v>596512</v>
      </c>
      <c r="E27" s="417">
        <v>1067293</v>
      </c>
      <c r="F27" s="285">
        <f t="shared" si="0"/>
        <v>34155908</v>
      </c>
      <c r="G27" s="417">
        <v>40877</v>
      </c>
      <c r="H27" s="285">
        <f t="shared" si="1"/>
        <v>34196785</v>
      </c>
      <c r="I27" s="291">
        <f>H27/'- 43 -'!$I27*100</f>
        <v>80.905314800709817</v>
      </c>
    </row>
    <row r="28" spans="1:9" ht="14.1" customHeight="1" x14ac:dyDescent="0.2">
      <c r="A28" s="19" t="s">
        <v>126</v>
      </c>
      <c r="B28" s="20">
        <f>'- 61 -'!$F28</f>
        <v>10119404</v>
      </c>
      <c r="C28" s="418">
        <v>1703646</v>
      </c>
      <c r="D28" s="418">
        <v>753701</v>
      </c>
      <c r="E28" s="418">
        <v>675195</v>
      </c>
      <c r="F28" s="20">
        <f t="shared" si="0"/>
        <v>13251946</v>
      </c>
      <c r="G28" s="418">
        <v>0</v>
      </c>
      <c r="H28" s="20">
        <f t="shared" si="1"/>
        <v>13251946</v>
      </c>
      <c r="I28" s="70">
        <f>H28/'- 43 -'!$I28*100</f>
        <v>44.958630054885241</v>
      </c>
    </row>
    <row r="29" spans="1:9" ht="14.1" customHeight="1" x14ac:dyDescent="0.2">
      <c r="A29" s="284" t="s">
        <v>127</v>
      </c>
      <c r="B29" s="285">
        <f>'- 61 -'!$F29</f>
        <v>59662522</v>
      </c>
      <c r="C29" s="417">
        <v>21791984</v>
      </c>
      <c r="D29" s="417">
        <v>2722916</v>
      </c>
      <c r="E29" s="417">
        <v>3998842</v>
      </c>
      <c r="F29" s="285">
        <f t="shared" si="0"/>
        <v>88176264</v>
      </c>
      <c r="G29" s="417">
        <v>86865</v>
      </c>
      <c r="H29" s="285">
        <f t="shared" si="1"/>
        <v>88263129</v>
      </c>
      <c r="I29" s="291">
        <f>H29/'- 43 -'!$I29*100</f>
        <v>49.124260035712169</v>
      </c>
    </row>
    <row r="30" spans="1:9" ht="14.1" customHeight="1" x14ac:dyDescent="0.2">
      <c r="A30" s="19" t="s">
        <v>128</v>
      </c>
      <c r="B30" s="20">
        <f>'- 61 -'!$F30</f>
        <v>7129592</v>
      </c>
      <c r="C30" s="418">
        <v>1040043</v>
      </c>
      <c r="D30" s="418">
        <v>315281</v>
      </c>
      <c r="E30" s="418">
        <v>353141</v>
      </c>
      <c r="F30" s="20">
        <f t="shared" si="0"/>
        <v>8838057</v>
      </c>
      <c r="G30" s="418">
        <v>0</v>
      </c>
      <c r="H30" s="20">
        <f t="shared" si="1"/>
        <v>8838057</v>
      </c>
      <c r="I30" s="70">
        <f>H30/'- 43 -'!$I30*100</f>
        <v>56.532091349590395</v>
      </c>
    </row>
    <row r="31" spans="1:9" ht="14.1" customHeight="1" x14ac:dyDescent="0.2">
      <c r="A31" s="284" t="s">
        <v>129</v>
      </c>
      <c r="B31" s="285">
        <f>'- 61 -'!$F31</f>
        <v>18968828</v>
      </c>
      <c r="C31" s="417">
        <v>3371708</v>
      </c>
      <c r="D31" s="417">
        <v>306752</v>
      </c>
      <c r="E31" s="417">
        <v>954086</v>
      </c>
      <c r="F31" s="285">
        <f t="shared" si="0"/>
        <v>23601374</v>
      </c>
      <c r="G31" s="417">
        <v>0</v>
      </c>
      <c r="H31" s="285">
        <f t="shared" si="1"/>
        <v>23601374</v>
      </c>
      <c r="I31" s="291">
        <f>H31/'- 43 -'!$I31*100</f>
        <v>56.014736524273864</v>
      </c>
    </row>
    <row r="32" spans="1:9" ht="14.1" customHeight="1" x14ac:dyDescent="0.2">
      <c r="A32" s="19" t="s">
        <v>130</v>
      </c>
      <c r="B32" s="20">
        <f>'- 61 -'!$F32</f>
        <v>12211054</v>
      </c>
      <c r="C32" s="418">
        <v>2539838</v>
      </c>
      <c r="D32" s="418">
        <v>1066947</v>
      </c>
      <c r="E32" s="418">
        <v>674626</v>
      </c>
      <c r="F32" s="20">
        <f t="shared" si="0"/>
        <v>16492465</v>
      </c>
      <c r="G32" s="418">
        <v>277277</v>
      </c>
      <c r="H32" s="20">
        <f t="shared" si="1"/>
        <v>16769742</v>
      </c>
      <c r="I32" s="70">
        <f>H32/'- 43 -'!$I32*100</f>
        <v>53.294375615321954</v>
      </c>
    </row>
    <row r="33" spans="1:9" ht="14.1" customHeight="1" x14ac:dyDescent="0.2">
      <c r="A33" s="284" t="s">
        <v>131</v>
      </c>
      <c r="B33" s="285">
        <f>'- 61 -'!$F33</f>
        <v>13358776</v>
      </c>
      <c r="C33" s="417">
        <v>1893639</v>
      </c>
      <c r="D33" s="417">
        <v>770272</v>
      </c>
      <c r="E33" s="417">
        <v>691952</v>
      </c>
      <c r="F33" s="285">
        <f t="shared" si="0"/>
        <v>16714639</v>
      </c>
      <c r="G33" s="417">
        <v>5507</v>
      </c>
      <c r="H33" s="285">
        <f t="shared" si="1"/>
        <v>16720146</v>
      </c>
      <c r="I33" s="291">
        <f>H33/'- 43 -'!$I33*100</f>
        <v>57.374485487127089</v>
      </c>
    </row>
    <row r="34" spans="1:9" ht="14.1" customHeight="1" x14ac:dyDescent="0.2">
      <c r="A34" s="19" t="s">
        <v>132</v>
      </c>
      <c r="B34" s="20">
        <f>'- 61 -'!$F34</f>
        <v>11879015</v>
      </c>
      <c r="C34" s="418">
        <v>2246243</v>
      </c>
      <c r="D34" s="418">
        <v>662890</v>
      </c>
      <c r="E34" s="418">
        <v>792890</v>
      </c>
      <c r="F34" s="20">
        <f t="shared" si="0"/>
        <v>15581038</v>
      </c>
      <c r="G34" s="418">
        <v>0</v>
      </c>
      <c r="H34" s="20">
        <f t="shared" si="1"/>
        <v>15581038</v>
      </c>
      <c r="I34" s="70">
        <f>H34/'- 43 -'!$I34*100</f>
        <v>47.90499553403302</v>
      </c>
    </row>
    <row r="35" spans="1:9" ht="14.1" customHeight="1" x14ac:dyDescent="0.2">
      <c r="A35" s="284" t="s">
        <v>133</v>
      </c>
      <c r="B35" s="285">
        <f>'- 61 -'!$F35</f>
        <v>96419914</v>
      </c>
      <c r="C35" s="417">
        <v>23840925</v>
      </c>
      <c r="D35" s="417">
        <v>827912</v>
      </c>
      <c r="E35" s="417">
        <v>6039555</v>
      </c>
      <c r="F35" s="285">
        <f t="shared" si="0"/>
        <v>127128306</v>
      </c>
      <c r="G35" s="417">
        <v>1822872</v>
      </c>
      <c r="H35" s="285">
        <f t="shared" si="1"/>
        <v>128951178</v>
      </c>
      <c r="I35" s="291">
        <f>H35/'- 43 -'!$I35*100</f>
        <v>64.270274394931675</v>
      </c>
    </row>
    <row r="36" spans="1:9" ht="14.1" customHeight="1" x14ac:dyDescent="0.2">
      <c r="A36" s="19" t="s">
        <v>134</v>
      </c>
      <c r="B36" s="20">
        <f>'- 61 -'!$F36</f>
        <v>9604612</v>
      </c>
      <c r="C36" s="418">
        <v>2300210</v>
      </c>
      <c r="D36" s="418">
        <v>723294</v>
      </c>
      <c r="E36" s="418">
        <v>513932</v>
      </c>
      <c r="F36" s="20">
        <f t="shared" si="0"/>
        <v>13142048</v>
      </c>
      <c r="G36" s="418">
        <v>259447</v>
      </c>
      <c r="H36" s="20">
        <f t="shared" si="1"/>
        <v>13401495</v>
      </c>
      <c r="I36" s="70">
        <f>H36/'- 43 -'!$I36*100</f>
        <v>53.974646264861661</v>
      </c>
    </row>
    <row r="37" spans="1:9" ht="14.1" customHeight="1" x14ac:dyDescent="0.2">
      <c r="A37" s="284" t="s">
        <v>135</v>
      </c>
      <c r="B37" s="285">
        <f>'- 61 -'!$F37</f>
        <v>30011376</v>
      </c>
      <c r="C37" s="417">
        <v>5203181</v>
      </c>
      <c r="D37" s="417">
        <v>1175529</v>
      </c>
      <c r="E37" s="417">
        <v>1320481</v>
      </c>
      <c r="F37" s="285">
        <f t="shared" si="0"/>
        <v>37710567</v>
      </c>
      <c r="G37" s="417">
        <v>362628</v>
      </c>
      <c r="H37" s="285">
        <f t="shared" si="1"/>
        <v>38073195</v>
      </c>
      <c r="I37" s="291">
        <f>H37/'- 43 -'!$I37*100</f>
        <v>67.644624222738415</v>
      </c>
    </row>
    <row r="38" spans="1:9" ht="14.1" customHeight="1" x14ac:dyDescent="0.2">
      <c r="A38" s="19" t="s">
        <v>136</v>
      </c>
      <c r="B38" s="20">
        <f>'- 61 -'!$F38</f>
        <v>77561123</v>
      </c>
      <c r="C38" s="418">
        <v>12560042</v>
      </c>
      <c r="D38" s="418">
        <v>3031992</v>
      </c>
      <c r="E38" s="418">
        <v>3508056</v>
      </c>
      <c r="F38" s="20">
        <f t="shared" si="0"/>
        <v>96661213</v>
      </c>
      <c r="G38" s="418">
        <v>2746181</v>
      </c>
      <c r="H38" s="20">
        <f t="shared" si="1"/>
        <v>99407394</v>
      </c>
      <c r="I38" s="70">
        <f>H38/'- 43 -'!$I38*100</f>
        <v>65.182186133939709</v>
      </c>
    </row>
    <row r="39" spans="1:9" ht="14.1" customHeight="1" x14ac:dyDescent="0.2">
      <c r="A39" s="284" t="s">
        <v>137</v>
      </c>
      <c r="B39" s="285">
        <f>'- 61 -'!$F39</f>
        <v>8637472</v>
      </c>
      <c r="C39" s="417">
        <v>1677194</v>
      </c>
      <c r="D39" s="417">
        <v>720287</v>
      </c>
      <c r="E39" s="417">
        <v>672121</v>
      </c>
      <c r="F39" s="285">
        <f t="shared" si="0"/>
        <v>11707074</v>
      </c>
      <c r="G39" s="417">
        <v>0</v>
      </c>
      <c r="H39" s="285">
        <f t="shared" si="1"/>
        <v>11707074</v>
      </c>
      <c r="I39" s="291">
        <f>H39/'- 43 -'!$I39*100</f>
        <v>49.267633078265774</v>
      </c>
    </row>
    <row r="40" spans="1:9" ht="14.1" customHeight="1" x14ac:dyDescent="0.2">
      <c r="A40" s="19" t="s">
        <v>138</v>
      </c>
      <c r="B40" s="20">
        <f>'- 61 -'!$F40</f>
        <v>38198179</v>
      </c>
      <c r="C40" s="418">
        <v>12693628</v>
      </c>
      <c r="D40" s="418">
        <v>1999951</v>
      </c>
      <c r="E40" s="418">
        <v>3272269</v>
      </c>
      <c r="F40" s="20">
        <f t="shared" si="0"/>
        <v>56164027</v>
      </c>
      <c r="G40" s="418">
        <v>8134</v>
      </c>
      <c r="H40" s="20">
        <f t="shared" si="1"/>
        <v>56172161</v>
      </c>
      <c r="I40" s="70">
        <f>H40/'- 43 -'!$I40*100</f>
        <v>50.181926830561487</v>
      </c>
    </row>
    <row r="41" spans="1:9" ht="14.1" customHeight="1" x14ac:dyDescent="0.2">
      <c r="A41" s="284" t="s">
        <v>139</v>
      </c>
      <c r="B41" s="285">
        <f>'- 61 -'!$F41</f>
        <v>24899715</v>
      </c>
      <c r="C41" s="417">
        <v>7491546</v>
      </c>
      <c r="D41" s="417">
        <v>1806954</v>
      </c>
      <c r="E41" s="417">
        <v>1810389</v>
      </c>
      <c r="F41" s="285">
        <f t="shared" si="0"/>
        <v>36008604</v>
      </c>
      <c r="G41" s="417">
        <v>1117393</v>
      </c>
      <c r="H41" s="285">
        <f t="shared" si="1"/>
        <v>37125997</v>
      </c>
      <c r="I41" s="291">
        <f>H41/'- 43 -'!$I41*100</f>
        <v>54.894794087579136</v>
      </c>
    </row>
    <row r="42" spans="1:9" ht="14.1" customHeight="1" x14ac:dyDescent="0.2">
      <c r="A42" s="19" t="s">
        <v>140</v>
      </c>
      <c r="B42" s="20">
        <f>'- 61 -'!$F42</f>
        <v>11105832</v>
      </c>
      <c r="C42" s="418">
        <v>1633965</v>
      </c>
      <c r="D42" s="418">
        <v>1003498</v>
      </c>
      <c r="E42" s="418">
        <v>572324</v>
      </c>
      <c r="F42" s="20">
        <f t="shared" si="0"/>
        <v>14315619</v>
      </c>
      <c r="G42" s="418">
        <v>0</v>
      </c>
      <c r="H42" s="20">
        <f t="shared" si="1"/>
        <v>14315619</v>
      </c>
      <c r="I42" s="70">
        <f>H42/'- 43 -'!$I42*100</f>
        <v>66.768543175715081</v>
      </c>
    </row>
    <row r="43" spans="1:9" ht="14.1" customHeight="1" x14ac:dyDescent="0.2">
      <c r="A43" s="284" t="s">
        <v>141</v>
      </c>
      <c r="B43" s="285">
        <f>'- 61 -'!$F43</f>
        <v>5709614</v>
      </c>
      <c r="C43" s="417">
        <v>1303327</v>
      </c>
      <c r="D43" s="417">
        <v>0</v>
      </c>
      <c r="E43" s="417">
        <v>384273</v>
      </c>
      <c r="F43" s="285">
        <f t="shared" si="0"/>
        <v>7397214</v>
      </c>
      <c r="G43" s="417">
        <v>186147</v>
      </c>
      <c r="H43" s="285">
        <f t="shared" si="1"/>
        <v>7583361</v>
      </c>
      <c r="I43" s="291">
        <f>H43/'- 43 -'!$I43*100</f>
        <v>54.892643049404285</v>
      </c>
    </row>
    <row r="44" spans="1:9" ht="14.1" customHeight="1" x14ac:dyDescent="0.2">
      <c r="A44" s="19" t="s">
        <v>142</v>
      </c>
      <c r="B44" s="20">
        <f>'- 61 -'!$F44</f>
        <v>7111941</v>
      </c>
      <c r="C44" s="418">
        <v>717906</v>
      </c>
      <c r="D44" s="418">
        <v>310348</v>
      </c>
      <c r="E44" s="418">
        <v>377072</v>
      </c>
      <c r="F44" s="20">
        <f t="shared" si="0"/>
        <v>8517267</v>
      </c>
      <c r="G44" s="418">
        <v>5000</v>
      </c>
      <c r="H44" s="20">
        <f t="shared" si="1"/>
        <v>8522267</v>
      </c>
      <c r="I44" s="70">
        <f>H44/'- 43 -'!$I44*100</f>
        <v>74.855497929812302</v>
      </c>
    </row>
    <row r="45" spans="1:9" ht="14.1" customHeight="1" x14ac:dyDescent="0.2">
      <c r="A45" s="284" t="s">
        <v>143</v>
      </c>
      <c r="B45" s="285">
        <f>'- 61 -'!$F45</f>
        <v>11368446</v>
      </c>
      <c r="C45" s="417">
        <v>2104279</v>
      </c>
      <c r="D45" s="417">
        <v>0</v>
      </c>
      <c r="E45" s="417">
        <v>405893</v>
      </c>
      <c r="F45" s="285">
        <f t="shared" si="0"/>
        <v>13878618</v>
      </c>
      <c r="G45" s="417">
        <v>403963</v>
      </c>
      <c r="H45" s="285">
        <f t="shared" si="1"/>
        <v>14282581</v>
      </c>
      <c r="I45" s="291">
        <f>H45/'- 43 -'!$I45*100</f>
        <v>65.009202738395572</v>
      </c>
    </row>
    <row r="46" spans="1:9" ht="14.1" customHeight="1" x14ac:dyDescent="0.2">
      <c r="A46" s="19" t="s">
        <v>144</v>
      </c>
      <c r="B46" s="20">
        <f>'- 61 -'!$F46</f>
        <v>186509036</v>
      </c>
      <c r="C46" s="418">
        <v>30363089</v>
      </c>
      <c r="D46" s="418">
        <v>5364621</v>
      </c>
      <c r="E46" s="418">
        <v>19592899</v>
      </c>
      <c r="F46" s="20">
        <f t="shared" si="0"/>
        <v>241829645</v>
      </c>
      <c r="G46" s="418">
        <v>1950714</v>
      </c>
      <c r="H46" s="20">
        <f t="shared" si="1"/>
        <v>243780359</v>
      </c>
      <c r="I46" s="70">
        <f>H46/'- 43 -'!$I46*100</f>
        <v>58.387761973769784</v>
      </c>
    </row>
    <row r="47" spans="1:9" ht="5.0999999999999996" customHeight="1" x14ac:dyDescent="0.2">
      <c r="A47" s="21"/>
      <c r="B47" s="22"/>
      <c r="C47" s="22"/>
      <c r="D47" s="22"/>
      <c r="E47" s="22"/>
      <c r="F47" s="22"/>
      <c r="G47" s="22"/>
      <c r="H47" s="22"/>
      <c r="I47"/>
    </row>
    <row r="48" spans="1:9" ht="14.1" customHeight="1" x14ac:dyDescent="0.2">
      <c r="A48" s="286" t="s">
        <v>145</v>
      </c>
      <c r="B48" s="287">
        <f t="shared" ref="B48:H48" si="2">SUM(B11:B46)</f>
        <v>1095718139</v>
      </c>
      <c r="C48" s="421">
        <f>SUM(C11:C46)</f>
        <v>210610246</v>
      </c>
      <c r="D48" s="421">
        <f>SUM(D11:D46)</f>
        <v>40824432</v>
      </c>
      <c r="E48" s="421">
        <f>SUM(E11:E46)</f>
        <v>99670043</v>
      </c>
      <c r="F48" s="287">
        <f t="shared" si="2"/>
        <v>1446822860</v>
      </c>
      <c r="G48" s="421">
        <f>SUM(G11:G46)</f>
        <v>14130008</v>
      </c>
      <c r="H48" s="287">
        <f t="shared" si="2"/>
        <v>1460952868</v>
      </c>
      <c r="I48" s="294">
        <f>H48/'- 43 -'!$I48*100</f>
        <v>58.363582860543062</v>
      </c>
    </row>
    <row r="49" spans="1:9" ht="5.0999999999999996" customHeight="1" x14ac:dyDescent="0.2">
      <c r="A49" s="21" t="s">
        <v>7</v>
      </c>
      <c r="B49" s="22"/>
      <c r="C49" s="22"/>
      <c r="D49" s="22"/>
      <c r="E49" s="22"/>
      <c r="F49" s="22"/>
      <c r="G49" s="22"/>
      <c r="H49" s="22"/>
      <c r="I49"/>
    </row>
    <row r="50" spans="1:9" ht="14.1" customHeight="1" x14ac:dyDescent="0.2">
      <c r="A50" s="19" t="s">
        <v>146</v>
      </c>
      <c r="B50" s="20">
        <f>'- 61 -'!$F50</f>
        <v>919313</v>
      </c>
      <c r="C50" s="418">
        <v>406557</v>
      </c>
      <c r="D50" s="418">
        <v>22791</v>
      </c>
      <c r="E50" s="418">
        <v>72769</v>
      </c>
      <c r="F50" s="20">
        <f>SUM(B50:E50)</f>
        <v>1421430</v>
      </c>
      <c r="G50" s="418">
        <v>0</v>
      </c>
      <c r="H50" s="20">
        <f>SUM(F50:G50)</f>
        <v>1421430</v>
      </c>
      <c r="I50" s="70">
        <f>H50/'- 43 -'!$I50*100</f>
        <v>38.740900959044637</v>
      </c>
    </row>
    <row r="51" spans="1:9" ht="14.1" customHeight="1" x14ac:dyDescent="0.2">
      <c r="A51" s="284" t="s">
        <v>599</v>
      </c>
      <c r="B51" s="285">
        <f>'- 61 -'!$F51</f>
        <v>0</v>
      </c>
      <c r="C51" s="417">
        <v>0</v>
      </c>
      <c r="D51" s="417">
        <v>0</v>
      </c>
      <c r="E51" s="417">
        <v>7243940</v>
      </c>
      <c r="F51" s="285">
        <f>SUM(B51:E51)</f>
        <v>7243940</v>
      </c>
      <c r="G51" s="417">
        <v>2991392</v>
      </c>
      <c r="H51" s="285">
        <f>SUM(F51:G51)</f>
        <v>10235332</v>
      </c>
      <c r="I51" s="291">
        <f>H51/'- 43 -'!$I51*100</f>
        <v>30.325864622798331</v>
      </c>
    </row>
    <row r="52" spans="1:9" ht="50.1" customHeight="1" x14ac:dyDescent="0.2">
      <c r="A52" s="23"/>
      <c r="B52" s="23"/>
      <c r="C52" s="23"/>
      <c r="D52" s="23"/>
      <c r="E52" s="23"/>
      <c r="F52" s="23"/>
      <c r="G52" s="23"/>
      <c r="H52" s="23"/>
      <c r="I52" s="23"/>
    </row>
    <row r="53" spans="1:9" ht="15" customHeight="1" x14ac:dyDescent="0.2">
      <c r="A53" s="38" t="s">
        <v>349</v>
      </c>
      <c r="C53" s="38"/>
      <c r="D53" s="38"/>
      <c r="E53" s="221"/>
      <c r="F53" s="221"/>
      <c r="G53" s="221"/>
      <c r="H53" s="221"/>
    </row>
    <row r="54" spans="1:9" ht="12" customHeight="1" x14ac:dyDescent="0.2">
      <c r="A54" s="626" t="s">
        <v>601</v>
      </c>
      <c r="B54" s="626"/>
      <c r="C54" s="626"/>
      <c r="D54" s="626"/>
      <c r="E54" s="626"/>
      <c r="F54" s="626"/>
      <c r="G54" s="626"/>
      <c r="H54" s="626"/>
      <c r="I54" s="626"/>
    </row>
    <row r="55" spans="1:9" ht="12" customHeight="1" x14ac:dyDescent="0.2">
      <c r="A55" s="626"/>
      <c r="B55" s="626"/>
      <c r="C55" s="626"/>
      <c r="D55" s="626"/>
      <c r="E55" s="626"/>
      <c r="F55" s="626"/>
      <c r="G55" s="626"/>
      <c r="H55" s="626"/>
      <c r="I55" s="626"/>
    </row>
    <row r="56" spans="1:9" ht="12" customHeight="1" x14ac:dyDescent="0.2">
      <c r="A56" s="626"/>
      <c r="B56" s="626"/>
      <c r="C56" s="626"/>
      <c r="D56" s="626"/>
      <c r="E56" s="626"/>
      <c r="F56" s="626"/>
      <c r="G56" s="626"/>
      <c r="H56" s="626"/>
      <c r="I56" s="626"/>
    </row>
    <row r="57" spans="1:9" ht="12" customHeight="1" x14ac:dyDescent="0.2">
      <c r="A57" s="626"/>
      <c r="B57" s="626"/>
      <c r="C57" s="626"/>
      <c r="D57" s="626"/>
      <c r="E57" s="626"/>
      <c r="F57" s="626"/>
      <c r="G57" s="626"/>
      <c r="H57" s="626"/>
      <c r="I57" s="626"/>
    </row>
    <row r="58" spans="1:9" ht="12" customHeight="1" x14ac:dyDescent="0.2">
      <c r="A58" s="723" t="s">
        <v>622</v>
      </c>
      <c r="B58" s="723"/>
      <c r="C58" s="723"/>
      <c r="D58" s="723"/>
      <c r="E58" s="723"/>
      <c r="F58" s="723"/>
      <c r="G58" s="723"/>
      <c r="H58" s="723"/>
      <c r="I58" s="723"/>
    </row>
    <row r="59" spans="1:9" ht="12" customHeight="1" x14ac:dyDescent="0.2">
      <c r="A59" s="723"/>
      <c r="B59" s="723"/>
      <c r="C59" s="723"/>
      <c r="D59" s="723"/>
      <c r="E59" s="723"/>
      <c r="F59" s="723"/>
      <c r="G59" s="723"/>
      <c r="H59" s="723"/>
      <c r="I59" s="723"/>
    </row>
    <row r="60" spans="1:9" ht="12" customHeight="1" x14ac:dyDescent="0.2">
      <c r="A60" s="133" t="s">
        <v>388</v>
      </c>
    </row>
    <row r="61" spans="1:9" x14ac:dyDescent="0.2">
      <c r="A61" s="2" t="s">
        <v>350</v>
      </c>
    </row>
    <row r="62" spans="1:9" ht="12" customHeight="1" x14ac:dyDescent="0.2">
      <c r="A62" s="2" t="s">
        <v>659</v>
      </c>
    </row>
  </sheetData>
  <mergeCells count="11">
    <mergeCell ref="B7:B9"/>
    <mergeCell ref="A58:I59"/>
    <mergeCell ref="A54:I57"/>
    <mergeCell ref="B5:F5"/>
    <mergeCell ref="B3:I3"/>
    <mergeCell ref="H7:H9"/>
    <mergeCell ref="I6:I9"/>
    <mergeCell ref="G7:G9"/>
    <mergeCell ref="E8:E9"/>
    <mergeCell ref="D7:D9"/>
    <mergeCell ref="C7:C9"/>
  </mergeCells>
  <phoneticPr fontId="6" type="noConversion"/>
  <pageMargins left="0.5" right="0.5" top="0.6" bottom="0.2" header="0.3" footer="0.5"/>
  <pageSetup scale="81" orientation="portrait" r:id="rId1"/>
  <headerFooter alignWithMargins="0">
    <oddHeader>&amp;C&amp;"Arial,Regular"&amp;12&amp;A</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I54"/>
  <sheetViews>
    <sheetView showGridLines="0" showZeros="0" workbookViewId="0"/>
  </sheetViews>
  <sheetFormatPr defaultColWidth="15.83203125" defaultRowHeight="12" x14ac:dyDescent="0.2"/>
  <cols>
    <col min="1" max="1" width="34.83203125" style="2" customWidth="1"/>
    <col min="2" max="2" width="15.83203125" style="2" customWidth="1"/>
    <col min="3" max="3" width="8.83203125" style="2" customWidth="1"/>
    <col min="4" max="4" width="15.83203125" style="2"/>
    <col min="5" max="5" width="8.83203125" style="2" customWidth="1"/>
    <col min="6" max="6" width="15.83203125" style="2"/>
    <col min="7" max="7" width="8.83203125" style="2" customWidth="1"/>
    <col min="8" max="8" width="14.83203125" style="2" customWidth="1"/>
    <col min="9" max="9" width="8.83203125" style="2" customWidth="1"/>
    <col min="10" max="16384" width="15.83203125" style="2"/>
  </cols>
  <sheetData>
    <row r="1" spans="1:9" ht="6.95" customHeight="1" x14ac:dyDescent="0.2">
      <c r="A1" s="7"/>
    </row>
    <row r="2" spans="1:9" ht="15.95" customHeight="1" x14ac:dyDescent="0.2">
      <c r="A2" s="213"/>
      <c r="B2" s="204" t="str">
        <f>REVYEAR</f>
        <v>ANALYSIS OF OPERATING FUND REVENUE: 2019/2020 ACTUAL</v>
      </c>
      <c r="C2" s="41"/>
      <c r="D2" s="41"/>
      <c r="E2" s="41"/>
      <c r="F2" s="41"/>
      <c r="G2" s="217"/>
      <c r="H2" s="218"/>
      <c r="I2" s="215" t="s">
        <v>8</v>
      </c>
    </row>
    <row r="3" spans="1:9" ht="15.95" customHeight="1" x14ac:dyDescent="0.2">
      <c r="A3" s="537"/>
    </row>
    <row r="4" spans="1:9" ht="15.95" customHeight="1" x14ac:dyDescent="0.2">
      <c r="B4" s="8"/>
      <c r="C4" s="8"/>
      <c r="D4" s="8"/>
      <c r="E4" s="8"/>
      <c r="F4" s="8"/>
      <c r="G4" s="8"/>
      <c r="H4" s="8"/>
      <c r="I4" s="43"/>
    </row>
    <row r="5" spans="1:9" ht="15.95" customHeight="1" x14ac:dyDescent="0.2">
      <c r="B5" s="8"/>
      <c r="C5" s="8"/>
      <c r="D5" s="8"/>
      <c r="E5" s="8"/>
      <c r="F5" s="8"/>
      <c r="G5" s="8"/>
      <c r="H5" s="8"/>
      <c r="I5" s="8"/>
    </row>
    <row r="6" spans="1:9" ht="15.95" customHeight="1" x14ac:dyDescent="0.2">
      <c r="B6" s="8"/>
      <c r="C6" s="8"/>
      <c r="D6" s="8"/>
      <c r="E6" s="8"/>
      <c r="F6" s="8"/>
      <c r="G6" s="8"/>
      <c r="H6" s="8"/>
      <c r="I6" s="8"/>
    </row>
    <row r="7" spans="1:9" ht="15.95" customHeight="1" x14ac:dyDescent="0.2">
      <c r="B7" s="676" t="s">
        <v>522</v>
      </c>
      <c r="C7" s="677"/>
      <c r="D7" s="696" t="s">
        <v>523</v>
      </c>
      <c r="E7" s="650"/>
      <c r="F7" s="653" t="s">
        <v>514</v>
      </c>
      <c r="G7" s="650"/>
      <c r="H7" s="311"/>
      <c r="I7" s="310"/>
    </row>
    <row r="8" spans="1:9" ht="15.95" customHeight="1" x14ac:dyDescent="0.2">
      <c r="A8" s="403"/>
      <c r="B8" s="678"/>
      <c r="C8" s="679"/>
      <c r="D8" s="683"/>
      <c r="E8" s="652"/>
      <c r="F8" s="651"/>
      <c r="G8" s="652"/>
      <c r="H8" s="654" t="s">
        <v>61</v>
      </c>
      <c r="I8" s="655"/>
    </row>
    <row r="9" spans="1:9" ht="15.95" customHeight="1" x14ac:dyDescent="0.2">
      <c r="A9" s="35" t="s">
        <v>42</v>
      </c>
      <c r="B9" s="563" t="s">
        <v>62</v>
      </c>
      <c r="C9" s="115" t="s">
        <v>44</v>
      </c>
      <c r="D9" s="206" t="s">
        <v>62</v>
      </c>
      <c r="E9" s="206" t="s">
        <v>44</v>
      </c>
      <c r="F9" s="206" t="s">
        <v>62</v>
      </c>
      <c r="G9" s="206" t="s">
        <v>44</v>
      </c>
      <c r="H9" s="216" t="s">
        <v>62</v>
      </c>
      <c r="I9" s="216" t="s">
        <v>44</v>
      </c>
    </row>
    <row r="10" spans="1:9" ht="5.0999999999999996" customHeight="1" x14ac:dyDescent="0.2">
      <c r="A10" s="6"/>
      <c r="B10" s="207"/>
      <c r="C10" s="207"/>
      <c r="D10" s="207"/>
      <c r="E10" s="207"/>
      <c r="F10" s="207"/>
      <c r="G10" s="207"/>
      <c r="H10" s="207"/>
      <c r="I10" s="207"/>
    </row>
    <row r="11" spans="1:9" ht="14.1" customHeight="1" x14ac:dyDescent="0.2">
      <c r="A11" s="284" t="s">
        <v>110</v>
      </c>
      <c r="B11" s="417">
        <v>25000</v>
      </c>
      <c r="C11" s="291">
        <f>B11/'- 43 -'!$I11*100</f>
        <v>0.11599069531921405</v>
      </c>
      <c r="D11" s="417">
        <v>7606387</v>
      </c>
      <c r="E11" s="291">
        <f>D11/'- 43 -'!$I11*100</f>
        <v>35.290804679881219</v>
      </c>
      <c r="F11" s="417">
        <v>29250</v>
      </c>
      <c r="G11" s="291">
        <f>F11/'- 43 -'!$I11*100</f>
        <v>0.13570911352348045</v>
      </c>
      <c r="H11" s="417">
        <v>0</v>
      </c>
      <c r="I11" s="291">
        <f>H11/'- 43 -'!$I11*100</f>
        <v>0</v>
      </c>
    </row>
    <row r="12" spans="1:9" ht="14.1" customHeight="1" x14ac:dyDescent="0.2">
      <c r="A12" s="19" t="s">
        <v>111</v>
      </c>
      <c r="B12" s="418">
        <v>25400</v>
      </c>
      <c r="C12" s="70">
        <f>B12/'- 43 -'!$I12*100</f>
        <v>7.1547899079040508E-2</v>
      </c>
      <c r="D12" s="418">
        <v>12555578</v>
      </c>
      <c r="E12" s="70">
        <f>D12/'- 43 -'!$I12*100</f>
        <v>35.367134945788244</v>
      </c>
      <c r="F12" s="418">
        <v>431358</v>
      </c>
      <c r="G12" s="70">
        <f>F12/'- 43 -'!$I12*100</f>
        <v>1.2150692382258566</v>
      </c>
      <c r="H12" s="418">
        <v>1063399</v>
      </c>
      <c r="I12" s="70">
        <f>H12/'- 43 -'!$I12*100</f>
        <v>2.9954316666438032</v>
      </c>
    </row>
    <row r="13" spans="1:9" ht="14.1" customHeight="1" x14ac:dyDescent="0.2">
      <c r="A13" s="284" t="s">
        <v>112</v>
      </c>
      <c r="B13" s="417">
        <v>44164</v>
      </c>
      <c r="C13" s="291">
        <f>B13/'- 43 -'!$I13*100</f>
        <v>4.1891078472270193E-2</v>
      </c>
      <c r="D13" s="417">
        <v>40246994</v>
      </c>
      <c r="E13" s="291">
        <f>D13/'- 43 -'!$I13*100</f>
        <v>38.17566307234371</v>
      </c>
      <c r="F13" s="417">
        <v>400649</v>
      </c>
      <c r="G13" s="291">
        <f>F13/'- 43 -'!$I13*100</f>
        <v>0.3800294062774337</v>
      </c>
      <c r="H13" s="417">
        <v>406683</v>
      </c>
      <c r="I13" s="291">
        <f>H13/'- 43 -'!$I13*100</f>
        <v>0.38575286356168509</v>
      </c>
    </row>
    <row r="14" spans="1:9" ht="14.1" customHeight="1" x14ac:dyDescent="0.2">
      <c r="A14" s="19" t="s">
        <v>358</v>
      </c>
      <c r="B14" s="418">
        <v>214437</v>
      </c>
      <c r="C14" s="70">
        <f>B14/'- 43 -'!$I14*100</f>
        <v>0.22096906202308314</v>
      </c>
      <c r="D14" s="418">
        <v>26521576</v>
      </c>
      <c r="E14" s="70">
        <f>D14/'- 43 -'!$I14*100</f>
        <v>27.329461669832689</v>
      </c>
      <c r="F14" s="418">
        <v>2147396</v>
      </c>
      <c r="G14" s="70">
        <f>F14/'- 43 -'!$I14*100</f>
        <v>2.2128087965795107</v>
      </c>
      <c r="H14" s="418">
        <v>0</v>
      </c>
      <c r="I14" s="70">
        <f>H14/'- 43 -'!$I14*100</f>
        <v>0</v>
      </c>
    </row>
    <row r="15" spans="1:9" ht="14.1" customHeight="1" x14ac:dyDescent="0.2">
      <c r="A15" s="284" t="s">
        <v>113</v>
      </c>
      <c r="B15" s="417">
        <v>53203</v>
      </c>
      <c r="C15" s="291">
        <f>B15/'- 43 -'!$I15*100</f>
        <v>0.24569734094268661</v>
      </c>
      <c r="D15" s="417">
        <v>8482042</v>
      </c>
      <c r="E15" s="291">
        <f>D15/'- 43 -'!$I15*100</f>
        <v>39.171008498847577</v>
      </c>
      <c r="F15" s="417">
        <v>28600</v>
      </c>
      <c r="G15" s="291">
        <f>F15/'- 43 -'!$I15*100</f>
        <v>0.13207796460652288</v>
      </c>
      <c r="H15" s="417">
        <v>160000</v>
      </c>
      <c r="I15" s="291">
        <f>H15/'- 43 -'!$I15*100</f>
        <v>0.73889770409243571</v>
      </c>
    </row>
    <row r="16" spans="1:9" ht="14.1" customHeight="1" x14ac:dyDescent="0.2">
      <c r="A16" s="19" t="s">
        <v>114</v>
      </c>
      <c r="B16" s="418">
        <v>50610</v>
      </c>
      <c r="C16" s="70">
        <f>B16/'- 43 -'!$I16*100</f>
        <v>0.33729460667856648</v>
      </c>
      <c r="D16" s="418">
        <v>3629912</v>
      </c>
      <c r="E16" s="70">
        <f>D16/'- 43 -'!$I16*100</f>
        <v>24.191854185295568</v>
      </c>
      <c r="F16" s="418">
        <v>264164</v>
      </c>
      <c r="G16" s="70">
        <f>F16/'- 43 -'!$I16*100</f>
        <v>1.7605432222611506</v>
      </c>
      <c r="H16" s="418">
        <v>11796</v>
      </c>
      <c r="I16" s="70">
        <f>H16/'- 43 -'!$I16*100</f>
        <v>7.8615435296984199E-2</v>
      </c>
    </row>
    <row r="17" spans="1:9" ht="14.1" customHeight="1" x14ac:dyDescent="0.2">
      <c r="A17" s="284" t="s">
        <v>115</v>
      </c>
      <c r="B17" s="417">
        <v>0</v>
      </c>
      <c r="C17" s="291">
        <f>B17/'- 43 -'!$I17*100</f>
        <v>0</v>
      </c>
      <c r="D17" s="417">
        <v>8196484</v>
      </c>
      <c r="E17" s="291">
        <f>D17/'- 43 -'!$I17*100</f>
        <v>43.202963771794508</v>
      </c>
      <c r="F17" s="417">
        <v>36850</v>
      </c>
      <c r="G17" s="291">
        <f>F17/'- 43 -'!$I17*100</f>
        <v>0.19423318766810591</v>
      </c>
      <c r="H17" s="417">
        <v>935324</v>
      </c>
      <c r="I17" s="291">
        <f>H17/'- 43 -'!$I17*100</f>
        <v>4.9300125379235684</v>
      </c>
    </row>
    <row r="18" spans="1:9" ht="14.1" customHeight="1" x14ac:dyDescent="0.2">
      <c r="A18" s="19" t="s">
        <v>116</v>
      </c>
      <c r="B18" s="418">
        <v>898951</v>
      </c>
      <c r="C18" s="70">
        <f>B18/'- 43 -'!$I18*100</f>
        <v>0.64548356559885389</v>
      </c>
      <c r="D18" s="418">
        <v>3230738</v>
      </c>
      <c r="E18" s="70">
        <f>D18/'- 43 -'!$I18*100</f>
        <v>2.3198019511138099</v>
      </c>
      <c r="F18" s="418">
        <v>16250</v>
      </c>
      <c r="G18" s="70">
        <f>F18/'- 43 -'!$I18*100</f>
        <v>1.1668164272559213E-2</v>
      </c>
      <c r="H18" s="418">
        <v>79815863</v>
      </c>
      <c r="I18" s="70">
        <f>H18/'- 43 -'!$I18*100</f>
        <v>57.311052371697279</v>
      </c>
    </row>
    <row r="19" spans="1:9" ht="14.1" customHeight="1" x14ac:dyDescent="0.2">
      <c r="A19" s="284" t="s">
        <v>117</v>
      </c>
      <c r="B19" s="417">
        <v>0</v>
      </c>
      <c r="C19" s="291">
        <f>B19/'- 43 -'!$I19*100</f>
        <v>0</v>
      </c>
      <c r="D19" s="417">
        <v>16434259</v>
      </c>
      <c r="E19" s="291">
        <f>D19/'- 43 -'!$I19*100</f>
        <v>31.558278247876824</v>
      </c>
      <c r="F19" s="417">
        <v>355961</v>
      </c>
      <c r="G19" s="291">
        <f>F19/'- 43 -'!$I19*100</f>
        <v>0.68354260958114899</v>
      </c>
      <c r="H19" s="417">
        <v>0</v>
      </c>
      <c r="I19" s="291">
        <f>H19/'- 43 -'!$I19*100</f>
        <v>0</v>
      </c>
    </row>
    <row r="20" spans="1:9" ht="14.1" customHeight="1" x14ac:dyDescent="0.2">
      <c r="A20" s="19" t="s">
        <v>118</v>
      </c>
      <c r="B20" s="418">
        <v>0</v>
      </c>
      <c r="C20" s="70">
        <f>B20/'- 43 -'!$I20*100</f>
        <v>0</v>
      </c>
      <c r="D20" s="418">
        <v>27736314</v>
      </c>
      <c r="E20" s="70">
        <f>D20/'- 43 -'!$I20*100</f>
        <v>30.025401357865434</v>
      </c>
      <c r="F20" s="418">
        <v>106185</v>
      </c>
      <c r="G20" s="70">
        <f>F20/'- 43 -'!$I20*100</f>
        <v>0.11494848389677667</v>
      </c>
      <c r="H20" s="418">
        <v>0</v>
      </c>
      <c r="I20" s="70">
        <f>H20/'- 43 -'!$I20*100</f>
        <v>0</v>
      </c>
    </row>
    <row r="21" spans="1:9" ht="14.1" customHeight="1" x14ac:dyDescent="0.2">
      <c r="A21" s="284" t="s">
        <v>119</v>
      </c>
      <c r="B21" s="417">
        <v>7931</v>
      </c>
      <c r="C21" s="291">
        <f>B21/'- 43 -'!$I21*100</f>
        <v>2.0526410419455424E-2</v>
      </c>
      <c r="D21" s="417">
        <v>16163761</v>
      </c>
      <c r="E21" s="291">
        <f>D21/'- 43 -'!$I21*100</f>
        <v>41.833815686292674</v>
      </c>
      <c r="F21" s="417">
        <v>24700</v>
      </c>
      <c r="G21" s="291">
        <f>F21/'- 43 -'!$I21*100</f>
        <v>6.3926659609197953E-2</v>
      </c>
      <c r="H21" s="417">
        <v>0</v>
      </c>
      <c r="I21" s="291">
        <f>H21/'- 43 -'!$I21*100</f>
        <v>0</v>
      </c>
    </row>
    <row r="22" spans="1:9" ht="14.1" customHeight="1" x14ac:dyDescent="0.2">
      <c r="A22" s="19" t="s">
        <v>120</v>
      </c>
      <c r="B22" s="418">
        <v>0</v>
      </c>
      <c r="C22" s="70">
        <f>B22/'- 43 -'!$I22*100</f>
        <v>0</v>
      </c>
      <c r="D22" s="418">
        <v>3086724</v>
      </c>
      <c r="E22" s="70">
        <f>D22/'- 43 -'!$I22*100</f>
        <v>15.260574244412906</v>
      </c>
      <c r="F22" s="418">
        <v>3452</v>
      </c>
      <c r="G22" s="70">
        <f>F22/'- 43 -'!$I22*100</f>
        <v>1.706647639753776E-2</v>
      </c>
      <c r="H22" s="418">
        <v>52800</v>
      </c>
      <c r="I22" s="70">
        <f>H22/'- 43 -'!$I22*100</f>
        <v>0.26103996343858454</v>
      </c>
    </row>
    <row r="23" spans="1:9" ht="14.1" customHeight="1" x14ac:dyDescent="0.2">
      <c r="A23" s="284" t="s">
        <v>121</v>
      </c>
      <c r="B23" s="417">
        <v>343448</v>
      </c>
      <c r="C23" s="291">
        <f>B23/'- 43 -'!$I23*100</f>
        <v>2.1057908389686331</v>
      </c>
      <c r="D23" s="417">
        <v>3856280</v>
      </c>
      <c r="E23" s="291">
        <f>D23/'- 43 -'!$I23*100</f>
        <v>23.644100697916308</v>
      </c>
      <c r="F23" s="417">
        <v>45250</v>
      </c>
      <c r="G23" s="291">
        <f>F23/'- 43 -'!$I23*100</f>
        <v>0.27744239437507467</v>
      </c>
      <c r="H23" s="417">
        <v>305738</v>
      </c>
      <c r="I23" s="291">
        <f>H23/'- 43 -'!$I23*100</f>
        <v>1.8745786247833498</v>
      </c>
    </row>
    <row r="24" spans="1:9" ht="14.1" customHeight="1" x14ac:dyDescent="0.2">
      <c r="A24" s="19" t="s">
        <v>122</v>
      </c>
      <c r="B24" s="418">
        <v>0</v>
      </c>
      <c r="C24" s="70">
        <f>B24/'- 43 -'!$I24*100</f>
        <v>0</v>
      </c>
      <c r="D24" s="418">
        <v>25134742</v>
      </c>
      <c r="E24" s="70">
        <f>D24/'- 43 -'!$I24*100</f>
        <v>42.117317513391512</v>
      </c>
      <c r="F24" s="418">
        <v>142250</v>
      </c>
      <c r="G24" s="70">
        <f>F24/'- 43 -'!$I24*100</f>
        <v>0.23836283723461105</v>
      </c>
      <c r="H24" s="418">
        <v>492800</v>
      </c>
      <c r="I24" s="70">
        <f>H24/'- 43 -'!$I24*100</f>
        <v>0.82576594860609021</v>
      </c>
    </row>
    <row r="25" spans="1:9" ht="14.1" customHeight="1" x14ac:dyDescent="0.2">
      <c r="A25" s="284" t="s">
        <v>123</v>
      </c>
      <c r="B25" s="417">
        <v>213050</v>
      </c>
      <c r="C25" s="291">
        <f>B25/'- 43 -'!$I25*100</f>
        <v>0.10609966025499355</v>
      </c>
      <c r="D25" s="417">
        <v>78159207</v>
      </c>
      <c r="E25" s="291">
        <f>D25/'- 43 -'!$I25*100</f>
        <v>38.923563992019311</v>
      </c>
      <c r="F25" s="417">
        <v>504793</v>
      </c>
      <c r="G25" s="291">
        <f>F25/'- 43 -'!$I25*100</f>
        <v>0.25138871532081186</v>
      </c>
      <c r="H25" s="417">
        <v>28600</v>
      </c>
      <c r="I25" s="291">
        <f>H25/'- 43 -'!$I25*100</f>
        <v>1.4242902057229834E-2</v>
      </c>
    </row>
    <row r="26" spans="1:9" ht="14.1" customHeight="1" x14ac:dyDescent="0.2">
      <c r="A26" s="19" t="s">
        <v>124</v>
      </c>
      <c r="B26" s="418">
        <v>0</v>
      </c>
      <c r="C26" s="70">
        <f>B26/'- 43 -'!$I26*100</f>
        <v>0</v>
      </c>
      <c r="D26" s="418">
        <v>13669722</v>
      </c>
      <c r="E26" s="70">
        <f>D26/'- 43 -'!$I26*100</f>
        <v>32.068836747439704</v>
      </c>
      <c r="F26" s="418">
        <v>435448</v>
      </c>
      <c r="G26" s="70">
        <f>F26/'- 43 -'!$I26*100</f>
        <v>1.0215504619625129</v>
      </c>
      <c r="H26" s="418">
        <v>863751</v>
      </c>
      <c r="I26" s="70">
        <f>H26/'- 43 -'!$I26*100</f>
        <v>2.0263389269685073</v>
      </c>
    </row>
    <row r="27" spans="1:9" ht="14.1" customHeight="1" x14ac:dyDescent="0.2">
      <c r="A27" s="284" t="s">
        <v>125</v>
      </c>
      <c r="B27" s="417">
        <v>39457</v>
      </c>
      <c r="C27" s="291">
        <f>B27/'- 43 -'!$I27*100</f>
        <v>9.3350325362211897E-2</v>
      </c>
      <c r="D27" s="417">
        <v>6962235</v>
      </c>
      <c r="E27" s="291">
        <f>D27/'- 43 -'!$I27*100</f>
        <v>16.471776934338124</v>
      </c>
      <c r="F27" s="417">
        <v>132700</v>
      </c>
      <c r="G27" s="291">
        <f>F27/'- 43 -'!$I27*100</f>
        <v>0.31395159732279493</v>
      </c>
      <c r="H27" s="417">
        <v>393536</v>
      </c>
      <c r="I27" s="291">
        <f>H27/'- 43 -'!$I27*100</f>
        <v>0.93105693899038</v>
      </c>
    </row>
    <row r="28" spans="1:9" ht="14.1" customHeight="1" x14ac:dyDescent="0.2">
      <c r="A28" s="19" t="s">
        <v>126</v>
      </c>
      <c r="B28" s="418">
        <v>25000</v>
      </c>
      <c r="C28" s="70">
        <f>B28/'- 43 -'!$I28*100</f>
        <v>8.481514725249642E-2</v>
      </c>
      <c r="D28" s="418">
        <v>8254956</v>
      </c>
      <c r="E28" s="70">
        <f>D28/'- 43 -'!$I28*100</f>
        <v>28.005812348115157</v>
      </c>
      <c r="F28" s="418">
        <v>18350</v>
      </c>
      <c r="G28" s="70">
        <f>F28/'- 43 -'!$I28*100</f>
        <v>6.2254318083332372E-2</v>
      </c>
      <c r="H28" s="418">
        <v>7784933</v>
      </c>
      <c r="I28" s="70">
        <f>H28/'- 43 -'!$I28*100</f>
        <v>26.411209549832748</v>
      </c>
    </row>
    <row r="29" spans="1:9" ht="14.1" customHeight="1" x14ac:dyDescent="0.2">
      <c r="A29" s="284" t="s">
        <v>127</v>
      </c>
      <c r="B29" s="417">
        <v>0</v>
      </c>
      <c r="C29" s="291">
        <f>B29/'- 43 -'!$I29*100</f>
        <v>0</v>
      </c>
      <c r="D29" s="417">
        <v>86491102</v>
      </c>
      <c r="E29" s="291">
        <f>D29/'- 43 -'!$I29*100</f>
        <v>48.138009988557116</v>
      </c>
      <c r="F29" s="417">
        <v>523308</v>
      </c>
      <c r="G29" s="291">
        <f>F29/'- 43 -'!$I29*100</f>
        <v>0.29125546037200273</v>
      </c>
      <c r="H29" s="417">
        <v>48400</v>
      </c>
      <c r="I29" s="291">
        <f>H29/'- 43 -'!$I29*100</f>
        <v>2.693779625384082E-2</v>
      </c>
    </row>
    <row r="30" spans="1:9" ht="14.1" customHeight="1" x14ac:dyDescent="0.2">
      <c r="A30" s="19" t="s">
        <v>128</v>
      </c>
      <c r="B30" s="418">
        <v>49419</v>
      </c>
      <c r="C30" s="70">
        <f>B30/'- 43 -'!$I30*100</f>
        <v>0.31610561262564923</v>
      </c>
      <c r="D30" s="418">
        <v>6632130</v>
      </c>
      <c r="E30" s="70">
        <f>D30/'- 43 -'!$I30*100</f>
        <v>42.422014137537126</v>
      </c>
      <c r="F30" s="418">
        <v>44850</v>
      </c>
      <c r="G30" s="70">
        <f>F30/'- 43 -'!$I30*100</f>
        <v>0.28688028341853067</v>
      </c>
      <c r="H30" s="418">
        <v>0</v>
      </c>
      <c r="I30" s="70">
        <f>H30/'- 43 -'!$I30*100</f>
        <v>0</v>
      </c>
    </row>
    <row r="31" spans="1:9" ht="14.1" customHeight="1" x14ac:dyDescent="0.2">
      <c r="A31" s="284" t="s">
        <v>129</v>
      </c>
      <c r="B31" s="417">
        <v>10710</v>
      </c>
      <c r="C31" s="291">
        <f>B31/'- 43 -'!$I31*100</f>
        <v>2.5418767067331465E-2</v>
      </c>
      <c r="D31" s="417">
        <v>15364402</v>
      </c>
      <c r="E31" s="291">
        <f>D31/'- 43 -'!$I31*100</f>
        <v>36.465374002506231</v>
      </c>
      <c r="F31" s="417">
        <v>190482</v>
      </c>
      <c r="G31" s="291">
        <f>F31/'- 43 -'!$I31*100</f>
        <v>0.45208380845186108</v>
      </c>
      <c r="H31" s="417">
        <v>2775165</v>
      </c>
      <c r="I31" s="291">
        <f>H31/'- 43 -'!$I31*100</f>
        <v>6.586486714137342</v>
      </c>
    </row>
    <row r="32" spans="1:9" ht="14.1" customHeight="1" x14ac:dyDescent="0.2">
      <c r="A32" s="19" t="s">
        <v>130</v>
      </c>
      <c r="B32" s="418">
        <v>0</v>
      </c>
      <c r="C32" s="70">
        <f>B32/'- 43 -'!$I32*100</f>
        <v>0</v>
      </c>
      <c r="D32" s="418">
        <v>14478314</v>
      </c>
      <c r="E32" s="70">
        <f>D32/'- 43 -'!$I32*100</f>
        <v>46.012198911144516</v>
      </c>
      <c r="F32" s="418">
        <v>118450</v>
      </c>
      <c r="G32" s="70">
        <f>F32/'- 43 -'!$I32*100</f>
        <v>0.37643505735716659</v>
      </c>
      <c r="H32" s="418">
        <v>0</v>
      </c>
      <c r="I32" s="70">
        <f>H32/'- 43 -'!$I32*100</f>
        <v>0</v>
      </c>
    </row>
    <row r="33" spans="1:9" ht="14.1" customHeight="1" x14ac:dyDescent="0.2">
      <c r="A33" s="284" t="s">
        <v>131</v>
      </c>
      <c r="B33" s="417">
        <v>33000</v>
      </c>
      <c r="C33" s="291">
        <f>B33/'- 43 -'!$I33*100</f>
        <v>0.11323812729118476</v>
      </c>
      <c r="D33" s="417">
        <v>11753623</v>
      </c>
      <c r="E33" s="291">
        <f>D33/'- 43 -'!$I33*100</f>
        <v>40.332068406260518</v>
      </c>
      <c r="F33" s="417">
        <v>53300</v>
      </c>
      <c r="G33" s="291">
        <f>F33/'- 43 -'!$I33*100</f>
        <v>0.18289673286727723</v>
      </c>
      <c r="H33" s="417">
        <v>250461</v>
      </c>
      <c r="I33" s="291">
        <f>H33/'- 43 -'!$I33*100</f>
        <v>0.85944650301446757</v>
      </c>
    </row>
    <row r="34" spans="1:9" ht="14.1" customHeight="1" x14ac:dyDescent="0.2">
      <c r="A34" s="19" t="s">
        <v>132</v>
      </c>
      <c r="B34" s="418">
        <v>25674</v>
      </c>
      <c r="C34" s="70">
        <f>B34/'- 43 -'!$I34*100</f>
        <v>7.8936515997250226E-2</v>
      </c>
      <c r="D34" s="418">
        <v>15115813</v>
      </c>
      <c r="E34" s="70">
        <f>D34/'- 43 -'!$I34*100</f>
        <v>46.474628600371695</v>
      </c>
      <c r="F34" s="418">
        <v>1462990</v>
      </c>
      <c r="G34" s="70">
        <f>F34/'- 43 -'!$I34*100</f>
        <v>4.4980654957862862</v>
      </c>
      <c r="H34" s="418">
        <v>0</v>
      </c>
      <c r="I34" s="70">
        <f>H34/'- 43 -'!$I34*100</f>
        <v>0</v>
      </c>
    </row>
    <row r="35" spans="1:9" ht="14.1" customHeight="1" x14ac:dyDescent="0.2">
      <c r="A35" s="284" t="s">
        <v>133</v>
      </c>
      <c r="B35" s="417">
        <v>474765</v>
      </c>
      <c r="C35" s="291">
        <f>B35/'- 43 -'!$I35*100</f>
        <v>0.23662658454434385</v>
      </c>
      <c r="D35" s="417">
        <v>68348034</v>
      </c>
      <c r="E35" s="291">
        <f>D35/'- 43 -'!$I35*100</f>
        <v>34.065194034397415</v>
      </c>
      <c r="F35" s="417">
        <v>576940</v>
      </c>
      <c r="G35" s="291">
        <f>F35/'- 43 -'!$I35*100</f>
        <v>0.28755140266661139</v>
      </c>
      <c r="H35" s="417">
        <v>155250</v>
      </c>
      <c r="I35" s="291">
        <f>H35/'- 43 -'!$I35*100</f>
        <v>7.7377812708412347E-2</v>
      </c>
    </row>
    <row r="36" spans="1:9" ht="14.1" customHeight="1" x14ac:dyDescent="0.2">
      <c r="A36" s="19" t="s">
        <v>134</v>
      </c>
      <c r="B36" s="418">
        <v>0</v>
      </c>
      <c r="C36" s="70">
        <f>B36/'- 43 -'!$I36*100</f>
        <v>0</v>
      </c>
      <c r="D36" s="418">
        <v>10004348</v>
      </c>
      <c r="E36" s="70">
        <f>D36/'- 43 -'!$I36*100</f>
        <v>40.292604997470519</v>
      </c>
      <c r="F36" s="418">
        <v>58500</v>
      </c>
      <c r="G36" s="70">
        <f>F36/'- 43 -'!$I36*100</f>
        <v>0.23560929631316557</v>
      </c>
      <c r="H36" s="418">
        <v>1243318</v>
      </c>
      <c r="I36" s="70">
        <f>H36/'- 43 -'!$I36*100</f>
        <v>5.0074748559571356</v>
      </c>
    </row>
    <row r="37" spans="1:9" ht="14.1" customHeight="1" x14ac:dyDescent="0.2">
      <c r="A37" s="284" t="s">
        <v>135</v>
      </c>
      <c r="B37" s="417">
        <v>51734</v>
      </c>
      <c r="C37" s="291">
        <f>B37/'- 43 -'!$I37*100</f>
        <v>9.1915768811604834E-2</v>
      </c>
      <c r="D37" s="417">
        <v>17577290</v>
      </c>
      <c r="E37" s="291">
        <f>D37/'- 43 -'!$I37*100</f>
        <v>31.229561293820957</v>
      </c>
      <c r="F37" s="417">
        <v>396322</v>
      </c>
      <c r="G37" s="291">
        <f>F37/'- 43 -'!$I37*100</f>
        <v>0.7041450753267261</v>
      </c>
      <c r="H37" s="417">
        <v>23518</v>
      </c>
      <c r="I37" s="291">
        <f>H37/'- 43 -'!$I37*100</f>
        <v>4.1784417422030429E-2</v>
      </c>
    </row>
    <row r="38" spans="1:9" ht="14.1" customHeight="1" x14ac:dyDescent="0.2">
      <c r="A38" s="19" t="s">
        <v>136</v>
      </c>
      <c r="B38" s="418">
        <v>1252654</v>
      </c>
      <c r="C38" s="70">
        <f>B38/'- 43 -'!$I38*100</f>
        <v>0.82137477811181858</v>
      </c>
      <c r="D38" s="418">
        <v>47659893</v>
      </c>
      <c r="E38" s="70">
        <f>D38/'- 43 -'!$I38*100</f>
        <v>31.250955202081354</v>
      </c>
      <c r="F38" s="418">
        <v>1503252</v>
      </c>
      <c r="G38" s="70">
        <f>F38/'- 43 -'!$I38*100</f>
        <v>0.98569379728651929</v>
      </c>
      <c r="H38" s="418">
        <v>486900</v>
      </c>
      <c r="I38" s="70">
        <f>H38/'- 43 -'!$I38*100</f>
        <v>0.31926404215581033</v>
      </c>
    </row>
    <row r="39" spans="1:9" ht="14.1" customHeight="1" x14ac:dyDescent="0.2">
      <c r="A39" s="284" t="s">
        <v>137</v>
      </c>
      <c r="B39" s="417">
        <v>25000</v>
      </c>
      <c r="C39" s="291">
        <f>B39/'- 43 -'!$I39*100</f>
        <v>0.10520910920667662</v>
      </c>
      <c r="D39" s="417">
        <v>11831362</v>
      </c>
      <c r="E39" s="291">
        <f>D39/'- 43 -'!$I39*100</f>
        <v>49.790682268868949</v>
      </c>
      <c r="F39" s="417">
        <v>111300</v>
      </c>
      <c r="G39" s="291">
        <f>F39/'- 43 -'!$I39*100</f>
        <v>0.46839095418812421</v>
      </c>
      <c r="H39" s="417">
        <v>0</v>
      </c>
      <c r="I39" s="291">
        <f>H39/'- 43 -'!$I39*100</f>
        <v>0</v>
      </c>
    </row>
    <row r="40" spans="1:9" ht="14.1" customHeight="1" x14ac:dyDescent="0.2">
      <c r="A40" s="19" t="s">
        <v>138</v>
      </c>
      <c r="B40" s="418">
        <v>21123</v>
      </c>
      <c r="C40" s="70">
        <f>B40/'- 43 -'!$I40*100</f>
        <v>1.8870430148520551E-2</v>
      </c>
      <c r="D40" s="418">
        <v>52127365</v>
      </c>
      <c r="E40" s="70">
        <f>D40/'- 43 -'!$I40*100</f>
        <v>46.568470390519103</v>
      </c>
      <c r="F40" s="418">
        <v>363350</v>
      </c>
      <c r="G40" s="70">
        <f>F40/'- 43 -'!$I40*100</f>
        <v>0.3246021301171681</v>
      </c>
      <c r="H40" s="418">
        <v>268800</v>
      </c>
      <c r="I40" s="70">
        <f>H40/'- 43 -'!$I40*100</f>
        <v>0.2401350008958161</v>
      </c>
    </row>
    <row r="41" spans="1:9" ht="14.1" customHeight="1" x14ac:dyDescent="0.2">
      <c r="A41" s="284" t="s">
        <v>139</v>
      </c>
      <c r="B41" s="417">
        <v>0</v>
      </c>
      <c r="C41" s="291">
        <f>B41/'- 43 -'!$I41*100</f>
        <v>0</v>
      </c>
      <c r="D41" s="417">
        <v>29802445</v>
      </c>
      <c r="E41" s="291">
        <f>D41/'- 43 -'!$I41*100</f>
        <v>44.066131923175078</v>
      </c>
      <c r="F41" s="417">
        <v>148059</v>
      </c>
      <c r="G41" s="291">
        <f>F41/'- 43 -'!$I41*100</f>
        <v>0.21892121355859828</v>
      </c>
      <c r="H41" s="417">
        <v>351608</v>
      </c>
      <c r="I41" s="291">
        <f>H41/'- 43 -'!$I41*100</f>
        <v>0.51989038192147463</v>
      </c>
    </row>
    <row r="42" spans="1:9" ht="14.1" customHeight="1" x14ac:dyDescent="0.2">
      <c r="A42" s="19" t="s">
        <v>140</v>
      </c>
      <c r="B42" s="418">
        <v>17185</v>
      </c>
      <c r="C42" s="70">
        <f>B42/'- 43 -'!$I42*100</f>
        <v>8.0151435608524058E-2</v>
      </c>
      <c r="D42" s="418">
        <v>6362077</v>
      </c>
      <c r="E42" s="70">
        <f>D42/'- 43 -'!$I42*100</f>
        <v>29.672947628860747</v>
      </c>
      <c r="F42" s="418">
        <v>13909</v>
      </c>
      <c r="G42" s="70">
        <f>F42/'- 43 -'!$I42*100</f>
        <v>6.4872058066858376E-2</v>
      </c>
      <c r="H42" s="418">
        <v>245512</v>
      </c>
      <c r="I42" s="70">
        <f>H42/'- 43 -'!$I42*100</f>
        <v>1.1450764771091044</v>
      </c>
    </row>
    <row r="43" spans="1:9" ht="14.1" customHeight="1" x14ac:dyDescent="0.2">
      <c r="A43" s="284" t="s">
        <v>141</v>
      </c>
      <c r="B43" s="417">
        <v>307</v>
      </c>
      <c r="C43" s="291">
        <f>B43/'- 43 -'!$I43*100</f>
        <v>2.2222391122046171E-3</v>
      </c>
      <c r="D43" s="417">
        <v>6167978</v>
      </c>
      <c r="E43" s="291">
        <f>D43/'- 43 -'!$I43*100</f>
        <v>44.64730278442218</v>
      </c>
      <c r="F43" s="417">
        <v>34935</v>
      </c>
      <c r="G43" s="291">
        <f>F43/'- 43 -'!$I43*100</f>
        <v>0.25287922926667195</v>
      </c>
      <c r="H43" s="417">
        <v>0</v>
      </c>
      <c r="I43" s="291">
        <f>H43/'- 43 -'!$I43*100</f>
        <v>0</v>
      </c>
    </row>
    <row r="44" spans="1:9" ht="14.1" customHeight="1" x14ac:dyDescent="0.2">
      <c r="A44" s="19" t="s">
        <v>142</v>
      </c>
      <c r="B44" s="418">
        <v>0</v>
      </c>
      <c r="C44" s="70">
        <f>B44/'- 43 -'!$I44*100</f>
        <v>0</v>
      </c>
      <c r="D44" s="418">
        <v>2788996</v>
      </c>
      <c r="E44" s="70">
        <f>D44/'- 43 -'!$I44*100</f>
        <v>24.497200604516941</v>
      </c>
      <c r="F44" s="418">
        <v>52650</v>
      </c>
      <c r="G44" s="70">
        <f>F44/'- 43 -'!$I44*100</f>
        <v>0.46245229890176143</v>
      </c>
      <c r="H44" s="418">
        <v>0</v>
      </c>
      <c r="I44" s="70">
        <f>H44/'- 43 -'!$I44*100</f>
        <v>0</v>
      </c>
    </row>
    <row r="45" spans="1:9" ht="14.1" customHeight="1" x14ac:dyDescent="0.2">
      <c r="A45" s="284" t="s">
        <v>143</v>
      </c>
      <c r="B45" s="417">
        <v>25000</v>
      </c>
      <c r="C45" s="291">
        <f>B45/'- 43 -'!$I45*100</f>
        <v>0.11379106258594923</v>
      </c>
      <c r="D45" s="417">
        <v>7348095</v>
      </c>
      <c r="E45" s="291">
        <f>D45/'- 43 -'!$I45*100</f>
        <v>33.445901521300023</v>
      </c>
      <c r="F45" s="417">
        <v>57200</v>
      </c>
      <c r="G45" s="291">
        <f>F45/'- 43 -'!$I45*100</f>
        <v>0.26035395119665183</v>
      </c>
      <c r="H45" s="417">
        <v>0</v>
      </c>
      <c r="I45" s="291">
        <f>H45/'- 43 -'!$I45*100</f>
        <v>0</v>
      </c>
    </row>
    <row r="46" spans="1:9" ht="14.1" customHeight="1" x14ac:dyDescent="0.2">
      <c r="A46" s="19" t="s">
        <v>144</v>
      </c>
      <c r="B46" s="418">
        <v>3895735</v>
      </c>
      <c r="C46" s="70">
        <f>B46/'- 43 -'!$I46*100</f>
        <v>0.93306634228430207</v>
      </c>
      <c r="D46" s="418">
        <v>162238436</v>
      </c>
      <c r="E46" s="70">
        <f>D46/'- 43 -'!$I46*100</f>
        <v>38.857680015823924</v>
      </c>
      <c r="F46" s="418">
        <v>2280326</v>
      </c>
      <c r="G46" s="70">
        <f>F46/'- 43 -'!$I46*100</f>
        <v>0.54616020854493263</v>
      </c>
      <c r="H46" s="418">
        <v>1741360</v>
      </c>
      <c r="I46" s="70">
        <f>H46/'- 43 -'!$I46*100</f>
        <v>0.41707262064801431</v>
      </c>
    </row>
    <row r="47" spans="1:9" ht="5.0999999999999996" customHeight="1" x14ac:dyDescent="0.2">
      <c r="A47" s="21"/>
      <c r="B47" s="22"/>
      <c r="C47"/>
      <c r="D47" s="22"/>
      <c r="E47"/>
      <c r="F47" s="22"/>
      <c r="G47"/>
      <c r="H47" s="22"/>
      <c r="I47"/>
    </row>
    <row r="48" spans="1:9" ht="14.1" customHeight="1" x14ac:dyDescent="0.2">
      <c r="A48" s="286" t="s">
        <v>145</v>
      </c>
      <c r="B48" s="421">
        <f>SUM(B11:B46)</f>
        <v>7822957</v>
      </c>
      <c r="C48" s="294">
        <f>B48/'- 43 -'!$I48*100</f>
        <v>0.31251918462571882</v>
      </c>
      <c r="D48" s="421">
        <f>SUM(D11:D46)</f>
        <v>882019614</v>
      </c>
      <c r="E48" s="294">
        <f>D48/'- 43 -'!$I48*100</f>
        <v>35.235787515024207</v>
      </c>
      <c r="F48" s="421">
        <f>SUM(F11:F46)</f>
        <v>13113729</v>
      </c>
      <c r="G48" s="294">
        <f>F48/'- 43 -'!$I48*100</f>
        <v>0.52388015100717578</v>
      </c>
      <c r="H48" s="421">
        <f>SUM(H11:H46)</f>
        <v>99905515</v>
      </c>
      <c r="I48" s="294">
        <f>H48/'- 43 -'!$I48*100</f>
        <v>3.9911238279096408</v>
      </c>
    </row>
    <row r="49" spans="1:9" ht="5.0999999999999996" customHeight="1" x14ac:dyDescent="0.2">
      <c r="A49" s="21" t="s">
        <v>7</v>
      </c>
      <c r="B49" s="22"/>
      <c r="C49"/>
      <c r="D49" s="22"/>
      <c r="E49"/>
      <c r="F49" s="22"/>
      <c r="G49"/>
      <c r="H49" s="22"/>
      <c r="I49"/>
    </row>
    <row r="50" spans="1:9" ht="14.1" customHeight="1" x14ac:dyDescent="0.2">
      <c r="A50" s="19" t="s">
        <v>146</v>
      </c>
      <c r="B50" s="418">
        <v>0</v>
      </c>
      <c r="C50" s="70">
        <f>B50/'- 43 -'!$I50*100</f>
        <v>0</v>
      </c>
      <c r="D50" s="418">
        <v>2092946</v>
      </c>
      <c r="E50" s="70">
        <f>D50/'- 43 -'!$I50*100</f>
        <v>57.042987483469922</v>
      </c>
      <c r="F50" s="418">
        <v>40300</v>
      </c>
      <c r="G50" s="70">
        <f>F50/'- 43 -'!$I50*100</f>
        <v>1.0983715755608783</v>
      </c>
      <c r="H50" s="418">
        <v>0</v>
      </c>
      <c r="I50" s="70">
        <f>H50/'- 43 -'!$I50*100</f>
        <v>0</v>
      </c>
    </row>
    <row r="51" spans="1:9" ht="14.1" customHeight="1" x14ac:dyDescent="0.2">
      <c r="A51" s="284" t="s">
        <v>599</v>
      </c>
      <c r="B51" s="417">
        <v>2003458</v>
      </c>
      <c r="C51" s="291">
        <f>B51/'- 43 -'!$I51*100</f>
        <v>5.9359673028156097</v>
      </c>
      <c r="D51" s="417">
        <v>0</v>
      </c>
      <c r="E51" s="291">
        <f>D51/'- 43 -'!$I51*100</f>
        <v>0</v>
      </c>
      <c r="F51" s="417">
        <v>2241670</v>
      </c>
      <c r="G51" s="291">
        <f>F51/'- 43 -'!$I51*100</f>
        <v>6.6417563151823833</v>
      </c>
      <c r="H51" s="417">
        <v>0</v>
      </c>
      <c r="I51" s="291">
        <f>H51/'- 43 -'!$I51*100</f>
        <v>0</v>
      </c>
    </row>
    <row r="52" spans="1:9" ht="50.1" customHeight="1" x14ac:dyDescent="0.2">
      <c r="A52" s="23"/>
      <c r="B52" s="23"/>
      <c r="C52" s="23"/>
      <c r="D52" s="23"/>
      <c r="E52" s="23"/>
      <c r="F52" s="23"/>
      <c r="G52" s="23"/>
      <c r="H52" s="23"/>
      <c r="I52" s="23"/>
    </row>
    <row r="53" spans="1:9" ht="25.9" customHeight="1" x14ac:dyDescent="0.2">
      <c r="A53" s="736" t="str">
        <f>"(1)  Municipal Government revenue is net of  "&amp;TEXT('- 41 -'!C48,"$0,000,000")&amp; " in Education Property Tax Credit (EPTC) revenue paid directly to school divisions. See page 41 for EPTC revenue."</f>
        <v>(1)  Municipal Government revenue is net of  $210,610,246 in Education Property Tax Credit (EPTC) revenue paid directly to school divisions. See page 41 for EPTC revenue.</v>
      </c>
      <c r="B53" s="736"/>
      <c r="C53" s="736"/>
      <c r="D53" s="736"/>
      <c r="E53" s="736"/>
      <c r="F53" s="736"/>
      <c r="G53" s="736"/>
      <c r="H53" s="736"/>
      <c r="I53" s="736"/>
    </row>
    <row r="54" spans="1:9" x14ac:dyDescent="0.2">
      <c r="A54" s="737"/>
      <c r="B54" s="737"/>
      <c r="C54" s="737"/>
      <c r="D54" s="737"/>
      <c r="E54" s="737"/>
      <c r="F54" s="737"/>
      <c r="G54" s="737"/>
      <c r="H54" s="737"/>
      <c r="I54" s="737"/>
    </row>
  </sheetData>
  <mergeCells count="5">
    <mergeCell ref="A53:I54"/>
    <mergeCell ref="B7:C8"/>
    <mergeCell ref="D7:E8"/>
    <mergeCell ref="F7:G8"/>
    <mergeCell ref="H8:I8"/>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I52"/>
  <sheetViews>
    <sheetView showGridLines="0" showZeros="0" workbookViewId="0"/>
  </sheetViews>
  <sheetFormatPr defaultColWidth="15.83203125" defaultRowHeight="12" x14ac:dyDescent="0.2"/>
  <cols>
    <col min="1" max="1" width="35.83203125" style="2" customWidth="1"/>
    <col min="2" max="2" width="15.83203125" style="2"/>
    <col min="3" max="3" width="8.83203125" style="2" customWidth="1"/>
    <col min="4" max="4" width="13.83203125" style="2" customWidth="1"/>
    <col min="5" max="5" width="8.83203125" style="2" customWidth="1"/>
    <col min="6" max="6" width="15.83203125" style="2"/>
    <col min="7" max="7" width="8.83203125" style="2" customWidth="1"/>
    <col min="8" max="8" width="4.83203125" style="2" customWidth="1"/>
    <col min="9" max="9" width="19.83203125" style="2" customWidth="1"/>
    <col min="10" max="16384" width="15.83203125" style="2"/>
  </cols>
  <sheetData>
    <row r="1" spans="1:9" ht="6.95" customHeight="1" x14ac:dyDescent="0.2">
      <c r="A1" s="7"/>
    </row>
    <row r="2" spans="1:9" ht="15.95" customHeight="1" x14ac:dyDescent="0.2">
      <c r="A2" s="213"/>
      <c r="B2" s="204" t="str">
        <f>REVYEAR</f>
        <v>ANALYSIS OF OPERATING FUND REVENUE: 2019/2020 ACTUAL</v>
      </c>
      <c r="C2" s="41"/>
      <c r="D2" s="41"/>
      <c r="E2" s="41"/>
      <c r="F2" s="41"/>
      <c r="G2" s="214"/>
      <c r="H2" s="42"/>
      <c r="I2" s="215" t="s">
        <v>9</v>
      </c>
    </row>
    <row r="3" spans="1:9" ht="15.95" customHeight="1" x14ac:dyDescent="0.2">
      <c r="A3" s="537"/>
    </row>
    <row r="4" spans="1:9" ht="15.95" customHeight="1" x14ac:dyDescent="0.2">
      <c r="B4" s="43"/>
      <c r="C4" s="8"/>
      <c r="D4" s="8"/>
      <c r="E4" s="8"/>
      <c r="F4" s="8"/>
      <c r="G4" s="8"/>
      <c r="H4" s="8"/>
      <c r="I4" s="8"/>
    </row>
    <row r="5" spans="1:9" ht="15.95" customHeight="1" x14ac:dyDescent="0.2">
      <c r="B5" s="8"/>
      <c r="C5" s="8"/>
      <c r="D5" s="8"/>
      <c r="E5" s="8"/>
      <c r="F5" s="8"/>
      <c r="G5" s="8"/>
      <c r="H5" s="8"/>
      <c r="I5" s="8"/>
    </row>
    <row r="6" spans="1:9" ht="15.95" customHeight="1" x14ac:dyDescent="0.2">
      <c r="B6" s="676" t="s">
        <v>524</v>
      </c>
      <c r="C6" s="677"/>
      <c r="D6" s="311"/>
      <c r="E6" s="311"/>
      <c r="F6" s="649" t="s">
        <v>525</v>
      </c>
      <c r="G6" s="650"/>
      <c r="H6" s="8"/>
      <c r="I6" s="640" t="s">
        <v>526</v>
      </c>
    </row>
    <row r="7" spans="1:9" ht="15.95" customHeight="1" x14ac:dyDescent="0.2">
      <c r="B7" s="690"/>
      <c r="C7" s="691"/>
      <c r="D7" s="373"/>
      <c r="E7" s="373"/>
      <c r="F7" s="694"/>
      <c r="G7" s="693"/>
      <c r="H7" s="8"/>
      <c r="I7" s="738"/>
    </row>
    <row r="8" spans="1:9" ht="15.95" customHeight="1" x14ac:dyDescent="0.2">
      <c r="A8" s="403"/>
      <c r="B8" s="678"/>
      <c r="C8" s="679"/>
      <c r="D8" s="695" t="s">
        <v>24</v>
      </c>
      <c r="E8" s="655"/>
      <c r="F8" s="651"/>
      <c r="G8" s="652"/>
      <c r="H8" s="8"/>
      <c r="I8" s="739"/>
    </row>
    <row r="9" spans="1:9" ht="15.95" customHeight="1" x14ac:dyDescent="0.2">
      <c r="A9" s="35" t="s">
        <v>42</v>
      </c>
      <c r="B9" s="563" t="s">
        <v>62</v>
      </c>
      <c r="C9" s="115" t="s">
        <v>44</v>
      </c>
      <c r="D9" s="216" t="s">
        <v>62</v>
      </c>
      <c r="E9" s="216" t="s">
        <v>44</v>
      </c>
      <c r="F9" s="206" t="s">
        <v>62</v>
      </c>
      <c r="G9" s="216" t="s">
        <v>44</v>
      </c>
      <c r="H9" s="8"/>
      <c r="I9" s="216" t="s">
        <v>62</v>
      </c>
    </row>
    <row r="10" spans="1:9" ht="5.0999999999999996" customHeight="1" x14ac:dyDescent="0.2">
      <c r="A10" s="6"/>
      <c r="B10" s="207"/>
      <c r="C10" s="207"/>
      <c r="D10" s="207"/>
      <c r="E10" s="207"/>
      <c r="F10" s="207"/>
      <c r="G10" s="7"/>
      <c r="H10" s="7"/>
      <c r="I10" s="207"/>
    </row>
    <row r="11" spans="1:9" ht="14.1" customHeight="1" x14ac:dyDescent="0.2">
      <c r="A11" s="284" t="s">
        <v>110</v>
      </c>
      <c r="B11" s="417">
        <v>20753</v>
      </c>
      <c r="C11" s="291">
        <f>B11/I11*100</f>
        <v>9.6286195998385962E-2</v>
      </c>
      <c r="D11" s="417">
        <v>111171</v>
      </c>
      <c r="E11" s="291">
        <f>D11/I11*100</f>
        <v>0.51579206357329388</v>
      </c>
      <c r="F11" s="285">
        <f>SUM('- 42 -'!$B11,'- 42 -'!$D11,'- 42 -'!$F11,'- 42 -'!$H11,B11,D11)</f>
        <v>7792561</v>
      </c>
      <c r="G11" s="291">
        <f>F11/I11*100</f>
        <v>36.154582748295603</v>
      </c>
      <c r="I11" s="285">
        <f>SUM('- 41 -'!$H11,F11)</f>
        <v>21553453</v>
      </c>
    </row>
    <row r="12" spans="1:9" ht="14.1" customHeight="1" x14ac:dyDescent="0.2">
      <c r="A12" s="19" t="s">
        <v>111</v>
      </c>
      <c r="B12" s="418">
        <v>126873</v>
      </c>
      <c r="C12" s="70">
        <f t="shared" ref="C12:C46" si="0">B12/I12*100</f>
        <v>0.35738175589980736</v>
      </c>
      <c r="D12" s="418">
        <v>339289</v>
      </c>
      <c r="E12" s="70">
        <f t="shared" ref="E12:E46" si="1">D12/I12*100</f>
        <v>0.9557250051428573</v>
      </c>
      <c r="F12" s="20">
        <f>SUM('- 42 -'!$B12,'- 42 -'!$D12,'- 42 -'!$F12,'- 42 -'!$H12,B12,D12)</f>
        <v>14541897</v>
      </c>
      <c r="G12" s="70">
        <f t="shared" ref="G12:G46" si="2">F12/I12*100</f>
        <v>40.96229051077961</v>
      </c>
      <c r="I12" s="20">
        <f>SUM('- 41 -'!$H12,F12)</f>
        <v>35500693</v>
      </c>
    </row>
    <row r="13" spans="1:9" ht="14.1" customHeight="1" x14ac:dyDescent="0.2">
      <c r="A13" s="284" t="s">
        <v>112</v>
      </c>
      <c r="B13" s="417">
        <v>658670</v>
      </c>
      <c r="C13" s="291">
        <f t="shared" si="0"/>
        <v>0.62477123125917511</v>
      </c>
      <c r="D13" s="417">
        <v>326895</v>
      </c>
      <c r="E13" s="291">
        <f t="shared" si="1"/>
        <v>0.31007119140460027</v>
      </c>
      <c r="F13" s="285">
        <f>SUM('- 42 -'!$B13,'- 42 -'!$D13,'- 42 -'!$F13,'- 42 -'!$H13,B13,D13)</f>
        <v>42084055</v>
      </c>
      <c r="G13" s="291">
        <f t="shared" si="2"/>
        <v>39.918178843318877</v>
      </c>
      <c r="I13" s="285">
        <f>SUM('- 41 -'!$H13,F13)</f>
        <v>105425789</v>
      </c>
    </row>
    <row r="14" spans="1:9" ht="14.1" customHeight="1" x14ac:dyDescent="0.2">
      <c r="A14" s="19" t="s">
        <v>358</v>
      </c>
      <c r="B14" s="418">
        <v>358383</v>
      </c>
      <c r="C14" s="70">
        <f t="shared" si="0"/>
        <v>0.36929986595139175</v>
      </c>
      <c r="D14" s="418">
        <v>217111</v>
      </c>
      <c r="E14" s="70">
        <f t="shared" si="1"/>
        <v>0.22372451594124895</v>
      </c>
      <c r="F14" s="20">
        <f>SUM('- 42 -'!$B14,'- 42 -'!$D14,'- 42 -'!$F14,'- 42 -'!$H14,B14,D14)</f>
        <v>29458903</v>
      </c>
      <c r="G14" s="70">
        <f t="shared" si="2"/>
        <v>30.356263910327925</v>
      </c>
      <c r="I14" s="20">
        <f>SUM('- 41 -'!$H14,F14)</f>
        <v>97043902</v>
      </c>
    </row>
    <row r="15" spans="1:9" ht="14.1" customHeight="1" x14ac:dyDescent="0.2">
      <c r="A15" s="284" t="s">
        <v>113</v>
      </c>
      <c r="B15" s="417">
        <v>170026</v>
      </c>
      <c r="C15" s="291">
        <f t="shared" si="0"/>
        <v>0.78519888147512795</v>
      </c>
      <c r="D15" s="417">
        <v>30729</v>
      </c>
      <c r="E15" s="291">
        <f t="shared" si="1"/>
        <v>0.14190992218160287</v>
      </c>
      <c r="F15" s="285">
        <f>SUM('- 42 -'!$B15,'- 42 -'!$D15,'- 42 -'!$F15,'- 42 -'!$H15,B15,D15)</f>
        <v>8924600</v>
      </c>
      <c r="G15" s="291">
        <f t="shared" si="2"/>
        <v>41.214790312145951</v>
      </c>
      <c r="I15" s="285">
        <f>SUM('- 41 -'!$H15,F15)</f>
        <v>21653877</v>
      </c>
    </row>
    <row r="16" spans="1:9" ht="14.1" customHeight="1" x14ac:dyDescent="0.2">
      <c r="A16" s="19" t="s">
        <v>114</v>
      </c>
      <c r="B16" s="418">
        <v>159149</v>
      </c>
      <c r="C16" s="70">
        <f t="shared" si="0"/>
        <v>1.0606619118412799</v>
      </c>
      <c r="D16" s="418">
        <v>62965</v>
      </c>
      <c r="E16" s="70">
        <f t="shared" si="1"/>
        <v>0.41963554454684726</v>
      </c>
      <c r="F16" s="20">
        <f>SUM('- 42 -'!$B16,'- 42 -'!$D16,'- 42 -'!$F16,'- 42 -'!$H16,B16,D16)</f>
        <v>4178596</v>
      </c>
      <c r="G16" s="70">
        <f t="shared" si="2"/>
        <v>27.8486049059204</v>
      </c>
      <c r="I16" s="20">
        <f>SUM('- 41 -'!$H16,F16)</f>
        <v>15004687</v>
      </c>
    </row>
    <row r="17" spans="1:9" ht="14.1" customHeight="1" x14ac:dyDescent="0.2">
      <c r="A17" s="284" t="s">
        <v>115</v>
      </c>
      <c r="B17" s="417">
        <v>0</v>
      </c>
      <c r="C17" s="291">
        <f t="shared" si="0"/>
        <v>0</v>
      </c>
      <c r="D17" s="417">
        <v>39496</v>
      </c>
      <c r="E17" s="291">
        <f t="shared" si="1"/>
        <v>0.20818002659808715</v>
      </c>
      <c r="F17" s="285">
        <f>SUM('- 42 -'!$B17,'- 42 -'!$D17,'- 42 -'!$F17,'- 42 -'!$H17,B17,D17)</f>
        <v>9208154</v>
      </c>
      <c r="G17" s="291">
        <f t="shared" si="2"/>
        <v>48.535389523984271</v>
      </c>
      <c r="I17" s="285">
        <f>SUM('- 41 -'!$H17,F17)</f>
        <v>18972041</v>
      </c>
    </row>
    <row r="18" spans="1:9" ht="14.1" customHeight="1" x14ac:dyDescent="0.2">
      <c r="A18" s="19" t="s">
        <v>116</v>
      </c>
      <c r="B18" s="418">
        <v>5306039</v>
      </c>
      <c r="C18" s="70">
        <f t="shared" si="0"/>
        <v>3.8099529039142035</v>
      </c>
      <c r="D18" s="418">
        <v>836946</v>
      </c>
      <c r="E18" s="70">
        <f t="shared" si="1"/>
        <v>0.60096144093915949</v>
      </c>
      <c r="F18" s="20">
        <f>SUM('- 42 -'!$B18,'- 42 -'!$D18,'- 42 -'!$F18,'- 42 -'!$H18,B18,D18)</f>
        <v>90104787</v>
      </c>
      <c r="G18" s="70">
        <f t="shared" si="2"/>
        <v>64.698920397535858</v>
      </c>
      <c r="I18" s="20">
        <f>SUM('- 41 -'!$H18,F18)</f>
        <v>139267837</v>
      </c>
    </row>
    <row r="19" spans="1:9" ht="14.1" customHeight="1" x14ac:dyDescent="0.2">
      <c r="A19" s="284" t="s">
        <v>117</v>
      </c>
      <c r="B19" s="417">
        <v>20865</v>
      </c>
      <c r="C19" s="291">
        <f t="shared" si="0"/>
        <v>4.0066514446556428E-2</v>
      </c>
      <c r="D19" s="417">
        <v>568884</v>
      </c>
      <c r="E19" s="291">
        <f t="shared" si="1"/>
        <v>1.0924130843237385</v>
      </c>
      <c r="F19" s="285">
        <f>SUM('- 42 -'!$B19,'- 42 -'!$D19,'- 42 -'!$F19,'- 42 -'!$H19,B19,D19)</f>
        <v>17379969</v>
      </c>
      <c r="G19" s="291">
        <f t="shared" si="2"/>
        <v>33.374300456228269</v>
      </c>
      <c r="I19" s="285">
        <f>SUM('- 41 -'!$H19,F19)</f>
        <v>52075905</v>
      </c>
    </row>
    <row r="20" spans="1:9" ht="14.1" customHeight="1" x14ac:dyDescent="0.2">
      <c r="A20" s="19" t="s">
        <v>118</v>
      </c>
      <c r="B20" s="418">
        <v>314738</v>
      </c>
      <c r="C20" s="70">
        <f t="shared" si="0"/>
        <v>0.34071343339175675</v>
      </c>
      <c r="D20" s="418">
        <v>243059</v>
      </c>
      <c r="E20" s="70">
        <f t="shared" si="1"/>
        <v>0.26311874132378998</v>
      </c>
      <c r="F20" s="20">
        <f>SUM('- 42 -'!$B20,'- 42 -'!$D20,'- 42 -'!$F20,'- 42 -'!$H20,B20,D20)</f>
        <v>28400296</v>
      </c>
      <c r="G20" s="70">
        <f t="shared" si="2"/>
        <v>30.744182016477755</v>
      </c>
      <c r="I20" s="20">
        <f>SUM('- 41 -'!$H20,F20)</f>
        <v>92376164</v>
      </c>
    </row>
    <row r="21" spans="1:9" ht="14.1" customHeight="1" x14ac:dyDescent="0.2">
      <c r="A21" s="284" t="s">
        <v>119</v>
      </c>
      <c r="B21" s="417">
        <v>177900</v>
      </c>
      <c r="C21" s="291">
        <f t="shared" si="0"/>
        <v>0.46042723661847434</v>
      </c>
      <c r="D21" s="417">
        <v>204322</v>
      </c>
      <c r="E21" s="291">
        <f t="shared" si="1"/>
        <v>0.52881064553322044</v>
      </c>
      <c r="F21" s="285">
        <f>SUM('- 42 -'!$B21,'- 42 -'!$D21,'- 42 -'!$F21,'- 42 -'!$H21,B21,D21)</f>
        <v>16578614</v>
      </c>
      <c r="G21" s="291">
        <f t="shared" si="2"/>
        <v>42.907506638473023</v>
      </c>
      <c r="I21" s="285">
        <f>SUM('- 41 -'!$H21,F21)</f>
        <v>38638027</v>
      </c>
    </row>
    <row r="22" spans="1:9" ht="14.1" customHeight="1" x14ac:dyDescent="0.2">
      <c r="A22" s="19" t="s">
        <v>120</v>
      </c>
      <c r="B22" s="418">
        <v>74174</v>
      </c>
      <c r="C22" s="70">
        <f t="shared" si="0"/>
        <v>0.36671170924419633</v>
      </c>
      <c r="D22" s="418">
        <v>9761</v>
      </c>
      <c r="E22" s="70">
        <f t="shared" si="1"/>
        <v>4.8257785665227718E-2</v>
      </c>
      <c r="F22" s="20">
        <f>SUM('- 42 -'!$B22,'- 42 -'!$D22,'- 42 -'!$F22,'- 42 -'!$H22,B22,D22)</f>
        <v>3226911</v>
      </c>
      <c r="G22" s="70">
        <f t="shared" si="2"/>
        <v>15.953650179158451</v>
      </c>
      <c r="I22" s="20">
        <f>SUM('- 41 -'!$H22,F22)</f>
        <v>20226788</v>
      </c>
    </row>
    <row r="23" spans="1:9" ht="14.1" customHeight="1" x14ac:dyDescent="0.2">
      <c r="A23" s="284" t="s">
        <v>121</v>
      </c>
      <c r="B23" s="417">
        <v>127298</v>
      </c>
      <c r="C23" s="291">
        <f t="shared" si="0"/>
        <v>0.78050523578250286</v>
      </c>
      <c r="D23" s="417">
        <v>190453</v>
      </c>
      <c r="E23" s="291">
        <f t="shared" si="1"/>
        <v>1.1677289797992505</v>
      </c>
      <c r="F23" s="285">
        <f>SUM('- 42 -'!$B23,'- 42 -'!$D23,'- 42 -'!$F23,'- 42 -'!$H23,B23,D23)</f>
        <v>4868467</v>
      </c>
      <c r="G23" s="291">
        <f t="shared" si="2"/>
        <v>29.85014677162512</v>
      </c>
      <c r="I23" s="285">
        <f>SUM('- 41 -'!$H23,F23)</f>
        <v>16309692</v>
      </c>
    </row>
    <row r="24" spans="1:9" ht="14.1" customHeight="1" x14ac:dyDescent="0.2">
      <c r="A24" s="19" t="s">
        <v>122</v>
      </c>
      <c r="B24" s="418">
        <v>422014</v>
      </c>
      <c r="C24" s="70">
        <f t="shared" si="0"/>
        <v>0.70715257921073571</v>
      </c>
      <c r="D24" s="418">
        <v>319537</v>
      </c>
      <c r="E24" s="70">
        <f t="shared" si="1"/>
        <v>0.53543582370077969</v>
      </c>
      <c r="F24" s="20">
        <f>SUM('- 42 -'!$B24,'- 42 -'!$D24,'- 42 -'!$F24,'- 42 -'!$H24,B24,D24)</f>
        <v>26511343</v>
      </c>
      <c r="G24" s="70">
        <f t="shared" si="2"/>
        <v>44.424034702143729</v>
      </c>
      <c r="I24" s="20">
        <f>SUM('- 41 -'!$H24,F24)</f>
        <v>59677927</v>
      </c>
    </row>
    <row r="25" spans="1:9" ht="14.1" customHeight="1" x14ac:dyDescent="0.2">
      <c r="A25" s="284" t="s">
        <v>123</v>
      </c>
      <c r="B25" s="417">
        <v>8030491</v>
      </c>
      <c r="C25" s="291">
        <f t="shared" si="0"/>
        <v>3.9992131742820161</v>
      </c>
      <c r="D25" s="417">
        <v>987574</v>
      </c>
      <c r="E25" s="291">
        <f t="shared" si="1"/>
        <v>0.49181537609324105</v>
      </c>
      <c r="F25" s="285">
        <f>SUM('- 42 -'!$B25,'- 42 -'!$D25,'- 42 -'!$F25,'- 42 -'!$H25,B25,D25)</f>
        <v>87923715</v>
      </c>
      <c r="G25" s="291">
        <f t="shared" si="2"/>
        <v>43.786323820027604</v>
      </c>
      <c r="I25" s="285">
        <f>SUM('- 41 -'!$H25,F25)</f>
        <v>200801774</v>
      </c>
    </row>
    <row r="26" spans="1:9" ht="14.1" customHeight="1" x14ac:dyDescent="0.2">
      <c r="A26" s="19" t="s">
        <v>124</v>
      </c>
      <c r="B26" s="418">
        <v>508884</v>
      </c>
      <c r="C26" s="70">
        <f t="shared" si="0"/>
        <v>1.1938295394291198</v>
      </c>
      <c r="D26" s="418">
        <v>86099</v>
      </c>
      <c r="E26" s="70">
        <f t="shared" si="1"/>
        <v>0.20198616878366737</v>
      </c>
      <c r="F26" s="20">
        <f>SUM('- 42 -'!$B26,'- 42 -'!$D26,'- 42 -'!$F26,'- 42 -'!$H26,B26,D26)</f>
        <v>15563904</v>
      </c>
      <c r="G26" s="70">
        <f t="shared" si="2"/>
        <v>36.512541844583509</v>
      </c>
      <c r="I26" s="20">
        <f>SUM('- 41 -'!$H26,F26)</f>
        <v>42626186</v>
      </c>
    </row>
    <row r="27" spans="1:9" ht="14.1" customHeight="1" x14ac:dyDescent="0.2">
      <c r="A27" s="284" t="s">
        <v>125</v>
      </c>
      <c r="B27" s="417">
        <v>191445</v>
      </c>
      <c r="C27" s="291">
        <f t="shared" si="0"/>
        <v>0.45293491747899373</v>
      </c>
      <c r="D27" s="417">
        <v>351504</v>
      </c>
      <c r="E27" s="291">
        <f t="shared" si="1"/>
        <v>0.83161448579767672</v>
      </c>
      <c r="F27" s="285">
        <f>SUM('- 42 -'!$B27,'- 42 -'!$D27,'- 42 -'!$F27,'- 42 -'!$H27,B27,D27)</f>
        <v>8070877</v>
      </c>
      <c r="G27" s="291">
        <f t="shared" si="2"/>
        <v>19.094685199290183</v>
      </c>
      <c r="I27" s="285">
        <f>SUM('- 41 -'!$H27,F27)</f>
        <v>42267662</v>
      </c>
    </row>
    <row r="28" spans="1:9" ht="14.1" customHeight="1" x14ac:dyDescent="0.2">
      <c r="A28" s="19" t="s">
        <v>126</v>
      </c>
      <c r="B28" s="418">
        <v>101639</v>
      </c>
      <c r="C28" s="70">
        <f t="shared" si="0"/>
        <v>0.34482107006385937</v>
      </c>
      <c r="D28" s="418">
        <v>39043</v>
      </c>
      <c r="E28" s="70">
        <f t="shared" si="1"/>
        <v>0.13245751176716872</v>
      </c>
      <c r="F28" s="20">
        <f>SUM('- 42 -'!$B28,'- 42 -'!$D28,'- 42 -'!$F28,'- 42 -'!$H28,B28,D28)</f>
        <v>16223921</v>
      </c>
      <c r="G28" s="70">
        <f t="shared" si="2"/>
        <v>55.041369945114759</v>
      </c>
      <c r="I28" s="20">
        <f>SUM('- 41 -'!$H28,F28)</f>
        <v>29475867</v>
      </c>
    </row>
    <row r="29" spans="1:9" ht="14.1" customHeight="1" x14ac:dyDescent="0.2">
      <c r="A29" s="284" t="s">
        <v>127</v>
      </c>
      <c r="B29" s="417">
        <v>3355899</v>
      </c>
      <c r="C29" s="291">
        <f t="shared" si="0"/>
        <v>1.8677794113733091</v>
      </c>
      <c r="D29" s="417">
        <v>991360</v>
      </c>
      <c r="E29" s="291">
        <f t="shared" si="1"/>
        <v>0.55175730773156273</v>
      </c>
      <c r="F29" s="285">
        <f>SUM('- 42 -'!$B29,'- 42 -'!$D29,'- 42 -'!$F29,'- 42 -'!$H29,B29,D29)</f>
        <v>91410069</v>
      </c>
      <c r="G29" s="291">
        <f t="shared" si="2"/>
        <v>50.875739964287824</v>
      </c>
      <c r="I29" s="285">
        <f>SUM('- 41 -'!$H29,F29)</f>
        <v>179673198</v>
      </c>
    </row>
    <row r="30" spans="1:9" ht="14.1" customHeight="1" x14ac:dyDescent="0.2">
      <c r="A30" s="19" t="s">
        <v>128</v>
      </c>
      <c r="B30" s="418">
        <v>0</v>
      </c>
      <c r="C30" s="70">
        <f t="shared" si="0"/>
        <v>0</v>
      </c>
      <c r="D30" s="418">
        <v>69243</v>
      </c>
      <c r="E30" s="70">
        <f t="shared" si="1"/>
        <v>0.44290861682830146</v>
      </c>
      <c r="F30" s="20">
        <f>SUM('- 42 -'!$B30,'- 42 -'!$D30,'- 42 -'!$F30,'- 42 -'!$H30,B30,D30)</f>
        <v>6795642</v>
      </c>
      <c r="G30" s="70">
        <f t="shared" si="2"/>
        <v>43.467908650409605</v>
      </c>
      <c r="I30" s="20">
        <f>SUM('- 41 -'!$H30,F30)</f>
        <v>15633699</v>
      </c>
    </row>
    <row r="31" spans="1:9" ht="14.1" customHeight="1" x14ac:dyDescent="0.2">
      <c r="A31" s="284" t="s">
        <v>129</v>
      </c>
      <c r="B31" s="417">
        <v>20000</v>
      </c>
      <c r="C31" s="291">
        <f t="shared" si="0"/>
        <v>4.7467352133205354E-2</v>
      </c>
      <c r="D31" s="417">
        <v>172090</v>
      </c>
      <c r="E31" s="291">
        <f t="shared" si="1"/>
        <v>0.40843283143016551</v>
      </c>
      <c r="F31" s="285">
        <f>SUM('- 42 -'!$B31,'- 42 -'!$D31,'- 42 -'!$F31,'- 42 -'!$H31,B31,D31)</f>
        <v>18532849</v>
      </c>
      <c r="G31" s="291">
        <f t="shared" si="2"/>
        <v>43.985263475726136</v>
      </c>
      <c r="I31" s="285">
        <f>SUM('- 41 -'!$H31,F31)</f>
        <v>42134223</v>
      </c>
    </row>
    <row r="32" spans="1:9" ht="14.1" customHeight="1" x14ac:dyDescent="0.2">
      <c r="A32" s="19" t="s">
        <v>130</v>
      </c>
      <c r="B32" s="418">
        <v>1535</v>
      </c>
      <c r="C32" s="70">
        <f t="shared" si="0"/>
        <v>4.8782424064436527E-3</v>
      </c>
      <c r="D32" s="418">
        <v>98210</v>
      </c>
      <c r="E32" s="70">
        <f t="shared" si="1"/>
        <v>0.31211217376992256</v>
      </c>
      <c r="F32" s="20">
        <f>SUM('- 42 -'!$B32,'- 42 -'!$D32,'- 42 -'!$F32,'- 42 -'!$H32,B32,D32)</f>
        <v>14696509</v>
      </c>
      <c r="G32" s="70">
        <f t="shared" si="2"/>
        <v>46.705624384678046</v>
      </c>
      <c r="I32" s="20">
        <f>SUM('- 41 -'!$H32,F32)</f>
        <v>31466251</v>
      </c>
    </row>
    <row r="33" spans="1:9" ht="14.1" customHeight="1" x14ac:dyDescent="0.2">
      <c r="A33" s="284" t="s">
        <v>131</v>
      </c>
      <c r="B33" s="417">
        <v>190484</v>
      </c>
      <c r="C33" s="291">
        <f t="shared" si="0"/>
        <v>0.65363792239194063</v>
      </c>
      <c r="D33" s="417">
        <v>141114</v>
      </c>
      <c r="E33" s="291">
        <f t="shared" si="1"/>
        <v>0.48422682104752268</v>
      </c>
      <c r="F33" s="285">
        <f>SUM('- 42 -'!$B33,'- 42 -'!$D33,'- 42 -'!$F33,'- 42 -'!$H33,B33,D33)</f>
        <v>12421982</v>
      </c>
      <c r="G33" s="291">
        <f t="shared" si="2"/>
        <v>42.625514512872911</v>
      </c>
      <c r="I33" s="285">
        <f>SUM('- 41 -'!$H33,F33)</f>
        <v>29142128</v>
      </c>
    </row>
    <row r="34" spans="1:9" ht="14.1" customHeight="1" x14ac:dyDescent="0.2">
      <c r="A34" s="19" t="s">
        <v>132</v>
      </c>
      <c r="B34" s="418">
        <v>232669</v>
      </c>
      <c r="C34" s="70">
        <f t="shared" si="0"/>
        <v>0.71535718004846194</v>
      </c>
      <c r="D34" s="418">
        <v>106687</v>
      </c>
      <c r="E34" s="70">
        <f t="shared" si="1"/>
        <v>0.32801667376328714</v>
      </c>
      <c r="F34" s="20">
        <f>SUM('- 42 -'!$B34,'- 42 -'!$D34,'- 42 -'!$F34,'- 42 -'!$H34,B34,D34)</f>
        <v>16943833</v>
      </c>
      <c r="G34" s="70">
        <f t="shared" si="2"/>
        <v>52.095004465966987</v>
      </c>
      <c r="I34" s="20">
        <f>SUM('- 41 -'!$H34,F34)</f>
        <v>32524871</v>
      </c>
    </row>
    <row r="35" spans="1:9" ht="14.1" customHeight="1" x14ac:dyDescent="0.2">
      <c r="A35" s="284" t="s">
        <v>133</v>
      </c>
      <c r="B35" s="417">
        <v>1628227</v>
      </c>
      <c r="C35" s="291">
        <f t="shared" si="0"/>
        <v>0.81152105541243225</v>
      </c>
      <c r="D35" s="417">
        <v>504516</v>
      </c>
      <c r="E35" s="291">
        <f t="shared" si="1"/>
        <v>0.2514547153391134</v>
      </c>
      <c r="F35" s="285">
        <f>SUM('- 42 -'!$B35,'- 42 -'!$D35,'- 42 -'!$F35,'- 42 -'!$H35,B35,D35)</f>
        <v>71687732</v>
      </c>
      <c r="G35" s="291">
        <f t="shared" si="2"/>
        <v>35.729725605068332</v>
      </c>
      <c r="I35" s="285">
        <f>SUM('- 41 -'!$H35,F35)</f>
        <v>200638910</v>
      </c>
    </row>
    <row r="36" spans="1:9" ht="14.1" customHeight="1" x14ac:dyDescent="0.2">
      <c r="A36" s="19" t="s">
        <v>134</v>
      </c>
      <c r="B36" s="418">
        <v>55226</v>
      </c>
      <c r="C36" s="70">
        <f t="shared" si="0"/>
        <v>0.22242323073830569</v>
      </c>
      <c r="D36" s="418">
        <v>66354</v>
      </c>
      <c r="E36" s="70">
        <f t="shared" si="1"/>
        <v>0.26724135465921006</v>
      </c>
      <c r="F36" s="20">
        <f>SUM('- 42 -'!$B36,'- 42 -'!$D36,'- 42 -'!$F36,'- 42 -'!$H36,B36,D36)</f>
        <v>11427746</v>
      </c>
      <c r="G36" s="70">
        <f t="shared" si="2"/>
        <v>46.025353735138339</v>
      </c>
      <c r="I36" s="20">
        <f>SUM('- 41 -'!$H36,F36)</f>
        <v>24829241</v>
      </c>
    </row>
    <row r="37" spans="1:9" ht="14.1" customHeight="1" x14ac:dyDescent="0.2">
      <c r="A37" s="284" t="s">
        <v>135</v>
      </c>
      <c r="B37" s="417">
        <v>51210</v>
      </c>
      <c r="C37" s="291">
        <f t="shared" si="0"/>
        <v>9.0984778305220615E-2</v>
      </c>
      <c r="D37" s="417">
        <v>110871</v>
      </c>
      <c r="E37" s="291">
        <f t="shared" si="1"/>
        <v>0.19698444357504619</v>
      </c>
      <c r="F37" s="285">
        <f>SUM('- 42 -'!$B37,'- 42 -'!$D37,'- 42 -'!$F37,'- 42 -'!$H37,B37,D37)</f>
        <v>18210945</v>
      </c>
      <c r="G37" s="291">
        <f t="shared" si="2"/>
        <v>32.355375777261585</v>
      </c>
      <c r="I37" s="285">
        <f>SUM('- 41 -'!$H37,F37)</f>
        <v>56284140</v>
      </c>
    </row>
    <row r="38" spans="1:9" ht="14.1" customHeight="1" x14ac:dyDescent="0.2">
      <c r="A38" s="19" t="s">
        <v>136</v>
      </c>
      <c r="B38" s="418">
        <v>1884421</v>
      </c>
      <c r="C38" s="70">
        <f t="shared" si="0"/>
        <v>1.2356292166426255</v>
      </c>
      <c r="D38" s="418">
        <v>312482</v>
      </c>
      <c r="E38" s="70">
        <f t="shared" si="1"/>
        <v>0.20489682978215634</v>
      </c>
      <c r="F38" s="20">
        <f>SUM('- 42 -'!$B38,'- 42 -'!$D38,'- 42 -'!$F38,'- 42 -'!$H38,B38,D38)</f>
        <v>53099602</v>
      </c>
      <c r="G38" s="70">
        <f t="shared" si="2"/>
        <v>34.817813866060284</v>
      </c>
      <c r="I38" s="20">
        <f>SUM('- 41 -'!$H38,F38)</f>
        <v>152506996</v>
      </c>
    </row>
    <row r="39" spans="1:9" ht="14.1" customHeight="1" x14ac:dyDescent="0.2">
      <c r="A39" s="284" t="s">
        <v>137</v>
      </c>
      <c r="B39" s="417">
        <v>0</v>
      </c>
      <c r="C39" s="291">
        <f t="shared" si="0"/>
        <v>0</v>
      </c>
      <c r="D39" s="417">
        <v>87465</v>
      </c>
      <c r="E39" s="291">
        <f t="shared" si="1"/>
        <v>0.36808458947047873</v>
      </c>
      <c r="F39" s="285">
        <f>SUM('- 42 -'!$B39,'- 42 -'!$D39,'- 42 -'!$F39,'- 42 -'!$H39,B39,D39)</f>
        <v>12055127</v>
      </c>
      <c r="G39" s="291">
        <f t="shared" si="2"/>
        <v>50.732366921734226</v>
      </c>
      <c r="I39" s="285">
        <f>SUM('- 41 -'!$H39,F39)</f>
        <v>23762201</v>
      </c>
    </row>
    <row r="40" spans="1:9" ht="14.1" customHeight="1" x14ac:dyDescent="0.2">
      <c r="A40" s="19" t="s">
        <v>138</v>
      </c>
      <c r="B40" s="418">
        <v>2220175</v>
      </c>
      <c r="C40" s="70">
        <f t="shared" si="0"/>
        <v>1.9834141577896895</v>
      </c>
      <c r="D40" s="418">
        <v>764061</v>
      </c>
      <c r="E40" s="70">
        <f t="shared" si="1"/>
        <v>0.68258105996822227</v>
      </c>
      <c r="F40" s="20">
        <f>SUM('- 42 -'!$B40,'- 42 -'!$D40,'- 42 -'!$F40,'- 42 -'!$H40,B40,D40)</f>
        <v>55764874</v>
      </c>
      <c r="G40" s="70">
        <f t="shared" si="2"/>
        <v>49.818073169438513</v>
      </c>
      <c r="I40" s="20">
        <f>SUM('- 41 -'!$H40,F40)</f>
        <v>111937035</v>
      </c>
    </row>
    <row r="41" spans="1:9" ht="14.1" customHeight="1" x14ac:dyDescent="0.2">
      <c r="A41" s="284" t="s">
        <v>139</v>
      </c>
      <c r="B41" s="417">
        <v>38602</v>
      </c>
      <c r="C41" s="291">
        <f t="shared" si="0"/>
        <v>5.7077223848526669E-2</v>
      </c>
      <c r="D41" s="417">
        <v>164469</v>
      </c>
      <c r="E41" s="291">
        <f t="shared" si="1"/>
        <v>0.24318516991718911</v>
      </c>
      <c r="F41" s="285">
        <f>SUM('- 42 -'!$B41,'- 42 -'!$D41,'- 42 -'!$F41,'- 42 -'!$H41,B41,D41)</f>
        <v>30505183</v>
      </c>
      <c r="G41" s="291">
        <f t="shared" si="2"/>
        <v>45.105205912420871</v>
      </c>
      <c r="I41" s="285">
        <f>SUM('- 41 -'!$H41,F41)</f>
        <v>67631180</v>
      </c>
    </row>
    <row r="42" spans="1:9" ht="14.1" customHeight="1" x14ac:dyDescent="0.2">
      <c r="A42" s="19" t="s">
        <v>140</v>
      </c>
      <c r="B42" s="418">
        <v>234133</v>
      </c>
      <c r="C42" s="70">
        <f t="shared" si="0"/>
        <v>1.0920044267285753</v>
      </c>
      <c r="D42" s="418">
        <v>252229</v>
      </c>
      <c r="E42" s="70">
        <f t="shared" si="1"/>
        <v>1.1764047979111094</v>
      </c>
      <c r="F42" s="20">
        <f>SUM('- 42 -'!$B42,'- 42 -'!$D42,'- 42 -'!$F42,'- 42 -'!$H42,B42,D42)</f>
        <v>7125045</v>
      </c>
      <c r="G42" s="70">
        <f t="shared" si="2"/>
        <v>33.231456824284919</v>
      </c>
      <c r="I42" s="20">
        <f>SUM('- 41 -'!$H42,F42)</f>
        <v>21440664</v>
      </c>
    </row>
    <row r="43" spans="1:9" ht="14.1" customHeight="1" x14ac:dyDescent="0.2">
      <c r="A43" s="284" t="s">
        <v>141</v>
      </c>
      <c r="B43" s="417">
        <v>2200</v>
      </c>
      <c r="C43" s="291">
        <f t="shared" si="0"/>
        <v>1.5924840543485853E-2</v>
      </c>
      <c r="D43" s="417">
        <v>26114</v>
      </c>
      <c r="E43" s="291">
        <f t="shared" si="1"/>
        <v>0.18902785725117707</v>
      </c>
      <c r="F43" s="285">
        <f>SUM('- 42 -'!$B43,'- 42 -'!$D43,'- 42 -'!$F43,'- 42 -'!$H43,B43,D43)</f>
        <v>6231534</v>
      </c>
      <c r="G43" s="291">
        <f t="shared" si="2"/>
        <v>45.107356950595715</v>
      </c>
      <c r="I43" s="285">
        <f>SUM('- 41 -'!$H43,F43)</f>
        <v>13814895</v>
      </c>
    </row>
    <row r="44" spans="1:9" ht="14.1" customHeight="1" x14ac:dyDescent="0.2">
      <c r="A44" s="19" t="s">
        <v>142</v>
      </c>
      <c r="B44" s="418">
        <v>0</v>
      </c>
      <c r="C44" s="70">
        <f t="shared" si="0"/>
        <v>0</v>
      </c>
      <c r="D44" s="418">
        <v>21045</v>
      </c>
      <c r="E44" s="70">
        <f t="shared" si="1"/>
        <v>0.18484916676899465</v>
      </c>
      <c r="F44" s="20">
        <f>SUM('- 42 -'!$B44,'- 42 -'!$D44,'- 42 -'!$F44,'- 42 -'!$H44,B44,D44)</f>
        <v>2862691</v>
      </c>
      <c r="G44" s="70">
        <f t="shared" si="2"/>
        <v>25.144502070187695</v>
      </c>
      <c r="I44" s="20">
        <f>SUM('- 41 -'!$H44,F44)</f>
        <v>11384958</v>
      </c>
    </row>
    <row r="45" spans="1:9" ht="14.1" customHeight="1" x14ac:dyDescent="0.2">
      <c r="A45" s="284" t="s">
        <v>143</v>
      </c>
      <c r="B45" s="417">
        <v>186890</v>
      </c>
      <c r="C45" s="291">
        <f t="shared" si="0"/>
        <v>0.8506564674675221</v>
      </c>
      <c r="D45" s="417">
        <v>70325</v>
      </c>
      <c r="E45" s="291">
        <f t="shared" si="1"/>
        <v>0.32009425905427519</v>
      </c>
      <c r="F45" s="285">
        <f>SUM('- 42 -'!$B45,'- 42 -'!$D45,'- 42 -'!$F45,'- 42 -'!$H45,B45,D45)</f>
        <v>7687510</v>
      </c>
      <c r="G45" s="291">
        <f t="shared" si="2"/>
        <v>34.99079726160442</v>
      </c>
      <c r="I45" s="285">
        <f>SUM('- 41 -'!$H45,F45)</f>
        <v>21970091</v>
      </c>
    </row>
    <row r="46" spans="1:9" ht="14.1" customHeight="1" x14ac:dyDescent="0.2">
      <c r="A46" s="19" t="s">
        <v>144</v>
      </c>
      <c r="B46" s="418">
        <v>2279616</v>
      </c>
      <c r="C46" s="70">
        <f t="shared" si="0"/>
        <v>0.54599015665407724</v>
      </c>
      <c r="D46" s="418">
        <v>1303783</v>
      </c>
      <c r="E46" s="70">
        <f t="shared" si="1"/>
        <v>0.31226868227496329</v>
      </c>
      <c r="F46" s="20">
        <f>SUM('- 42 -'!$B46,'- 42 -'!$D46,'- 42 -'!$F46,'- 42 -'!$H46,B46,D46)</f>
        <v>173739256</v>
      </c>
      <c r="G46" s="70">
        <f t="shared" si="2"/>
        <v>41.612238026230216</v>
      </c>
      <c r="I46" s="20">
        <f>SUM('- 41 -'!$H46,F46)</f>
        <v>417519615</v>
      </c>
    </row>
    <row r="47" spans="1:9" ht="5.0999999999999996" customHeight="1" x14ac:dyDescent="0.2">
      <c r="A47" s="21"/>
      <c r="B47" s="22"/>
      <c r="C47"/>
      <c r="D47" s="22"/>
      <c r="E47"/>
      <c r="F47" s="22"/>
      <c r="G47"/>
      <c r="I47" s="22"/>
    </row>
    <row r="48" spans="1:9" ht="14.1" customHeight="1" x14ac:dyDescent="0.2">
      <c r="A48" s="286" t="s">
        <v>145</v>
      </c>
      <c r="B48" s="421">
        <f>SUM(B11:B46)</f>
        <v>29150628</v>
      </c>
      <c r="C48" s="294">
        <f>B48/I48*100</f>
        <v>1.1645379737978423</v>
      </c>
      <c r="D48" s="421">
        <f>SUM(D11:D46)</f>
        <v>10227256</v>
      </c>
      <c r="E48" s="294">
        <f>D48/I48*100</f>
        <v>0.40856848709234767</v>
      </c>
      <c r="F48" s="287">
        <f>SUM(F11:F46)</f>
        <v>1042239699</v>
      </c>
      <c r="G48" s="294">
        <f>F48/I48*100</f>
        <v>41.636417139456931</v>
      </c>
      <c r="I48" s="287">
        <f>SUM(I11:I46)</f>
        <v>2503192567</v>
      </c>
    </row>
    <row r="49" spans="1:9" ht="5.0999999999999996" customHeight="1" x14ac:dyDescent="0.2">
      <c r="A49" s="21" t="s">
        <v>7</v>
      </c>
      <c r="B49" s="22"/>
      <c r="C49"/>
      <c r="D49" s="22"/>
      <c r="E49"/>
      <c r="F49" s="22"/>
      <c r="G49"/>
      <c r="I49" s="22"/>
    </row>
    <row r="50" spans="1:9" ht="14.1" customHeight="1" x14ac:dyDescent="0.2">
      <c r="A50" s="19" t="s">
        <v>146</v>
      </c>
      <c r="B50" s="418">
        <v>43093</v>
      </c>
      <c r="C50" s="70">
        <f>B50/I50*100</f>
        <v>1.1744944492715861</v>
      </c>
      <c r="D50" s="418">
        <v>71299</v>
      </c>
      <c r="E50" s="70">
        <f>D50/I50*100</f>
        <v>1.9432455326529792</v>
      </c>
      <c r="F50" s="20">
        <f>SUM('- 42 -'!$B50,'- 42 -'!$D50,'- 42 -'!$F50,'- 42 -'!$H50,B50,D50)</f>
        <v>2247638</v>
      </c>
      <c r="G50" s="70">
        <f>F50/I50*100</f>
        <v>61.259099040955356</v>
      </c>
      <c r="I50" s="20">
        <f>SUM('- 41 -'!$H50,F50)</f>
        <v>3669068</v>
      </c>
    </row>
    <row r="51" spans="1:9" ht="14.1" customHeight="1" x14ac:dyDescent="0.2">
      <c r="A51" s="284" t="s">
        <v>599</v>
      </c>
      <c r="B51" s="417">
        <v>18618405</v>
      </c>
      <c r="C51" s="291">
        <f>B51/I51*100</f>
        <v>55.16374354270399</v>
      </c>
      <c r="D51" s="417">
        <v>652298</v>
      </c>
      <c r="E51" s="291">
        <f>D51/I51*100</f>
        <v>1.9326682164996802</v>
      </c>
      <c r="F51" s="285">
        <f>SUM('- 42 -'!$B51,'- 42 -'!$D51,'- 42 -'!$F51,'- 42 -'!$H51,B51,D51)</f>
        <v>23515831</v>
      </c>
      <c r="G51" s="291">
        <f>F51/I51*100</f>
        <v>69.674135377201679</v>
      </c>
      <c r="I51" s="285">
        <f>SUM('- 41 -'!$H51,F51)</f>
        <v>33751163</v>
      </c>
    </row>
    <row r="52" spans="1:9" ht="50.1" customHeight="1" x14ac:dyDescent="0.2"/>
  </sheetData>
  <mergeCells count="4">
    <mergeCell ref="B6:C8"/>
    <mergeCell ref="D8:E8"/>
    <mergeCell ref="F6:G8"/>
    <mergeCell ref="I6:I8"/>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E58"/>
  <sheetViews>
    <sheetView showGridLines="0" showZeros="0" workbookViewId="0"/>
  </sheetViews>
  <sheetFormatPr defaultColWidth="15.83203125" defaultRowHeight="12" x14ac:dyDescent="0.2"/>
  <cols>
    <col min="1" max="1" width="37.33203125" style="2" customWidth="1"/>
    <col min="2" max="2" width="23.6640625" style="2" customWidth="1"/>
    <col min="3" max="3" width="25.1640625" style="2" customWidth="1"/>
    <col min="4" max="4" width="22.6640625" style="2" customWidth="1"/>
    <col min="5" max="5" width="17.1640625" style="2" customWidth="1"/>
    <col min="6" max="16384" width="15.83203125" style="2"/>
  </cols>
  <sheetData>
    <row r="1" spans="1:5" ht="6.95" customHeight="1" x14ac:dyDescent="0.2">
      <c r="A1" s="7"/>
    </row>
    <row r="2" spans="1:5" ht="14.1" customHeight="1" x14ac:dyDescent="0.2">
      <c r="A2" s="63"/>
      <c r="B2" s="447" t="s">
        <v>223</v>
      </c>
      <c r="C2" s="208"/>
      <c r="D2" s="208"/>
      <c r="E2" s="209"/>
    </row>
    <row r="3" spans="1:5" ht="14.1" customHeight="1" x14ac:dyDescent="0.2">
      <c r="A3" s="542"/>
      <c r="B3" s="23"/>
      <c r="C3" s="448" t="str">
        <f>"FOR THE YEAR ENDED JUNE 30, "&amp;SPRINGYR</f>
        <v>FOR THE YEAR ENDED JUNE 30, 2020</v>
      </c>
      <c r="D3" s="211"/>
      <c r="E3" s="212"/>
    </row>
    <row r="7" spans="1:5" ht="13.5" x14ac:dyDescent="0.2">
      <c r="B7" s="697" t="s">
        <v>382</v>
      </c>
      <c r="C7" s="698"/>
      <c r="D7" s="740"/>
      <c r="E7" s="645" t="str">
        <f>"% OF "&amp;FALLYR&amp;"/"&amp;SPRINGYR&amp;" OPERATING"</f>
        <v>% OF 2019/2020 OPERATING</v>
      </c>
    </row>
    <row r="8" spans="1:5" x14ac:dyDescent="0.2">
      <c r="A8" s="67"/>
      <c r="B8" s="338"/>
      <c r="C8" s="375"/>
      <c r="D8" s="375"/>
      <c r="E8" s="741"/>
    </row>
    <row r="9" spans="1:5" ht="14.25" x14ac:dyDescent="0.2">
      <c r="A9" s="35" t="s">
        <v>42</v>
      </c>
      <c r="B9" s="445" t="s">
        <v>379</v>
      </c>
      <c r="C9" s="445" t="s">
        <v>276</v>
      </c>
      <c r="D9" s="505" t="s">
        <v>31</v>
      </c>
      <c r="E9" s="425" t="s">
        <v>380</v>
      </c>
    </row>
    <row r="10" spans="1:5" ht="5.0999999999999996" customHeight="1" x14ac:dyDescent="0.2">
      <c r="A10" s="6"/>
      <c r="B10" s="7"/>
      <c r="C10" s="7"/>
      <c r="D10" s="7"/>
      <c r="E10" s="7"/>
    </row>
    <row r="11" spans="1:5" ht="14.1" customHeight="1" x14ac:dyDescent="0.2">
      <c r="A11" s="284" t="s">
        <v>110</v>
      </c>
      <c r="B11" s="417">
        <v>445796</v>
      </c>
      <c r="C11" s="417">
        <v>824873</v>
      </c>
      <c r="D11" s="285">
        <f>+B11+C11</f>
        <v>1270669</v>
      </c>
      <c r="E11" s="291">
        <f>D11/'- 3 -'!$B11*100</f>
        <v>6.0235887537276218</v>
      </c>
    </row>
    <row r="12" spans="1:5" ht="14.1" customHeight="1" x14ac:dyDescent="0.2">
      <c r="A12" s="19" t="s">
        <v>111</v>
      </c>
      <c r="B12" s="418">
        <v>1794016</v>
      </c>
      <c r="C12" s="418">
        <v>225474</v>
      </c>
      <c r="D12" s="20">
        <f t="shared" ref="D12:D46" si="0">+B12+C12</f>
        <v>2019490</v>
      </c>
      <c r="E12" s="70">
        <f>D12/'- 3 -'!$B12*100</f>
        <v>5.9176790651081541</v>
      </c>
    </row>
    <row r="13" spans="1:5" ht="14.1" customHeight="1" x14ac:dyDescent="0.2">
      <c r="A13" s="284" t="s">
        <v>112</v>
      </c>
      <c r="B13" s="417">
        <v>1520478</v>
      </c>
      <c r="C13" s="417">
        <v>2754927</v>
      </c>
      <c r="D13" s="285">
        <f t="shared" si="0"/>
        <v>4275405</v>
      </c>
      <c r="E13" s="291">
        <f>D13/'- 3 -'!$B13*100</f>
        <v>4.08668889920708</v>
      </c>
    </row>
    <row r="14" spans="1:5" ht="14.1" customHeight="1" x14ac:dyDescent="0.2">
      <c r="A14" s="19" t="s">
        <v>358</v>
      </c>
      <c r="B14" s="418">
        <v>7748230</v>
      </c>
      <c r="C14" s="418">
        <v>608331</v>
      </c>
      <c r="D14" s="20">
        <f t="shared" si="0"/>
        <v>8356561</v>
      </c>
      <c r="E14" s="70">
        <f>D14/'- 3 -'!$B14*100</f>
        <v>9.2303371092443207</v>
      </c>
    </row>
    <row r="15" spans="1:5" ht="14.1" customHeight="1" x14ac:dyDescent="0.2">
      <c r="A15" s="284" t="s">
        <v>113</v>
      </c>
      <c r="B15" s="417">
        <v>1060325</v>
      </c>
      <c r="C15" s="417">
        <v>1230260</v>
      </c>
      <c r="D15" s="285">
        <f t="shared" si="0"/>
        <v>2290585</v>
      </c>
      <c r="E15" s="291">
        <f>D15/'- 3 -'!$B15*100</f>
        <v>11.575757679892879</v>
      </c>
    </row>
    <row r="16" spans="1:5" ht="14.1" customHeight="1" x14ac:dyDescent="0.2">
      <c r="A16" s="19" t="s">
        <v>114</v>
      </c>
      <c r="B16" s="418">
        <v>678397</v>
      </c>
      <c r="C16" s="418">
        <v>247189</v>
      </c>
      <c r="D16" s="20">
        <f t="shared" si="0"/>
        <v>925586</v>
      </c>
      <c r="E16" s="70">
        <f>D16/'- 3 -'!$B16*100</f>
        <v>6.4395964922313889</v>
      </c>
    </row>
    <row r="17" spans="1:5" ht="14.1" customHeight="1" x14ac:dyDescent="0.2">
      <c r="A17" s="284" t="s">
        <v>115</v>
      </c>
      <c r="B17" s="417">
        <v>897609</v>
      </c>
      <c r="C17" s="417">
        <v>705054</v>
      </c>
      <c r="D17" s="285">
        <f t="shared" si="0"/>
        <v>1602663</v>
      </c>
      <c r="E17" s="291">
        <f>D17/'- 3 -'!$B17*100</f>
        <v>8.8571028453471143</v>
      </c>
    </row>
    <row r="18" spans="1:5" ht="14.1" customHeight="1" x14ac:dyDescent="0.2">
      <c r="A18" s="19" t="s">
        <v>116</v>
      </c>
      <c r="B18" s="418">
        <v>850000</v>
      </c>
      <c r="C18" s="418">
        <v>4527532</v>
      </c>
      <c r="D18" s="20">
        <f t="shared" si="0"/>
        <v>5377532</v>
      </c>
      <c r="E18" s="70">
        <f>D18/'- 3 -'!$B18*100</f>
        <v>3.9033988889457651</v>
      </c>
    </row>
    <row r="19" spans="1:5" ht="14.1" customHeight="1" x14ac:dyDescent="0.2">
      <c r="A19" s="284" t="s">
        <v>117</v>
      </c>
      <c r="B19" s="417">
        <v>1352964</v>
      </c>
      <c r="C19" s="417">
        <v>1330502.4900000021</v>
      </c>
      <c r="D19" s="285">
        <f t="shared" si="0"/>
        <v>2683466.4900000021</v>
      </c>
      <c r="E19" s="291">
        <f>D19/'- 3 -'!$B19*100</f>
        <v>5.3507143228018732</v>
      </c>
    </row>
    <row r="20" spans="1:5" ht="14.1" customHeight="1" x14ac:dyDescent="0.2">
      <c r="A20" s="19" t="s">
        <v>118</v>
      </c>
      <c r="B20" s="418">
        <v>3039134</v>
      </c>
      <c r="C20" s="418">
        <v>1170338</v>
      </c>
      <c r="D20" s="20">
        <f t="shared" si="0"/>
        <v>4209472</v>
      </c>
      <c r="E20" s="70">
        <f>D20/'- 3 -'!$B20*100</f>
        <v>4.6410150690169667</v>
      </c>
    </row>
    <row r="21" spans="1:5" ht="14.1" customHeight="1" x14ac:dyDescent="0.2">
      <c r="A21" s="284" t="s">
        <v>119</v>
      </c>
      <c r="B21" s="417">
        <v>988000</v>
      </c>
      <c r="C21" s="417">
        <v>394294</v>
      </c>
      <c r="D21" s="285">
        <f t="shared" si="0"/>
        <v>1382294</v>
      </c>
      <c r="E21" s="291">
        <f>D21/'- 3 -'!$B21*100</f>
        <v>3.6361958549923101</v>
      </c>
    </row>
    <row r="22" spans="1:5" ht="14.1" customHeight="1" x14ac:dyDescent="0.2">
      <c r="A22" s="19" t="s">
        <v>120</v>
      </c>
      <c r="B22" s="418">
        <v>0</v>
      </c>
      <c r="C22" s="418">
        <v>266366</v>
      </c>
      <c r="D22" s="20">
        <f t="shared" si="0"/>
        <v>266366</v>
      </c>
      <c r="E22" s="70">
        <f>D22/'- 3 -'!$B22*100</f>
        <v>1.2898687633131545</v>
      </c>
    </row>
    <row r="23" spans="1:5" ht="14.1" customHeight="1" x14ac:dyDescent="0.2">
      <c r="A23" s="284" t="s">
        <v>121</v>
      </c>
      <c r="B23" s="417">
        <v>301632</v>
      </c>
      <c r="C23" s="417">
        <v>875845</v>
      </c>
      <c r="D23" s="285">
        <f t="shared" si="0"/>
        <v>1177477</v>
      </c>
      <c r="E23" s="291">
        <f>D23/'- 3 -'!$B23*100</f>
        <v>7.5438084400303893</v>
      </c>
    </row>
    <row r="24" spans="1:5" ht="14.1" customHeight="1" x14ac:dyDescent="0.2">
      <c r="A24" s="19" t="s">
        <v>122</v>
      </c>
      <c r="B24" s="418">
        <v>1212300</v>
      </c>
      <c r="C24" s="418">
        <v>162684</v>
      </c>
      <c r="D24" s="20">
        <f t="shared" si="0"/>
        <v>1374984</v>
      </c>
      <c r="E24" s="70">
        <f>D24/'- 3 -'!$B24*100</f>
        <v>2.345399688049683</v>
      </c>
    </row>
    <row r="25" spans="1:5" ht="14.1" customHeight="1" x14ac:dyDescent="0.2">
      <c r="A25" s="284" t="s">
        <v>123</v>
      </c>
      <c r="B25" s="417">
        <v>844998</v>
      </c>
      <c r="C25" s="417">
        <v>9504265</v>
      </c>
      <c r="D25" s="285">
        <f t="shared" si="0"/>
        <v>10349263</v>
      </c>
      <c r="E25" s="291">
        <f>D25/'- 3 -'!$B25*100</f>
        <v>5.3040712050363137</v>
      </c>
    </row>
    <row r="26" spans="1:5" ht="14.1" customHeight="1" x14ac:dyDescent="0.2">
      <c r="A26" s="19" t="s">
        <v>124</v>
      </c>
      <c r="B26" s="418">
        <v>0</v>
      </c>
      <c r="C26" s="418">
        <v>1497876</v>
      </c>
      <c r="D26" s="20">
        <f t="shared" si="0"/>
        <v>1497876</v>
      </c>
      <c r="E26" s="70">
        <f>D26/'- 3 -'!$B26*100</f>
        <v>3.6611413807629716</v>
      </c>
    </row>
    <row r="27" spans="1:5" ht="14.1" customHeight="1" x14ac:dyDescent="0.2">
      <c r="A27" s="284" t="s">
        <v>125</v>
      </c>
      <c r="B27" s="417">
        <v>2640205</v>
      </c>
      <c r="C27" s="417">
        <v>1794166</v>
      </c>
      <c r="D27" s="285">
        <f t="shared" si="0"/>
        <v>4434371</v>
      </c>
      <c r="E27" s="291">
        <f>D27/'- 3 -'!$B27*100</f>
        <v>10.647509380381686</v>
      </c>
    </row>
    <row r="28" spans="1:5" ht="14.1" customHeight="1" x14ac:dyDescent="0.2">
      <c r="A28" s="19" t="s">
        <v>126</v>
      </c>
      <c r="B28" s="418">
        <v>637750</v>
      </c>
      <c r="C28" s="418">
        <v>545660</v>
      </c>
      <c r="D28" s="20">
        <f t="shared" si="0"/>
        <v>1183410</v>
      </c>
      <c r="E28" s="70">
        <f>D28/'- 3 -'!$B28*100</f>
        <v>4.176051734894167</v>
      </c>
    </row>
    <row r="29" spans="1:5" ht="14.1" customHeight="1" x14ac:dyDescent="0.2">
      <c r="A29" s="284" t="s">
        <v>127</v>
      </c>
      <c r="B29" s="417">
        <v>9405339</v>
      </c>
      <c r="C29" s="417">
        <v>3323200</v>
      </c>
      <c r="D29" s="285">
        <f t="shared" si="0"/>
        <v>12728539</v>
      </c>
      <c r="E29" s="291">
        <f>D29/'- 3 -'!$B29*100</f>
        <v>7.4400262424004966</v>
      </c>
    </row>
    <row r="30" spans="1:5" ht="14.1" customHeight="1" x14ac:dyDescent="0.2">
      <c r="A30" s="19" t="s">
        <v>128</v>
      </c>
      <c r="B30" s="418">
        <v>0</v>
      </c>
      <c r="C30" s="418">
        <v>561071</v>
      </c>
      <c r="D30" s="20">
        <f t="shared" si="0"/>
        <v>561071</v>
      </c>
      <c r="E30" s="70">
        <f>D30/'- 3 -'!$B30*100</f>
        <v>3.5980648067346221</v>
      </c>
    </row>
    <row r="31" spans="1:5" ht="14.1" customHeight="1" x14ac:dyDescent="0.2">
      <c r="A31" s="284" t="s">
        <v>129</v>
      </c>
      <c r="B31" s="417">
        <v>252641</v>
      </c>
      <c r="C31" s="417">
        <v>1592816</v>
      </c>
      <c r="D31" s="285">
        <f t="shared" si="0"/>
        <v>1845457</v>
      </c>
      <c r="E31" s="291">
        <f>D31/'- 3 -'!$B31*100</f>
        <v>4.6128096572163892</v>
      </c>
    </row>
    <row r="32" spans="1:5" ht="14.1" customHeight="1" x14ac:dyDescent="0.2">
      <c r="A32" s="19" t="s">
        <v>130</v>
      </c>
      <c r="B32" s="418">
        <v>977611</v>
      </c>
      <c r="C32" s="418">
        <v>1727486</v>
      </c>
      <c r="D32" s="20">
        <f t="shared" si="0"/>
        <v>2705097</v>
      </c>
      <c r="E32" s="70">
        <f>D32/'- 3 -'!$B32*100</f>
        <v>8.8535745573690559</v>
      </c>
    </row>
    <row r="33" spans="1:5" ht="14.1" customHeight="1" x14ac:dyDescent="0.2">
      <c r="A33" s="284" t="s">
        <v>131</v>
      </c>
      <c r="B33" s="417">
        <v>1008137</v>
      </c>
      <c r="C33" s="417">
        <v>748886</v>
      </c>
      <c r="D33" s="285">
        <f t="shared" si="0"/>
        <v>1757023</v>
      </c>
      <c r="E33" s="291">
        <f>D33/'- 3 -'!$B33*100</f>
        <v>6.236451778696531</v>
      </c>
    </row>
    <row r="34" spans="1:5" ht="14.1" customHeight="1" x14ac:dyDescent="0.2">
      <c r="A34" s="19" t="s">
        <v>132</v>
      </c>
      <c r="B34" s="418">
        <v>1546891</v>
      </c>
      <c r="C34" s="418">
        <v>616989</v>
      </c>
      <c r="D34" s="20">
        <f t="shared" si="0"/>
        <v>2163880</v>
      </c>
      <c r="E34" s="70">
        <f>D34/'- 3 -'!$B34*100</f>
        <v>7.0255908024851443</v>
      </c>
    </row>
    <row r="35" spans="1:5" ht="14.1" customHeight="1" x14ac:dyDescent="0.2">
      <c r="A35" s="284" t="s">
        <v>133</v>
      </c>
      <c r="B35" s="417">
        <v>10891320</v>
      </c>
      <c r="C35" s="417">
        <v>2153040</v>
      </c>
      <c r="D35" s="285">
        <f t="shared" si="0"/>
        <v>13044360</v>
      </c>
      <c r="E35" s="291">
        <f>D35/'- 3 -'!$B35*100</f>
        <v>6.7835739655363811</v>
      </c>
    </row>
    <row r="36" spans="1:5" ht="14.1" customHeight="1" x14ac:dyDescent="0.2">
      <c r="A36" s="19" t="s">
        <v>134</v>
      </c>
      <c r="B36" s="418">
        <v>680036</v>
      </c>
      <c r="C36" s="418">
        <v>998873</v>
      </c>
      <c r="D36" s="20">
        <f t="shared" si="0"/>
        <v>1678909</v>
      </c>
      <c r="E36" s="70">
        <f>D36/'- 3 -'!$B36*100</f>
        <v>7.0006089483889973</v>
      </c>
    </row>
    <row r="37" spans="1:5" ht="14.1" customHeight="1" x14ac:dyDescent="0.2">
      <c r="A37" s="284" t="s">
        <v>135</v>
      </c>
      <c r="B37" s="417">
        <v>1401330</v>
      </c>
      <c r="C37" s="417">
        <v>588146</v>
      </c>
      <c r="D37" s="285">
        <f t="shared" si="0"/>
        <v>1989476</v>
      </c>
      <c r="E37" s="291">
        <f>D37/'- 3 -'!$B37*100</f>
        <v>3.5878186973180988</v>
      </c>
    </row>
    <row r="38" spans="1:5" ht="14.1" customHeight="1" x14ac:dyDescent="0.2">
      <c r="A38" s="19" t="s">
        <v>136</v>
      </c>
      <c r="B38" s="418">
        <v>6456900</v>
      </c>
      <c r="C38" s="418">
        <v>10617</v>
      </c>
      <c r="D38" s="20">
        <f t="shared" si="0"/>
        <v>6467517</v>
      </c>
      <c r="E38" s="70">
        <f>D38/'- 3 -'!$B38*100</f>
        <v>4.352578190673368</v>
      </c>
    </row>
    <row r="39" spans="1:5" ht="14.1" customHeight="1" x14ac:dyDescent="0.2">
      <c r="A39" s="284" t="s">
        <v>137</v>
      </c>
      <c r="B39" s="417">
        <v>1250000</v>
      </c>
      <c r="C39" s="417">
        <v>932486</v>
      </c>
      <c r="D39" s="285">
        <f t="shared" si="0"/>
        <v>2182486</v>
      </c>
      <c r="E39" s="291">
        <f>D39/'- 3 -'!$B39*100</f>
        <v>9.9294921913654033</v>
      </c>
    </row>
    <row r="40" spans="1:5" ht="14.1" customHeight="1" x14ac:dyDescent="0.2">
      <c r="A40" s="19" t="s">
        <v>138</v>
      </c>
      <c r="B40" s="418">
        <v>1423183</v>
      </c>
      <c r="C40" s="418">
        <v>5138828</v>
      </c>
      <c r="D40" s="20">
        <f t="shared" si="0"/>
        <v>6562011</v>
      </c>
      <c r="E40" s="70">
        <f>D40/'- 3 -'!$B40*100</f>
        <v>6.1397040437443353</v>
      </c>
    </row>
    <row r="41" spans="1:5" ht="14.1" customHeight="1" x14ac:dyDescent="0.2">
      <c r="A41" s="284" t="s">
        <v>139</v>
      </c>
      <c r="B41" s="417">
        <v>1383943</v>
      </c>
      <c r="C41" s="417">
        <v>2314901</v>
      </c>
      <c r="D41" s="285">
        <f t="shared" si="0"/>
        <v>3698844</v>
      </c>
      <c r="E41" s="291">
        <f>D41/'- 3 -'!$B41*100</f>
        <v>5.6846065703667943</v>
      </c>
    </row>
    <row r="42" spans="1:5" ht="14.1" customHeight="1" x14ac:dyDescent="0.2">
      <c r="A42" s="19" t="s">
        <v>140</v>
      </c>
      <c r="B42" s="418">
        <v>573980</v>
      </c>
      <c r="C42" s="418">
        <v>828640</v>
      </c>
      <c r="D42" s="20">
        <f t="shared" si="0"/>
        <v>1402620</v>
      </c>
      <c r="E42" s="70">
        <f>D42/'- 3 -'!$B42*100</f>
        <v>6.8422920990702547</v>
      </c>
    </row>
    <row r="43" spans="1:5" ht="14.1" customHeight="1" x14ac:dyDescent="0.2">
      <c r="A43" s="284" t="s">
        <v>141</v>
      </c>
      <c r="B43" s="417">
        <v>853673</v>
      </c>
      <c r="C43" s="417">
        <v>741528</v>
      </c>
      <c r="D43" s="285">
        <f t="shared" si="0"/>
        <v>1595201</v>
      </c>
      <c r="E43" s="291">
        <f>D43/'- 3 -'!$B43*100</f>
        <v>12.191663343997211</v>
      </c>
    </row>
    <row r="44" spans="1:5" ht="14.1" customHeight="1" x14ac:dyDescent="0.2">
      <c r="A44" s="19" t="s">
        <v>142</v>
      </c>
      <c r="B44" s="418">
        <v>309272</v>
      </c>
      <c r="C44" s="418">
        <v>270446</v>
      </c>
      <c r="D44" s="20">
        <f t="shared" si="0"/>
        <v>579718</v>
      </c>
      <c r="E44" s="70">
        <f>D44/'- 3 -'!$B44*100</f>
        <v>5.3806863582349189</v>
      </c>
    </row>
    <row r="45" spans="1:5" ht="14.1" customHeight="1" x14ac:dyDescent="0.2">
      <c r="A45" s="284" t="s">
        <v>143</v>
      </c>
      <c r="B45" s="417">
        <v>560700</v>
      </c>
      <c r="C45" s="417">
        <v>549701</v>
      </c>
      <c r="D45" s="285">
        <f t="shared" si="0"/>
        <v>1110401</v>
      </c>
      <c r="E45" s="291">
        <f>D45/'- 3 -'!$B45*100</f>
        <v>5.2277070673178256</v>
      </c>
    </row>
    <row r="46" spans="1:5" ht="14.1" customHeight="1" x14ac:dyDescent="0.2">
      <c r="A46" s="19" t="s">
        <v>144</v>
      </c>
      <c r="B46" s="418">
        <v>5927974</v>
      </c>
      <c r="C46" s="418">
        <v>7271565</v>
      </c>
      <c r="D46" s="20">
        <f t="shared" si="0"/>
        <v>13199539</v>
      </c>
      <c r="E46" s="70">
        <f>D46/'- 3 -'!$B46*100</f>
        <v>3.1755432881530923</v>
      </c>
    </row>
    <row r="47" spans="1:5" ht="5.0999999999999996" customHeight="1" x14ac:dyDescent="0.2">
      <c r="A47" s="21"/>
      <c r="B47" s="22"/>
      <c r="C47" s="22"/>
      <c r="D47" s="22"/>
      <c r="E47"/>
    </row>
    <row r="48" spans="1:5" ht="14.1" customHeight="1" x14ac:dyDescent="0.2">
      <c r="A48" s="286" t="s">
        <v>145</v>
      </c>
      <c r="B48" s="421">
        <f>SUM(B11:B46)</f>
        <v>70914764</v>
      </c>
      <c r="C48" s="421">
        <f>SUM(C11:C46)</f>
        <v>59034855.490000002</v>
      </c>
      <c r="D48" s="287">
        <f>SUM(D11:D46)</f>
        <v>129949619.49000001</v>
      </c>
      <c r="E48" s="294">
        <f>D48/'- 3 -'!$B48*100</f>
        <v>5.3435948494308976</v>
      </c>
    </row>
    <row r="49" spans="1:5" ht="5.0999999999999996" customHeight="1" x14ac:dyDescent="0.2">
      <c r="A49" s="21" t="s">
        <v>7</v>
      </c>
      <c r="B49" s="22"/>
      <c r="C49" s="22"/>
      <c r="D49" s="22"/>
      <c r="E49"/>
    </row>
    <row r="50" spans="1:5" ht="14.1" customHeight="1" x14ac:dyDescent="0.2">
      <c r="A50" s="19" t="s">
        <v>146</v>
      </c>
      <c r="B50" s="418">
        <v>0</v>
      </c>
      <c r="C50" s="418">
        <v>966079</v>
      </c>
      <c r="D50" s="20">
        <f t="shared" ref="D50:D51" si="1">+B50+C50</f>
        <v>966079</v>
      </c>
      <c r="E50" s="70">
        <f>D50/'- 3 -'!$B50*100</f>
        <v>30.259309849727519</v>
      </c>
    </row>
    <row r="51" spans="1:5" ht="14.1" customHeight="1" x14ac:dyDescent="0.2">
      <c r="A51" s="284" t="s">
        <v>599</v>
      </c>
      <c r="B51" s="417">
        <v>8201116</v>
      </c>
      <c r="C51" s="417">
        <v>42459</v>
      </c>
      <c r="D51" s="285">
        <f t="shared" si="1"/>
        <v>8243575</v>
      </c>
      <c r="E51" s="291">
        <f>D51/'- 3 -'!$B51*100</f>
        <v>27.144816103488068</v>
      </c>
    </row>
    <row r="52" spans="1:5" ht="50.1" customHeight="1" x14ac:dyDescent="0.2">
      <c r="A52" s="23"/>
      <c r="B52" s="23"/>
      <c r="C52" s="23"/>
      <c r="D52" s="23"/>
      <c r="E52" s="23"/>
    </row>
    <row r="53" spans="1:5" x14ac:dyDescent="0.2">
      <c r="A53" s="38" t="s">
        <v>381</v>
      </c>
      <c r="B53" s="184"/>
      <c r="C53" s="184"/>
      <c r="D53" s="184"/>
      <c r="E53" s="184"/>
    </row>
    <row r="54" spans="1:5" x14ac:dyDescent="0.2">
      <c r="A54" s="626" t="s">
        <v>528</v>
      </c>
      <c r="B54" s="626"/>
      <c r="C54" s="626"/>
      <c r="D54" s="626"/>
      <c r="E54" s="626"/>
    </row>
    <row r="55" spans="1:5" ht="12" customHeight="1" x14ac:dyDescent="0.2">
      <c r="A55" s="626"/>
      <c r="B55" s="626"/>
      <c r="C55" s="626"/>
      <c r="D55" s="626"/>
      <c r="E55" s="626"/>
    </row>
    <row r="56" spans="1:5" ht="12" customHeight="1" x14ac:dyDescent="0.2">
      <c r="A56" s="626" t="s">
        <v>527</v>
      </c>
      <c r="B56" s="626"/>
      <c r="C56" s="626"/>
      <c r="D56" s="626"/>
      <c r="E56" s="626"/>
    </row>
    <row r="57" spans="1:5" ht="12" customHeight="1" x14ac:dyDescent="0.2">
      <c r="A57" s="626"/>
      <c r="B57" s="626"/>
      <c r="C57" s="626"/>
      <c r="D57" s="626"/>
      <c r="E57" s="626"/>
    </row>
    <row r="58" spans="1:5" ht="15" x14ac:dyDescent="0.25">
      <c r="A58" s="525"/>
    </row>
  </sheetData>
  <mergeCells count="4">
    <mergeCell ref="B7:D7"/>
    <mergeCell ref="E7:E8"/>
    <mergeCell ref="A56:E57"/>
    <mergeCell ref="A54:E55"/>
  </mergeCells>
  <phoneticPr fontId="6" type="noConversion"/>
  <pageMargins left="0.51181102362204722" right="0.51181102362204722" top="0.59055118110236227" bottom="0.19685039370078741" header="0.31496062992125984" footer="0.51181102362204722"/>
  <pageSetup scale="90" orientation="portrait" r:id="rId1"/>
  <headerFooter alignWithMargins="0">
    <oddHeader>&amp;C&amp;"Arial,Regular"&amp;11&amp;A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4"/>
  <sheetViews>
    <sheetView showGridLines="0" showZeros="0" workbookViewId="0"/>
  </sheetViews>
  <sheetFormatPr defaultColWidth="12.83203125" defaultRowHeight="12" x14ac:dyDescent="0.2"/>
  <cols>
    <col min="1" max="1" width="29.83203125" style="2" customWidth="1"/>
    <col min="2" max="8" width="14.83203125" style="2" customWidth="1"/>
    <col min="9" max="16384" width="12.83203125" style="2"/>
  </cols>
  <sheetData>
    <row r="1" spans="1:8" ht="6.95" customHeight="1" x14ac:dyDescent="0.2">
      <c r="A1" s="7"/>
      <c r="B1" s="89"/>
      <c r="C1" s="89"/>
      <c r="D1" s="89"/>
      <c r="E1" s="89"/>
      <c r="F1" s="89"/>
      <c r="G1" s="89"/>
      <c r="H1" s="89"/>
    </row>
    <row r="2" spans="1:8" ht="15.95" customHeight="1" x14ac:dyDescent="0.2">
      <c r="A2" s="63"/>
      <c r="B2" s="90" t="s">
        <v>81</v>
      </c>
      <c r="C2" s="91"/>
      <c r="D2" s="91"/>
      <c r="E2" s="91"/>
      <c r="F2" s="91"/>
      <c r="G2" s="91"/>
      <c r="H2" s="92" t="s">
        <v>82</v>
      </c>
    </row>
    <row r="3" spans="1:8" ht="15.95" customHeight="1" x14ac:dyDescent="0.2">
      <c r="A3" s="542"/>
      <c r="B3" s="93" t="str">
        <f>"ACTUAL SEPTEMBER 30, "&amp;FALLYR</f>
        <v>ACTUAL SEPTEMBER 30, 2019</v>
      </c>
      <c r="C3" s="94"/>
      <c r="D3" s="95"/>
      <c r="E3" s="94"/>
      <c r="F3" s="95"/>
      <c r="G3" s="94"/>
      <c r="H3" s="96"/>
    </row>
    <row r="4" spans="1:8" ht="15.95" customHeight="1" x14ac:dyDescent="0.2">
      <c r="B4" s="89"/>
      <c r="C4" s="89"/>
      <c r="D4" s="89"/>
      <c r="E4" s="89"/>
      <c r="F4" s="89"/>
      <c r="G4" s="97"/>
      <c r="H4" s="89"/>
    </row>
    <row r="5" spans="1:8" ht="15.95" customHeight="1" x14ac:dyDescent="0.2">
      <c r="B5" s="89"/>
      <c r="C5" s="89"/>
      <c r="D5" s="89"/>
      <c r="E5" s="89"/>
      <c r="F5" s="89"/>
      <c r="G5" s="89"/>
      <c r="H5" s="89"/>
    </row>
    <row r="6" spans="1:8" ht="15.95" customHeight="1" x14ac:dyDescent="0.2">
      <c r="B6" s="288" t="s">
        <v>26</v>
      </c>
      <c r="C6" s="289"/>
      <c r="D6" s="289"/>
      <c r="E6" s="289"/>
      <c r="F6" s="289"/>
      <c r="G6" s="289"/>
      <c r="H6" s="290"/>
    </row>
    <row r="7" spans="1:8" ht="15.95" customHeight="1" x14ac:dyDescent="0.2">
      <c r="B7" s="98" t="s">
        <v>236</v>
      </c>
      <c r="C7" s="99"/>
      <c r="D7" s="99"/>
      <c r="E7" s="100" t="s">
        <v>237</v>
      </c>
      <c r="F7" s="99"/>
      <c r="G7" s="99"/>
      <c r="H7" s="101"/>
    </row>
    <row r="8" spans="1:8" ht="15.95" customHeight="1" x14ac:dyDescent="0.2">
      <c r="A8" s="102"/>
      <c r="B8" s="615" t="s">
        <v>20</v>
      </c>
      <c r="C8" s="103" t="s">
        <v>7</v>
      </c>
      <c r="D8" s="617" t="s">
        <v>22</v>
      </c>
      <c r="E8" s="619" t="s">
        <v>20</v>
      </c>
      <c r="F8" s="103" t="s">
        <v>7</v>
      </c>
      <c r="G8" s="621" t="s">
        <v>22</v>
      </c>
      <c r="H8" s="621" t="s">
        <v>450</v>
      </c>
    </row>
    <row r="9" spans="1:8" ht="15.95" customHeight="1" x14ac:dyDescent="0.2">
      <c r="A9" s="104" t="s">
        <v>42</v>
      </c>
      <c r="B9" s="616"/>
      <c r="C9" s="105" t="s">
        <v>21</v>
      </c>
      <c r="D9" s="618"/>
      <c r="E9" s="620"/>
      <c r="F9" s="105" t="s">
        <v>21</v>
      </c>
      <c r="G9" s="622"/>
      <c r="H9" s="622"/>
    </row>
    <row r="10" spans="1:8" ht="5.0999999999999996" customHeight="1" x14ac:dyDescent="0.2">
      <c r="A10" s="6"/>
      <c r="B10" s="85"/>
      <c r="C10" s="85"/>
      <c r="D10" s="85"/>
      <c r="E10" s="85"/>
      <c r="F10" s="85"/>
      <c r="G10" s="85"/>
      <c r="H10" s="85"/>
    </row>
    <row r="11" spans="1:8" ht="14.1" customHeight="1" x14ac:dyDescent="0.2">
      <c r="A11" s="284" t="s">
        <v>110</v>
      </c>
      <c r="B11" s="291">
        <v>1980</v>
      </c>
      <c r="C11" s="291">
        <v>0</v>
      </c>
      <c r="D11" s="292">
        <v>0</v>
      </c>
      <c r="E11" s="293">
        <v>0</v>
      </c>
      <c r="F11" s="291">
        <v>0</v>
      </c>
      <c r="G11" s="291">
        <v>0</v>
      </c>
      <c r="H11" s="291">
        <v>0</v>
      </c>
    </row>
    <row r="12" spans="1:8" ht="14.1" customHeight="1" x14ac:dyDescent="0.2">
      <c r="A12" s="19" t="s">
        <v>111</v>
      </c>
      <c r="B12" s="70">
        <v>1368.16</v>
      </c>
      <c r="C12" s="70">
        <v>0</v>
      </c>
      <c r="D12" s="106">
        <v>0</v>
      </c>
      <c r="E12" s="107">
        <v>515.5</v>
      </c>
      <c r="F12" s="70">
        <v>0</v>
      </c>
      <c r="G12" s="70">
        <v>124.5</v>
      </c>
      <c r="H12" s="70">
        <v>0</v>
      </c>
    </row>
    <row r="13" spans="1:8" ht="14.1" customHeight="1" x14ac:dyDescent="0.2">
      <c r="A13" s="284" t="s">
        <v>112</v>
      </c>
      <c r="B13" s="291">
        <v>6492</v>
      </c>
      <c r="C13" s="291">
        <v>0</v>
      </c>
      <c r="D13" s="292">
        <v>332.5</v>
      </c>
      <c r="E13" s="293">
        <v>968</v>
      </c>
      <c r="F13" s="291">
        <v>0</v>
      </c>
      <c r="G13" s="291">
        <v>476.5</v>
      </c>
      <c r="H13" s="291">
        <v>0</v>
      </c>
    </row>
    <row r="14" spans="1:8" ht="14.1" customHeight="1" x14ac:dyDescent="0.2">
      <c r="A14" s="19" t="s">
        <v>358</v>
      </c>
      <c r="B14" s="70">
        <v>0</v>
      </c>
      <c r="C14" s="70">
        <v>5514.7</v>
      </c>
      <c r="D14" s="106">
        <v>0</v>
      </c>
      <c r="E14" s="107">
        <v>0</v>
      </c>
      <c r="F14" s="70">
        <v>0</v>
      </c>
      <c r="G14" s="70">
        <v>0</v>
      </c>
      <c r="H14" s="70">
        <v>0</v>
      </c>
    </row>
    <row r="15" spans="1:8" ht="14.1" customHeight="1" x14ac:dyDescent="0.2">
      <c r="A15" s="284" t="s">
        <v>113</v>
      </c>
      <c r="B15" s="291">
        <v>1435.5</v>
      </c>
      <c r="C15" s="291">
        <v>0</v>
      </c>
      <c r="D15" s="292">
        <v>0</v>
      </c>
      <c r="E15" s="293">
        <v>0</v>
      </c>
      <c r="F15" s="291">
        <v>0</v>
      </c>
      <c r="G15" s="291">
        <v>0</v>
      </c>
      <c r="H15" s="291">
        <v>0</v>
      </c>
    </row>
    <row r="16" spans="1:8" ht="14.1" customHeight="1" x14ac:dyDescent="0.2">
      <c r="A16" s="19" t="s">
        <v>114</v>
      </c>
      <c r="B16" s="70">
        <v>542.6</v>
      </c>
      <c r="C16" s="70">
        <v>0</v>
      </c>
      <c r="D16" s="106">
        <v>0</v>
      </c>
      <c r="E16" s="107">
        <v>258.5</v>
      </c>
      <c r="F16" s="70">
        <v>0</v>
      </c>
      <c r="G16" s="70">
        <v>109</v>
      </c>
      <c r="H16" s="70">
        <v>0</v>
      </c>
    </row>
    <row r="17" spans="1:8" ht="14.1" customHeight="1" x14ac:dyDescent="0.2">
      <c r="A17" s="284" t="s">
        <v>115</v>
      </c>
      <c r="B17" s="291">
        <v>1408.5</v>
      </c>
      <c r="C17" s="291">
        <v>0</v>
      </c>
      <c r="D17" s="292">
        <v>0</v>
      </c>
      <c r="E17" s="293">
        <v>0</v>
      </c>
      <c r="F17" s="291">
        <v>0</v>
      </c>
      <c r="G17" s="291">
        <v>0</v>
      </c>
      <c r="H17" s="291">
        <v>0</v>
      </c>
    </row>
    <row r="18" spans="1:8" ht="14.1" customHeight="1" x14ac:dyDescent="0.2">
      <c r="A18" s="19" t="s">
        <v>116</v>
      </c>
      <c r="B18" s="70">
        <v>5916.5</v>
      </c>
      <c r="C18" s="70">
        <v>0</v>
      </c>
      <c r="D18" s="106">
        <v>0</v>
      </c>
      <c r="E18" s="107">
        <v>0</v>
      </c>
      <c r="F18" s="70">
        <v>0</v>
      </c>
      <c r="G18" s="70">
        <v>0</v>
      </c>
      <c r="H18" s="70">
        <v>0</v>
      </c>
    </row>
    <row r="19" spans="1:8" ht="14.1" customHeight="1" x14ac:dyDescent="0.2">
      <c r="A19" s="284" t="s">
        <v>117</v>
      </c>
      <c r="B19" s="291">
        <v>4292.9000000000005</v>
      </c>
      <c r="C19" s="291">
        <v>0</v>
      </c>
      <c r="D19" s="292">
        <v>0</v>
      </c>
      <c r="E19" s="293">
        <v>0</v>
      </c>
      <c r="F19" s="291">
        <v>0</v>
      </c>
      <c r="G19" s="291">
        <v>0</v>
      </c>
      <c r="H19" s="291">
        <v>0</v>
      </c>
    </row>
    <row r="20" spans="1:8" ht="14.1" customHeight="1" x14ac:dyDescent="0.2">
      <c r="A20" s="19" t="s">
        <v>118</v>
      </c>
      <c r="B20" s="70">
        <v>7563.5</v>
      </c>
      <c r="C20" s="70">
        <v>0</v>
      </c>
      <c r="D20" s="106">
        <v>0</v>
      </c>
      <c r="E20" s="107">
        <v>0</v>
      </c>
      <c r="F20" s="70">
        <v>0</v>
      </c>
      <c r="G20" s="70">
        <v>0</v>
      </c>
      <c r="H20" s="70">
        <v>0</v>
      </c>
    </row>
    <row r="21" spans="1:8" ht="14.1" customHeight="1" x14ac:dyDescent="0.2">
      <c r="A21" s="284" t="s">
        <v>119</v>
      </c>
      <c r="B21" s="291">
        <v>2061</v>
      </c>
      <c r="C21" s="291">
        <v>0</v>
      </c>
      <c r="D21" s="292">
        <v>0</v>
      </c>
      <c r="E21" s="293">
        <v>444</v>
      </c>
      <c r="F21" s="291">
        <v>0</v>
      </c>
      <c r="G21" s="291">
        <v>318</v>
      </c>
      <c r="H21" s="291">
        <v>0</v>
      </c>
    </row>
    <row r="22" spans="1:8" ht="14.1" customHeight="1" x14ac:dyDescent="0.2">
      <c r="A22" s="19" t="s">
        <v>120</v>
      </c>
      <c r="B22" s="70">
        <v>881</v>
      </c>
      <c r="C22" s="70">
        <v>0</v>
      </c>
      <c r="D22" s="106">
        <v>0</v>
      </c>
      <c r="E22" s="107">
        <v>515</v>
      </c>
      <c r="F22" s="70">
        <v>0</v>
      </c>
      <c r="G22" s="70">
        <v>139</v>
      </c>
      <c r="H22" s="70">
        <v>0</v>
      </c>
    </row>
    <row r="23" spans="1:8" ht="14.1" customHeight="1" x14ac:dyDescent="0.2">
      <c r="A23" s="284" t="s">
        <v>121</v>
      </c>
      <c r="B23" s="291">
        <v>925.8</v>
      </c>
      <c r="C23" s="291">
        <v>0</v>
      </c>
      <c r="D23" s="292">
        <v>0</v>
      </c>
      <c r="E23" s="293">
        <v>0</v>
      </c>
      <c r="F23" s="291">
        <v>0</v>
      </c>
      <c r="G23" s="291">
        <v>0</v>
      </c>
      <c r="H23" s="291">
        <v>0</v>
      </c>
    </row>
    <row r="24" spans="1:8" ht="14.1" customHeight="1" x14ac:dyDescent="0.2">
      <c r="A24" s="19" t="s">
        <v>122</v>
      </c>
      <c r="B24" s="70">
        <v>2613</v>
      </c>
      <c r="C24" s="70">
        <v>0</v>
      </c>
      <c r="D24" s="106">
        <v>225.5</v>
      </c>
      <c r="E24" s="107">
        <v>492</v>
      </c>
      <c r="F24" s="70">
        <v>0</v>
      </c>
      <c r="G24" s="70">
        <v>121</v>
      </c>
      <c r="H24" s="70">
        <v>89</v>
      </c>
    </row>
    <row r="25" spans="1:8" ht="14.1" customHeight="1" x14ac:dyDescent="0.2">
      <c r="A25" s="284" t="s">
        <v>123</v>
      </c>
      <c r="B25" s="291">
        <v>9607.2999999999993</v>
      </c>
      <c r="C25" s="291">
        <v>0</v>
      </c>
      <c r="D25" s="292">
        <v>4655</v>
      </c>
      <c r="E25" s="293">
        <v>321</v>
      </c>
      <c r="F25" s="291">
        <v>0</v>
      </c>
      <c r="G25" s="291">
        <v>320</v>
      </c>
      <c r="H25" s="291">
        <v>0</v>
      </c>
    </row>
    <row r="26" spans="1:8" ht="14.1" customHeight="1" x14ac:dyDescent="0.2">
      <c r="A26" s="19" t="s">
        <v>124</v>
      </c>
      <c r="B26" s="70">
        <v>2279.29</v>
      </c>
      <c r="C26" s="70">
        <v>0</v>
      </c>
      <c r="D26" s="106">
        <v>149</v>
      </c>
      <c r="E26" s="107">
        <v>352</v>
      </c>
      <c r="F26" s="70">
        <v>0</v>
      </c>
      <c r="G26" s="70">
        <v>91</v>
      </c>
      <c r="H26" s="70">
        <v>59.5</v>
      </c>
    </row>
    <row r="27" spans="1:8" ht="14.1" customHeight="1" x14ac:dyDescent="0.2">
      <c r="A27" s="284" t="s">
        <v>125</v>
      </c>
      <c r="B27" s="291">
        <v>2503.2999999999997</v>
      </c>
      <c r="C27" s="291">
        <v>0</v>
      </c>
      <c r="D27" s="292">
        <v>0</v>
      </c>
      <c r="E27" s="293">
        <v>133.5</v>
      </c>
      <c r="F27" s="291">
        <v>0</v>
      </c>
      <c r="G27" s="291">
        <v>232</v>
      </c>
      <c r="H27" s="291">
        <v>0</v>
      </c>
    </row>
    <row r="28" spans="1:8" ht="14.1" customHeight="1" x14ac:dyDescent="0.2">
      <c r="A28" s="19" t="s">
        <v>126</v>
      </c>
      <c r="B28" s="70">
        <v>1988</v>
      </c>
      <c r="C28" s="70">
        <v>0</v>
      </c>
      <c r="D28" s="106">
        <v>0</v>
      </c>
      <c r="E28" s="107">
        <v>0</v>
      </c>
      <c r="F28" s="70">
        <v>0</v>
      </c>
      <c r="G28" s="70">
        <v>0</v>
      </c>
      <c r="H28" s="70">
        <v>0</v>
      </c>
    </row>
    <row r="29" spans="1:8" ht="14.1" customHeight="1" x14ac:dyDescent="0.2">
      <c r="A29" s="284" t="s">
        <v>127</v>
      </c>
      <c r="B29" s="291">
        <v>8471.5</v>
      </c>
      <c r="C29" s="291">
        <v>0</v>
      </c>
      <c r="D29" s="292">
        <v>1313</v>
      </c>
      <c r="E29" s="293">
        <v>2652</v>
      </c>
      <c r="F29" s="291">
        <v>0</v>
      </c>
      <c r="G29" s="291">
        <v>1879</v>
      </c>
      <c r="H29" s="291">
        <v>0</v>
      </c>
    </row>
    <row r="30" spans="1:8" ht="14.1" customHeight="1" x14ac:dyDescent="0.2">
      <c r="A30" s="19" t="s">
        <v>128</v>
      </c>
      <c r="B30" s="70">
        <v>1025.5</v>
      </c>
      <c r="C30" s="70">
        <v>0</v>
      </c>
      <c r="D30" s="106">
        <v>0</v>
      </c>
      <c r="E30" s="107">
        <v>0</v>
      </c>
      <c r="F30" s="70">
        <v>0</v>
      </c>
      <c r="G30" s="70">
        <v>0</v>
      </c>
      <c r="H30" s="70">
        <v>0</v>
      </c>
    </row>
    <row r="31" spans="1:8" ht="14.1" customHeight="1" x14ac:dyDescent="0.2">
      <c r="A31" s="284" t="s">
        <v>129</v>
      </c>
      <c r="B31" s="291">
        <v>2425.5</v>
      </c>
      <c r="C31" s="291">
        <v>0</v>
      </c>
      <c r="D31" s="292">
        <v>0</v>
      </c>
      <c r="E31" s="293">
        <v>503</v>
      </c>
      <c r="F31" s="291">
        <v>0</v>
      </c>
      <c r="G31" s="291">
        <v>309.5</v>
      </c>
      <c r="H31" s="291">
        <v>0</v>
      </c>
    </row>
    <row r="32" spans="1:8" ht="14.1" customHeight="1" x14ac:dyDescent="0.2">
      <c r="A32" s="19" t="s">
        <v>130</v>
      </c>
      <c r="B32" s="70">
        <v>1950.5</v>
      </c>
      <c r="C32" s="70">
        <v>0</v>
      </c>
      <c r="D32" s="106">
        <v>152.5</v>
      </c>
      <c r="E32" s="107">
        <v>122</v>
      </c>
      <c r="F32" s="70">
        <v>0</v>
      </c>
      <c r="G32" s="70">
        <v>51</v>
      </c>
      <c r="H32" s="70">
        <v>0</v>
      </c>
    </row>
    <row r="33" spans="1:10" ht="14.1" customHeight="1" x14ac:dyDescent="0.2">
      <c r="A33" s="284" t="s">
        <v>131</v>
      </c>
      <c r="B33" s="291">
        <v>1612.2</v>
      </c>
      <c r="C33" s="291">
        <v>0</v>
      </c>
      <c r="D33" s="292">
        <v>0</v>
      </c>
      <c r="E33" s="293">
        <v>214.5</v>
      </c>
      <c r="F33" s="291">
        <v>108.5</v>
      </c>
      <c r="G33" s="291">
        <v>118</v>
      </c>
      <c r="H33" s="291">
        <v>0</v>
      </c>
    </row>
    <row r="34" spans="1:10" ht="14.1" customHeight="1" x14ac:dyDescent="0.2">
      <c r="A34" s="19" t="s">
        <v>132</v>
      </c>
      <c r="B34" s="70">
        <v>1679.5</v>
      </c>
      <c r="C34" s="70">
        <v>0</v>
      </c>
      <c r="D34" s="106">
        <v>278.08</v>
      </c>
      <c r="E34" s="107">
        <v>85</v>
      </c>
      <c r="F34" s="70">
        <v>155.5</v>
      </c>
      <c r="G34" s="70">
        <v>0</v>
      </c>
      <c r="H34" s="70">
        <v>0</v>
      </c>
    </row>
    <row r="35" spans="1:10" ht="14.1" customHeight="1" x14ac:dyDescent="0.2">
      <c r="A35" s="284" t="s">
        <v>133</v>
      </c>
      <c r="B35" s="291">
        <v>7509</v>
      </c>
      <c r="C35" s="291">
        <v>0</v>
      </c>
      <c r="D35" s="292">
        <v>1346</v>
      </c>
      <c r="E35" s="293">
        <v>4178</v>
      </c>
      <c r="F35" s="291">
        <v>0</v>
      </c>
      <c r="G35" s="291">
        <v>1958</v>
      </c>
      <c r="H35" s="291">
        <v>585.5</v>
      </c>
    </row>
    <row r="36" spans="1:10" ht="14.1" customHeight="1" x14ac:dyDescent="0.2">
      <c r="A36" s="19" t="s">
        <v>134</v>
      </c>
      <c r="B36" s="70">
        <v>1706.8</v>
      </c>
      <c r="C36" s="70">
        <v>0</v>
      </c>
      <c r="D36" s="106">
        <v>0</v>
      </c>
      <c r="E36" s="107">
        <v>0</v>
      </c>
      <c r="F36" s="70">
        <v>0</v>
      </c>
      <c r="G36" s="70">
        <v>0</v>
      </c>
      <c r="H36" s="70">
        <v>0</v>
      </c>
    </row>
    <row r="37" spans="1:10" ht="14.1" customHeight="1" x14ac:dyDescent="0.2">
      <c r="A37" s="284" t="s">
        <v>135</v>
      </c>
      <c r="B37" s="291">
        <v>2113.4</v>
      </c>
      <c r="C37" s="291">
        <v>0</v>
      </c>
      <c r="D37" s="292">
        <v>767.5</v>
      </c>
      <c r="E37" s="293">
        <v>609.5</v>
      </c>
      <c r="F37" s="291">
        <v>0</v>
      </c>
      <c r="G37" s="291">
        <v>787</v>
      </c>
      <c r="H37" s="291">
        <v>0</v>
      </c>
    </row>
    <row r="38" spans="1:10" ht="14.1" customHeight="1" x14ac:dyDescent="0.2">
      <c r="A38" s="19" t="s">
        <v>136</v>
      </c>
      <c r="B38" s="70">
        <v>6668</v>
      </c>
      <c r="C38" s="70">
        <v>0</v>
      </c>
      <c r="D38" s="106">
        <v>657</v>
      </c>
      <c r="E38" s="107">
        <v>2263.6999999999998</v>
      </c>
      <c r="F38" s="70">
        <v>0</v>
      </c>
      <c r="G38" s="70">
        <v>1425</v>
      </c>
      <c r="H38" s="70">
        <v>252</v>
      </c>
    </row>
    <row r="39" spans="1:10" ht="14.1" customHeight="1" x14ac:dyDescent="0.2">
      <c r="A39" s="284" t="s">
        <v>137</v>
      </c>
      <c r="B39" s="291">
        <v>1497</v>
      </c>
      <c r="C39" s="291">
        <v>0</v>
      </c>
      <c r="D39" s="292">
        <v>0</v>
      </c>
      <c r="E39" s="293">
        <v>0</v>
      </c>
      <c r="F39" s="291">
        <v>0</v>
      </c>
      <c r="G39" s="291">
        <v>0</v>
      </c>
      <c r="H39" s="291">
        <v>0</v>
      </c>
    </row>
    <row r="40" spans="1:10" ht="14.1" customHeight="1" x14ac:dyDescent="0.2">
      <c r="A40" s="19" t="s">
        <v>138</v>
      </c>
      <c r="B40" s="70">
        <v>5552.87</v>
      </c>
      <c r="C40" s="70">
        <v>0</v>
      </c>
      <c r="D40" s="106">
        <v>1401.5</v>
      </c>
      <c r="E40" s="107">
        <v>654.6</v>
      </c>
      <c r="F40" s="70">
        <v>0</v>
      </c>
      <c r="G40" s="70">
        <v>322</v>
      </c>
      <c r="H40" s="70">
        <v>0</v>
      </c>
    </row>
    <row r="41" spans="1:10" ht="14.1" customHeight="1" x14ac:dyDescent="0.2">
      <c r="A41" s="284" t="s">
        <v>139</v>
      </c>
      <c r="B41" s="291">
        <v>2039.5</v>
      </c>
      <c r="C41" s="291">
        <v>0</v>
      </c>
      <c r="D41" s="292">
        <v>0</v>
      </c>
      <c r="E41" s="293">
        <v>1623.5</v>
      </c>
      <c r="F41" s="291">
        <v>0</v>
      </c>
      <c r="G41" s="291">
        <v>750.5</v>
      </c>
      <c r="H41" s="291">
        <v>84.5</v>
      </c>
    </row>
    <row r="42" spans="1:10" ht="14.1" customHeight="1" x14ac:dyDescent="0.2">
      <c r="A42" s="19" t="s">
        <v>140</v>
      </c>
      <c r="B42" s="70">
        <v>958.2</v>
      </c>
      <c r="C42" s="70">
        <v>0</v>
      </c>
      <c r="D42" s="106">
        <v>0</v>
      </c>
      <c r="E42" s="107">
        <v>196.2</v>
      </c>
      <c r="F42" s="70">
        <v>0</v>
      </c>
      <c r="G42" s="70">
        <v>62.3</v>
      </c>
      <c r="H42" s="70">
        <v>0</v>
      </c>
    </row>
    <row r="43" spans="1:10" ht="14.1" customHeight="1" x14ac:dyDescent="0.2">
      <c r="A43" s="284" t="s">
        <v>141</v>
      </c>
      <c r="B43" s="291">
        <v>991</v>
      </c>
      <c r="C43" s="291">
        <v>0</v>
      </c>
      <c r="D43" s="292">
        <v>0</v>
      </c>
      <c r="E43" s="293">
        <v>0</v>
      </c>
      <c r="F43" s="291">
        <v>0</v>
      </c>
      <c r="G43" s="291">
        <v>0</v>
      </c>
      <c r="H43" s="291">
        <v>0</v>
      </c>
    </row>
    <row r="44" spans="1:10" ht="14.1" customHeight="1" x14ac:dyDescent="0.2">
      <c r="A44" s="19" t="s">
        <v>142</v>
      </c>
      <c r="B44" s="70">
        <v>647</v>
      </c>
      <c r="C44" s="70">
        <v>0</v>
      </c>
      <c r="D44" s="106">
        <v>45</v>
      </c>
      <c r="E44" s="107">
        <v>0</v>
      </c>
      <c r="F44" s="70">
        <v>0</v>
      </c>
      <c r="G44" s="70">
        <v>0</v>
      </c>
      <c r="H44" s="70">
        <v>0</v>
      </c>
    </row>
    <row r="45" spans="1:10" ht="14.1" customHeight="1" x14ac:dyDescent="0.2">
      <c r="A45" s="284" t="s">
        <v>143</v>
      </c>
      <c r="B45" s="291">
        <v>811</v>
      </c>
      <c r="C45" s="291">
        <v>0</v>
      </c>
      <c r="D45" s="292">
        <v>0</v>
      </c>
      <c r="E45" s="293">
        <v>761</v>
      </c>
      <c r="F45" s="291">
        <v>0</v>
      </c>
      <c r="G45" s="291">
        <v>295</v>
      </c>
      <c r="H45" s="291">
        <v>0</v>
      </c>
    </row>
    <row r="46" spans="1:10" ht="14.1" customHeight="1" x14ac:dyDescent="0.2">
      <c r="A46" s="19" t="s">
        <v>144</v>
      </c>
      <c r="B46" s="70">
        <v>19208.5</v>
      </c>
      <c r="C46" s="70">
        <v>0</v>
      </c>
      <c r="D46" s="106">
        <v>1422.5</v>
      </c>
      <c r="E46" s="107">
        <v>4886.5</v>
      </c>
      <c r="F46" s="70">
        <v>0</v>
      </c>
      <c r="G46" s="70">
        <v>2967.2</v>
      </c>
      <c r="H46" s="70">
        <v>357</v>
      </c>
    </row>
    <row r="47" spans="1:10" ht="5.0999999999999996" customHeight="1" x14ac:dyDescent="0.2">
      <c r="A47"/>
      <c r="B47"/>
      <c r="C47"/>
      <c r="D47"/>
      <c r="E47"/>
      <c r="F47"/>
      <c r="G47"/>
      <c r="H47"/>
      <c r="I47"/>
      <c r="J47"/>
    </row>
    <row r="48" spans="1:10" ht="14.1" customHeight="1" x14ac:dyDescent="0.2">
      <c r="A48" s="286" t="s">
        <v>145</v>
      </c>
      <c r="B48" s="294">
        <f t="shared" ref="B48:H48" si="0">SUM(B11:B46)</f>
        <v>120725.31999999999</v>
      </c>
      <c r="C48" s="294">
        <f t="shared" si="0"/>
        <v>5514.7</v>
      </c>
      <c r="D48" s="295">
        <f t="shared" si="0"/>
        <v>12745.08</v>
      </c>
      <c r="E48" s="296">
        <f t="shared" si="0"/>
        <v>22749.000000000004</v>
      </c>
      <c r="F48" s="294">
        <f t="shared" si="0"/>
        <v>264</v>
      </c>
      <c r="G48" s="294">
        <f t="shared" si="0"/>
        <v>12855.5</v>
      </c>
      <c r="H48" s="294">
        <f t="shared" si="0"/>
        <v>1427.5</v>
      </c>
    </row>
    <row r="49" spans="1:8" ht="5.0999999999999996" customHeight="1" x14ac:dyDescent="0.2">
      <c r="A49" s="21" t="s">
        <v>7</v>
      </c>
      <c r="B49" s="71"/>
      <c r="C49" s="71"/>
      <c r="D49" s="71"/>
      <c r="E49" s="71"/>
      <c r="F49" s="71"/>
      <c r="G49" s="71"/>
      <c r="H49" s="71"/>
    </row>
    <row r="50" spans="1:8" ht="14.1" customHeight="1" x14ac:dyDescent="0.2">
      <c r="A50" s="19" t="s">
        <v>146</v>
      </c>
      <c r="B50" s="70">
        <v>190</v>
      </c>
      <c r="C50" s="70">
        <v>0</v>
      </c>
      <c r="D50" s="106">
        <v>0</v>
      </c>
      <c r="E50" s="107">
        <v>0</v>
      </c>
      <c r="F50" s="70">
        <v>0</v>
      </c>
      <c r="G50" s="70">
        <v>0</v>
      </c>
      <c r="H50" s="70">
        <v>0</v>
      </c>
    </row>
    <row r="51" spans="1:8" ht="14.1" customHeight="1" x14ac:dyDescent="0.2">
      <c r="A51" s="284" t="s">
        <v>599</v>
      </c>
      <c r="B51" s="291">
        <v>105</v>
      </c>
      <c r="C51" s="291">
        <v>0</v>
      </c>
      <c r="D51" s="292">
        <v>0</v>
      </c>
      <c r="E51" s="293">
        <v>0</v>
      </c>
      <c r="F51" s="291">
        <v>0</v>
      </c>
      <c r="G51" s="291">
        <v>0</v>
      </c>
      <c r="H51" s="291">
        <v>0</v>
      </c>
    </row>
    <row r="52" spans="1:8" ht="50.1" customHeight="1" x14ac:dyDescent="0.2">
      <c r="A52" s="23"/>
      <c r="B52" s="108"/>
      <c r="C52" s="108"/>
      <c r="D52" s="108"/>
      <c r="E52" s="108"/>
      <c r="F52" s="108"/>
      <c r="G52" s="108"/>
      <c r="H52" s="108"/>
    </row>
    <row r="53" spans="1:8" ht="15" customHeight="1" x14ac:dyDescent="0.2">
      <c r="A53" s="85" t="s">
        <v>337</v>
      </c>
      <c r="C53" s="85"/>
      <c r="D53" s="85"/>
      <c r="E53" s="85"/>
      <c r="F53" s="85"/>
      <c r="G53" s="85"/>
      <c r="H53" s="85"/>
    </row>
    <row r="54" spans="1:8" ht="12" customHeight="1" x14ac:dyDescent="0.2">
      <c r="A54" s="85" t="s">
        <v>338</v>
      </c>
      <c r="C54" s="85"/>
      <c r="D54" s="85"/>
      <c r="E54" s="85"/>
      <c r="F54" s="85"/>
      <c r="G54" s="85"/>
      <c r="H54" s="85"/>
    </row>
  </sheetData>
  <mergeCells count="5">
    <mergeCell ref="B8:B9"/>
    <mergeCell ref="D8:D9"/>
    <mergeCell ref="E8:E9"/>
    <mergeCell ref="G8:G9"/>
    <mergeCell ref="H8:H9"/>
  </mergeCells>
  <phoneticPr fontId="6" type="noConversion"/>
  <pageMargins left="0.51181102362204722" right="0.51181102362204722" top="0.59055118110236227" bottom="0.19685039370078741" header="0.31496062992125984" footer="0.51181102362204722"/>
  <pageSetup scale="88" orientation="portrait" r:id="rId1"/>
  <headerFooter alignWithMargins="0">
    <oddHeader>&amp;C&amp;"Arial,Regular"&amp;11&amp;A</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F56"/>
  <sheetViews>
    <sheetView showGridLines="0" showZeros="0" workbookViewId="0"/>
  </sheetViews>
  <sheetFormatPr defaultColWidth="19.83203125" defaultRowHeight="12" x14ac:dyDescent="0.2"/>
  <cols>
    <col min="1" max="1" width="34.83203125" style="2" customWidth="1"/>
    <col min="2" max="2" width="19.83203125" style="2" customWidth="1"/>
    <col min="3" max="4" width="19.33203125" style="2" customWidth="1"/>
    <col min="5" max="16384" width="19.83203125" style="2"/>
  </cols>
  <sheetData>
    <row r="1" spans="1:6" ht="6.95" customHeight="1" x14ac:dyDescent="0.2">
      <c r="A1" s="7"/>
    </row>
    <row r="2" spans="1:6" ht="15.95" customHeight="1" x14ac:dyDescent="0.2">
      <c r="A2" s="134"/>
      <c r="B2" s="742" t="str">
        <f>'- 46 -'!B2:C3</f>
        <v>CAPITAL FUND 2019/2020 ACTUAL</v>
      </c>
      <c r="C2" s="742"/>
      <c r="D2" s="742"/>
      <c r="E2" s="742"/>
      <c r="F2" s="231" t="s">
        <v>253</v>
      </c>
    </row>
    <row r="3" spans="1:6" ht="15.95" customHeight="1" x14ac:dyDescent="0.2">
      <c r="A3" s="541"/>
      <c r="B3" s="743" t="s">
        <v>148</v>
      </c>
      <c r="C3" s="743"/>
      <c r="D3" s="743"/>
      <c r="E3" s="743"/>
      <c r="F3" s="226"/>
    </row>
    <row r="4" spans="1:6" ht="15.95" customHeight="1" x14ac:dyDescent="0.2">
      <c r="B4" s="8"/>
      <c r="C4" s="8"/>
      <c r="D4" s="8"/>
      <c r="E4" s="8"/>
    </row>
    <row r="5" spans="1:6" ht="15.95" customHeight="1" x14ac:dyDescent="0.2">
      <c r="B5" s="8"/>
      <c r="C5" s="8"/>
      <c r="D5" s="8"/>
      <c r="E5" s="8"/>
    </row>
    <row r="6" spans="1:6" ht="15.95" customHeight="1" x14ac:dyDescent="0.2">
      <c r="B6" s="405" t="s">
        <v>1</v>
      </c>
      <c r="C6" s="173"/>
      <c r="D6" s="444"/>
      <c r="E6" s="174"/>
    </row>
    <row r="7" spans="1:6" ht="15.95" customHeight="1" x14ac:dyDescent="0.2">
      <c r="B7" s="406"/>
      <c r="C7" s="406"/>
      <c r="D7" s="746" t="s">
        <v>530</v>
      </c>
      <c r="E7" s="406"/>
    </row>
    <row r="8" spans="1:6" ht="15.95" customHeight="1" x14ac:dyDescent="0.2">
      <c r="A8" s="403"/>
      <c r="B8" s="407"/>
      <c r="C8" s="744" t="s">
        <v>529</v>
      </c>
      <c r="D8" s="744"/>
      <c r="E8" s="744" t="s">
        <v>532</v>
      </c>
    </row>
    <row r="9" spans="1:6" ht="15.95" customHeight="1" x14ac:dyDescent="0.2">
      <c r="A9" s="404" t="s">
        <v>42</v>
      </c>
      <c r="B9" s="431" t="s">
        <v>273</v>
      </c>
      <c r="C9" s="745"/>
      <c r="D9" s="745"/>
      <c r="E9" s="745"/>
    </row>
    <row r="10" spans="1:6" ht="5.0999999999999996" customHeight="1" x14ac:dyDescent="0.2">
      <c r="A10" s="6"/>
      <c r="B10" s="207"/>
      <c r="C10" s="207"/>
      <c r="D10" s="207"/>
      <c r="E10" s="207"/>
    </row>
    <row r="11" spans="1:6" ht="14.1" customHeight="1" x14ac:dyDescent="0.2">
      <c r="A11" s="284" t="s">
        <v>110</v>
      </c>
      <c r="B11" s="285">
        <v>1477928</v>
      </c>
      <c r="C11" s="285">
        <v>1125775</v>
      </c>
      <c r="D11" s="285">
        <v>-57</v>
      </c>
      <c r="E11" s="285">
        <f t="shared" ref="E11:E46" si="0">SUM(B11:D11)</f>
        <v>2603646</v>
      </c>
    </row>
    <row r="12" spans="1:6" ht="14.1" customHeight="1" x14ac:dyDescent="0.2">
      <c r="A12" s="19" t="s">
        <v>111</v>
      </c>
      <c r="B12" s="20">
        <v>2447666</v>
      </c>
      <c r="C12" s="20">
        <v>558745</v>
      </c>
      <c r="D12" s="20">
        <v>0</v>
      </c>
      <c r="E12" s="20">
        <f t="shared" si="0"/>
        <v>3006411</v>
      </c>
    </row>
    <row r="13" spans="1:6" ht="14.1" customHeight="1" x14ac:dyDescent="0.2">
      <c r="A13" s="284" t="s">
        <v>112</v>
      </c>
      <c r="B13" s="285">
        <v>3344251</v>
      </c>
      <c r="C13" s="285">
        <v>1802934</v>
      </c>
      <c r="D13" s="285">
        <v>56344</v>
      </c>
      <c r="E13" s="285">
        <f t="shared" si="0"/>
        <v>5203529</v>
      </c>
    </row>
    <row r="14" spans="1:6" ht="14.1" customHeight="1" x14ac:dyDescent="0.2">
      <c r="A14" s="19" t="s">
        <v>358</v>
      </c>
      <c r="B14" s="20">
        <v>3393153</v>
      </c>
      <c r="C14" s="20">
        <v>2097044</v>
      </c>
      <c r="D14" s="20">
        <v>0</v>
      </c>
      <c r="E14" s="20">
        <f t="shared" si="0"/>
        <v>5490197</v>
      </c>
    </row>
    <row r="15" spans="1:6" ht="14.1" customHeight="1" x14ac:dyDescent="0.2">
      <c r="A15" s="284" t="s">
        <v>113</v>
      </c>
      <c r="B15" s="285">
        <v>1673432</v>
      </c>
      <c r="C15" s="285">
        <v>581686</v>
      </c>
      <c r="D15" s="285">
        <v>0</v>
      </c>
      <c r="E15" s="285">
        <f t="shared" si="0"/>
        <v>2255118</v>
      </c>
    </row>
    <row r="16" spans="1:6" ht="14.1" customHeight="1" x14ac:dyDescent="0.2">
      <c r="A16" s="19" t="s">
        <v>114</v>
      </c>
      <c r="B16" s="20">
        <v>400480</v>
      </c>
      <c r="C16" s="20">
        <v>221999</v>
      </c>
      <c r="D16" s="20">
        <v>0</v>
      </c>
      <c r="E16" s="20">
        <f t="shared" si="0"/>
        <v>622479</v>
      </c>
    </row>
    <row r="17" spans="1:5" ht="14.1" customHeight="1" x14ac:dyDescent="0.2">
      <c r="A17" s="284" t="s">
        <v>115</v>
      </c>
      <c r="B17" s="285">
        <v>1131224</v>
      </c>
      <c r="C17" s="285">
        <v>436918</v>
      </c>
      <c r="D17" s="285">
        <v>0</v>
      </c>
      <c r="E17" s="285">
        <f t="shared" si="0"/>
        <v>1568142</v>
      </c>
    </row>
    <row r="18" spans="1:5" ht="14.1" customHeight="1" x14ac:dyDescent="0.2">
      <c r="A18" s="19" t="s">
        <v>116</v>
      </c>
      <c r="B18" s="20">
        <v>4425855</v>
      </c>
      <c r="C18" s="20">
        <v>2073348</v>
      </c>
      <c r="D18" s="20">
        <v>0</v>
      </c>
      <c r="E18" s="20">
        <f t="shared" si="0"/>
        <v>6499203</v>
      </c>
    </row>
    <row r="19" spans="1:5" ht="14.1" customHeight="1" x14ac:dyDescent="0.2">
      <c r="A19" s="284" t="s">
        <v>117</v>
      </c>
      <c r="B19" s="285">
        <v>4309124</v>
      </c>
      <c r="C19" s="285">
        <v>3128770</v>
      </c>
      <c r="D19" s="285">
        <v>0</v>
      </c>
      <c r="E19" s="285">
        <f t="shared" si="0"/>
        <v>7437894</v>
      </c>
    </row>
    <row r="20" spans="1:5" ht="14.1" customHeight="1" x14ac:dyDescent="0.2">
      <c r="A20" s="19" t="s">
        <v>118</v>
      </c>
      <c r="B20" s="20">
        <v>5062684</v>
      </c>
      <c r="C20" s="20">
        <v>3825172</v>
      </c>
      <c r="D20" s="20">
        <v>251903</v>
      </c>
      <c r="E20" s="20">
        <f t="shared" si="0"/>
        <v>9139759</v>
      </c>
    </row>
    <row r="21" spans="1:5" ht="14.1" customHeight="1" x14ac:dyDescent="0.2">
      <c r="A21" s="284" t="s">
        <v>119</v>
      </c>
      <c r="B21" s="285">
        <v>1618516</v>
      </c>
      <c r="C21" s="285">
        <v>730779</v>
      </c>
      <c r="D21" s="285">
        <v>0</v>
      </c>
      <c r="E21" s="285">
        <f t="shared" si="0"/>
        <v>2349295</v>
      </c>
    </row>
    <row r="22" spans="1:5" ht="14.1" customHeight="1" x14ac:dyDescent="0.2">
      <c r="A22" s="19" t="s">
        <v>120</v>
      </c>
      <c r="B22" s="20">
        <v>1210607</v>
      </c>
      <c r="C22" s="20">
        <v>746193</v>
      </c>
      <c r="D22" s="20">
        <v>0</v>
      </c>
      <c r="E22" s="20">
        <f t="shared" si="0"/>
        <v>1956800</v>
      </c>
    </row>
    <row r="23" spans="1:5" ht="14.1" customHeight="1" x14ac:dyDescent="0.2">
      <c r="A23" s="284" t="s">
        <v>121</v>
      </c>
      <c r="B23" s="285">
        <v>834429</v>
      </c>
      <c r="C23" s="285">
        <v>405701</v>
      </c>
      <c r="D23" s="285">
        <v>0</v>
      </c>
      <c r="E23" s="285">
        <f t="shared" si="0"/>
        <v>1240130</v>
      </c>
    </row>
    <row r="24" spans="1:5" ht="14.1" customHeight="1" x14ac:dyDescent="0.2">
      <c r="A24" s="19" t="s">
        <v>122</v>
      </c>
      <c r="B24" s="20">
        <v>2945397</v>
      </c>
      <c r="C24" s="20">
        <v>1199973</v>
      </c>
      <c r="D24" s="20">
        <v>0</v>
      </c>
      <c r="E24" s="20">
        <f t="shared" si="0"/>
        <v>4145370</v>
      </c>
    </row>
    <row r="25" spans="1:5" ht="14.1" customHeight="1" x14ac:dyDescent="0.2">
      <c r="A25" s="284" t="s">
        <v>123</v>
      </c>
      <c r="B25" s="285">
        <v>5566642</v>
      </c>
      <c r="C25" s="285">
        <v>1967071</v>
      </c>
      <c r="D25" s="285">
        <v>210403</v>
      </c>
      <c r="E25" s="285">
        <f t="shared" si="0"/>
        <v>7744116</v>
      </c>
    </row>
    <row r="26" spans="1:5" ht="14.1" customHeight="1" x14ac:dyDescent="0.2">
      <c r="A26" s="19" t="s">
        <v>124</v>
      </c>
      <c r="B26" s="20">
        <v>2166713</v>
      </c>
      <c r="C26" s="20">
        <v>1413328</v>
      </c>
      <c r="D26" s="20">
        <v>0</v>
      </c>
      <c r="E26" s="20">
        <f t="shared" si="0"/>
        <v>3580041</v>
      </c>
    </row>
    <row r="27" spans="1:5" ht="14.1" customHeight="1" x14ac:dyDescent="0.2">
      <c r="A27" s="284" t="s">
        <v>125</v>
      </c>
      <c r="B27" s="285">
        <v>1174038</v>
      </c>
      <c r="C27" s="285">
        <v>414640</v>
      </c>
      <c r="D27" s="285">
        <v>0</v>
      </c>
      <c r="E27" s="285">
        <f t="shared" si="0"/>
        <v>1588678</v>
      </c>
    </row>
    <row r="28" spans="1:5" ht="14.1" customHeight="1" x14ac:dyDescent="0.2">
      <c r="A28" s="19" t="s">
        <v>126</v>
      </c>
      <c r="B28" s="20">
        <v>979556</v>
      </c>
      <c r="C28" s="20">
        <v>484219</v>
      </c>
      <c r="D28" s="20">
        <v>0</v>
      </c>
      <c r="E28" s="20">
        <f t="shared" si="0"/>
        <v>1463775</v>
      </c>
    </row>
    <row r="29" spans="1:5" ht="14.1" customHeight="1" x14ac:dyDescent="0.2">
      <c r="A29" s="284" t="s">
        <v>127</v>
      </c>
      <c r="B29" s="285">
        <v>5356851</v>
      </c>
      <c r="C29" s="285">
        <v>2930061</v>
      </c>
      <c r="D29" s="285">
        <v>0</v>
      </c>
      <c r="E29" s="285">
        <f t="shared" si="0"/>
        <v>8286912</v>
      </c>
    </row>
    <row r="30" spans="1:5" ht="14.1" customHeight="1" x14ac:dyDescent="0.2">
      <c r="A30" s="19" t="s">
        <v>128</v>
      </c>
      <c r="B30" s="20">
        <v>611363</v>
      </c>
      <c r="C30" s="20">
        <v>152991</v>
      </c>
      <c r="D30" s="20">
        <v>0</v>
      </c>
      <c r="E30" s="20">
        <f t="shared" si="0"/>
        <v>764354</v>
      </c>
    </row>
    <row r="31" spans="1:5" ht="14.1" customHeight="1" x14ac:dyDescent="0.2">
      <c r="A31" s="284" t="s">
        <v>129</v>
      </c>
      <c r="B31" s="285">
        <v>1637988</v>
      </c>
      <c r="C31" s="285">
        <v>574913</v>
      </c>
      <c r="D31" s="285">
        <v>0</v>
      </c>
      <c r="E31" s="285">
        <f t="shared" si="0"/>
        <v>2212901</v>
      </c>
    </row>
    <row r="32" spans="1:5" ht="14.1" customHeight="1" x14ac:dyDescent="0.2">
      <c r="A32" s="19" t="s">
        <v>130</v>
      </c>
      <c r="B32" s="20">
        <v>1304764</v>
      </c>
      <c r="C32" s="20">
        <v>479123</v>
      </c>
      <c r="D32" s="20">
        <v>0</v>
      </c>
      <c r="E32" s="20">
        <f t="shared" si="0"/>
        <v>1783887</v>
      </c>
    </row>
    <row r="33" spans="1:5" ht="14.1" customHeight="1" x14ac:dyDescent="0.2">
      <c r="A33" s="284" t="s">
        <v>131</v>
      </c>
      <c r="B33" s="285">
        <v>1478111</v>
      </c>
      <c r="C33" s="285">
        <v>229194</v>
      </c>
      <c r="D33" s="285">
        <v>0</v>
      </c>
      <c r="E33" s="285">
        <f t="shared" si="0"/>
        <v>1707305</v>
      </c>
    </row>
    <row r="34" spans="1:5" ht="14.1" customHeight="1" x14ac:dyDescent="0.2">
      <c r="A34" s="19" t="s">
        <v>132</v>
      </c>
      <c r="B34" s="20">
        <v>1562787</v>
      </c>
      <c r="C34" s="20">
        <v>660786</v>
      </c>
      <c r="D34" s="20">
        <v>0</v>
      </c>
      <c r="E34" s="20">
        <f t="shared" si="0"/>
        <v>2223573</v>
      </c>
    </row>
    <row r="35" spans="1:5" ht="14.1" customHeight="1" x14ac:dyDescent="0.2">
      <c r="A35" s="284" t="s">
        <v>133</v>
      </c>
      <c r="B35" s="285">
        <v>8031570</v>
      </c>
      <c r="C35" s="285">
        <v>2599094</v>
      </c>
      <c r="D35" s="285">
        <v>147987</v>
      </c>
      <c r="E35" s="285">
        <f t="shared" si="0"/>
        <v>10778651</v>
      </c>
    </row>
    <row r="36" spans="1:5" ht="14.1" customHeight="1" x14ac:dyDescent="0.2">
      <c r="A36" s="19" t="s">
        <v>134</v>
      </c>
      <c r="B36" s="20">
        <v>1061560</v>
      </c>
      <c r="C36" s="20">
        <v>227887</v>
      </c>
      <c r="D36" s="20">
        <v>0</v>
      </c>
      <c r="E36" s="20">
        <f t="shared" si="0"/>
        <v>1289447</v>
      </c>
    </row>
    <row r="37" spans="1:5" ht="14.1" customHeight="1" x14ac:dyDescent="0.2">
      <c r="A37" s="284" t="s">
        <v>135</v>
      </c>
      <c r="B37" s="285">
        <v>2548634</v>
      </c>
      <c r="C37" s="285">
        <v>1407083</v>
      </c>
      <c r="D37" s="285">
        <v>0</v>
      </c>
      <c r="E37" s="285">
        <f t="shared" si="0"/>
        <v>3955717</v>
      </c>
    </row>
    <row r="38" spans="1:5" ht="14.1" customHeight="1" x14ac:dyDescent="0.2">
      <c r="A38" s="19" t="s">
        <v>136</v>
      </c>
      <c r="B38" s="20">
        <v>6779458</v>
      </c>
      <c r="C38" s="20">
        <v>4632146</v>
      </c>
      <c r="D38" s="20">
        <v>22944</v>
      </c>
      <c r="E38" s="20">
        <f t="shared" si="0"/>
        <v>11434548</v>
      </c>
    </row>
    <row r="39" spans="1:5" ht="14.1" customHeight="1" x14ac:dyDescent="0.2">
      <c r="A39" s="284" t="s">
        <v>137</v>
      </c>
      <c r="B39" s="285">
        <v>1525957</v>
      </c>
      <c r="C39" s="285">
        <v>654543</v>
      </c>
      <c r="D39" s="285">
        <v>0</v>
      </c>
      <c r="E39" s="285">
        <f t="shared" si="0"/>
        <v>2180500</v>
      </c>
    </row>
    <row r="40" spans="1:5" ht="14.1" customHeight="1" x14ac:dyDescent="0.2">
      <c r="A40" s="19" t="s">
        <v>138</v>
      </c>
      <c r="B40" s="20">
        <v>4107056</v>
      </c>
      <c r="C40" s="20">
        <v>1058102</v>
      </c>
      <c r="D40" s="20">
        <v>127988</v>
      </c>
      <c r="E40" s="20">
        <f t="shared" si="0"/>
        <v>5293146</v>
      </c>
    </row>
    <row r="41" spans="1:5" ht="14.1" customHeight="1" x14ac:dyDescent="0.2">
      <c r="A41" s="284" t="s">
        <v>139</v>
      </c>
      <c r="B41" s="285">
        <v>3115864</v>
      </c>
      <c r="C41" s="285">
        <v>1279490</v>
      </c>
      <c r="D41" s="285">
        <v>1</v>
      </c>
      <c r="E41" s="285">
        <f t="shared" si="0"/>
        <v>4395355</v>
      </c>
    </row>
    <row r="42" spans="1:5" ht="14.1" customHeight="1" x14ac:dyDescent="0.2">
      <c r="A42" s="19" t="s">
        <v>140</v>
      </c>
      <c r="B42" s="20">
        <v>1401105</v>
      </c>
      <c r="C42" s="20">
        <v>644202</v>
      </c>
      <c r="D42" s="20">
        <v>49874</v>
      </c>
      <c r="E42" s="20">
        <f t="shared" si="0"/>
        <v>2095181</v>
      </c>
    </row>
    <row r="43" spans="1:5" ht="14.1" customHeight="1" x14ac:dyDescent="0.2">
      <c r="A43" s="284" t="s">
        <v>141</v>
      </c>
      <c r="B43" s="285">
        <v>761785</v>
      </c>
      <c r="C43" s="285">
        <v>436887</v>
      </c>
      <c r="D43" s="285">
        <v>0</v>
      </c>
      <c r="E43" s="285">
        <f t="shared" si="0"/>
        <v>1198672</v>
      </c>
    </row>
    <row r="44" spans="1:5" ht="14.1" customHeight="1" x14ac:dyDescent="0.2">
      <c r="A44" s="19" t="s">
        <v>142</v>
      </c>
      <c r="B44" s="20">
        <v>569801</v>
      </c>
      <c r="C44" s="20">
        <v>170896</v>
      </c>
      <c r="D44" s="20">
        <v>0</v>
      </c>
      <c r="E44" s="20">
        <f t="shared" si="0"/>
        <v>740697</v>
      </c>
    </row>
    <row r="45" spans="1:5" ht="14.1" customHeight="1" x14ac:dyDescent="0.2">
      <c r="A45" s="284" t="s">
        <v>143</v>
      </c>
      <c r="B45" s="285">
        <v>846778</v>
      </c>
      <c r="C45" s="285">
        <v>357180</v>
      </c>
      <c r="D45" s="285">
        <v>0</v>
      </c>
      <c r="E45" s="285">
        <f t="shared" si="0"/>
        <v>1203958</v>
      </c>
    </row>
    <row r="46" spans="1:5" ht="14.1" customHeight="1" x14ac:dyDescent="0.2">
      <c r="A46" s="19" t="s">
        <v>144</v>
      </c>
      <c r="B46" s="20">
        <v>11720325</v>
      </c>
      <c r="C46" s="20">
        <v>5700814</v>
      </c>
      <c r="D46" s="20">
        <v>0</v>
      </c>
      <c r="E46" s="20">
        <f t="shared" si="0"/>
        <v>17421139</v>
      </c>
    </row>
    <row r="47" spans="1:5" ht="5.0999999999999996" customHeight="1" x14ac:dyDescent="0.2">
      <c r="A47" s="21"/>
      <c r="B47" s="22"/>
      <c r="C47" s="22"/>
      <c r="D47" s="22"/>
      <c r="E47" s="22"/>
    </row>
    <row r="48" spans="1:5" ht="14.1" customHeight="1" x14ac:dyDescent="0.2">
      <c r="A48" s="286" t="s">
        <v>145</v>
      </c>
      <c r="B48" s="287">
        <f>SUM(B11:B46)</f>
        <v>98583452</v>
      </c>
      <c r="C48" s="287">
        <f>SUM(C11:C46)</f>
        <v>47409687</v>
      </c>
      <c r="D48" s="287">
        <f>SUM(D11:D46)</f>
        <v>867387</v>
      </c>
      <c r="E48" s="287">
        <f>SUM(E11:E46)</f>
        <v>146860526</v>
      </c>
    </row>
    <row r="49" spans="1:6" ht="5.0999999999999996" customHeight="1" x14ac:dyDescent="0.2">
      <c r="A49" s="21" t="s">
        <v>7</v>
      </c>
      <c r="B49" s="22"/>
      <c r="C49" s="22"/>
      <c r="D49" s="22"/>
      <c r="E49" s="22"/>
    </row>
    <row r="50" spans="1:6" ht="14.1" customHeight="1" x14ac:dyDescent="0.2">
      <c r="A50" s="19" t="s">
        <v>146</v>
      </c>
      <c r="B50" s="20">
        <v>123976</v>
      </c>
      <c r="C50" s="20">
        <v>0</v>
      </c>
      <c r="D50" s="20">
        <v>0</v>
      </c>
      <c r="E50" s="20">
        <f>SUM(B50:D50)</f>
        <v>123976</v>
      </c>
    </row>
    <row r="51" spans="1:6" ht="14.1" customHeight="1" x14ac:dyDescent="0.2">
      <c r="A51" s="284" t="s">
        <v>599</v>
      </c>
      <c r="B51" s="285">
        <v>1324180</v>
      </c>
      <c r="C51" s="285">
        <v>145614</v>
      </c>
      <c r="D51" s="285">
        <v>0</v>
      </c>
      <c r="E51" s="285">
        <f>SUM(B51:D51)</f>
        <v>1469794</v>
      </c>
    </row>
    <row r="52" spans="1:6" ht="50.1" customHeight="1" x14ac:dyDescent="0.2">
      <c r="A52" s="23"/>
      <c r="B52" s="23"/>
      <c r="C52" s="23"/>
      <c r="D52" s="23"/>
      <c r="E52" s="23"/>
      <c r="F52" s="23"/>
    </row>
    <row r="53" spans="1:6" x14ac:dyDescent="0.2">
      <c r="A53" s="434" t="s">
        <v>351</v>
      </c>
      <c r="B53" s="184"/>
      <c r="C53" s="184"/>
      <c r="D53" s="184"/>
      <c r="E53" s="184"/>
    </row>
    <row r="54" spans="1:6" x14ac:dyDescent="0.2">
      <c r="A54" s="442" t="s">
        <v>360</v>
      </c>
      <c r="B54" s="184"/>
      <c r="C54" s="184"/>
      <c r="D54" s="184"/>
      <c r="E54" s="184"/>
    </row>
    <row r="55" spans="1:6" x14ac:dyDescent="0.2">
      <c r="A55" s="434" t="s">
        <v>385</v>
      </c>
    </row>
    <row r="56" spans="1:6" x14ac:dyDescent="0.2">
      <c r="A56" s="434"/>
    </row>
  </sheetData>
  <mergeCells count="5">
    <mergeCell ref="B2:E2"/>
    <mergeCell ref="B3:E3"/>
    <mergeCell ref="C8:C9"/>
    <mergeCell ref="D7:D9"/>
    <mergeCell ref="E8:E9"/>
  </mergeCells>
  <phoneticPr fontId="6" type="noConversion"/>
  <hyperlinks>
    <hyperlink ref="A54" r:id="rId1" display="http://www.edu.gov.mb.ca/k12/finance/frame_manual/index.html"/>
  </hyperlinks>
  <pageMargins left="0.5" right="0.5" top="0.6" bottom="0.2" header="0.3" footer="0.5"/>
  <pageSetup scale="88" orientation="portrait" r:id="rId2"/>
  <headerFooter alignWithMargins="0">
    <oddHeader>&amp;C&amp;"Arial,Regular"&amp;11&amp;A</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F54"/>
  <sheetViews>
    <sheetView showGridLines="0" showZeros="0" workbookViewId="0"/>
  </sheetViews>
  <sheetFormatPr defaultColWidth="15.83203125" defaultRowHeight="12" x14ac:dyDescent="0.2"/>
  <cols>
    <col min="1" max="1" width="34.83203125" style="2" customWidth="1"/>
    <col min="2" max="4" width="22.83203125" style="2" customWidth="1"/>
    <col min="5" max="5" width="4.83203125" style="2" customWidth="1"/>
    <col min="6" max="6" width="25.83203125" style="2" customWidth="1"/>
    <col min="7" max="16384" width="15.83203125" style="2"/>
  </cols>
  <sheetData>
    <row r="1" spans="1:6" ht="6.95" customHeight="1" x14ac:dyDescent="0.2">
      <c r="A1" s="7"/>
      <c r="E1"/>
    </row>
    <row r="2" spans="1:6" ht="15.95" customHeight="1" x14ac:dyDescent="0.2">
      <c r="A2" s="134"/>
      <c r="B2" s="748" t="str">
        <f>"CAPITAL FUND "&amp;FALLYR&amp;"/"&amp;SPRINGYR&amp;" ACTUAL"</f>
        <v>CAPITAL FUND 2019/2020 ACTUAL</v>
      </c>
      <c r="C2" s="748"/>
      <c r="D2" s="748"/>
      <c r="E2" s="748"/>
      <c r="F2" s="231" t="s">
        <v>255</v>
      </c>
    </row>
    <row r="3" spans="1:6" ht="15.95" customHeight="1" x14ac:dyDescent="0.2">
      <c r="A3" s="541"/>
      <c r="B3" s="743" t="s">
        <v>0</v>
      </c>
      <c r="C3" s="749"/>
      <c r="D3" s="749"/>
      <c r="E3" s="749"/>
      <c r="F3" s="226"/>
    </row>
    <row r="4" spans="1:6" ht="15.95" customHeight="1" x14ac:dyDescent="0.2">
      <c r="B4" s="8"/>
      <c r="C4" s="8"/>
      <c r="D4" s="8"/>
      <c r="E4"/>
    </row>
    <row r="5" spans="1:6" ht="15.95" customHeight="1" x14ac:dyDescent="0.2">
      <c r="B5" s="8"/>
      <c r="C5" s="8"/>
      <c r="D5" s="8"/>
      <c r="E5" s="439"/>
    </row>
    <row r="6" spans="1:6" ht="15.95" customHeight="1" x14ac:dyDescent="0.2">
      <c r="B6" s="409" t="s">
        <v>2</v>
      </c>
      <c r="C6" s="435"/>
      <c r="D6" s="436"/>
      <c r="E6" s="439"/>
      <c r="F6" s="438" t="s">
        <v>47</v>
      </c>
    </row>
    <row r="7" spans="1:6" ht="15.95" customHeight="1" x14ac:dyDescent="0.2">
      <c r="B7" s="350"/>
      <c r="C7" s="350"/>
      <c r="D7" s="374"/>
      <c r="E7" s="439"/>
      <c r="F7" s="747" t="s">
        <v>536</v>
      </c>
    </row>
    <row r="8" spans="1:6" ht="15.95" customHeight="1" x14ac:dyDescent="0.2">
      <c r="A8" s="67"/>
      <c r="B8" s="750" t="s">
        <v>533</v>
      </c>
      <c r="C8" s="738" t="s">
        <v>534</v>
      </c>
      <c r="D8" s="738" t="s">
        <v>535</v>
      </c>
      <c r="E8" s="439"/>
      <c r="F8" s="738"/>
    </row>
    <row r="9" spans="1:6" ht="15.95" customHeight="1" x14ac:dyDescent="0.2">
      <c r="A9" s="35" t="s">
        <v>42</v>
      </c>
      <c r="B9" s="751"/>
      <c r="C9" s="641"/>
      <c r="D9" s="641"/>
      <c r="E9"/>
      <c r="F9" s="739"/>
    </row>
    <row r="10" spans="1:6" ht="5.0999999999999996" customHeight="1" x14ac:dyDescent="0.2">
      <c r="A10" s="6"/>
      <c r="B10" s="207"/>
      <c r="C10" s="207"/>
      <c r="D10" s="207"/>
      <c r="E10"/>
      <c r="F10" s="207"/>
    </row>
    <row r="11" spans="1:6" ht="14.1" customHeight="1" x14ac:dyDescent="0.2">
      <c r="A11" s="284" t="s">
        <v>110</v>
      </c>
      <c r="B11" s="285">
        <v>2731945</v>
      </c>
      <c r="C11" s="285">
        <v>0</v>
      </c>
      <c r="D11" s="285">
        <f t="shared" ref="D11:D46" si="0">SUM(B11:C11)</f>
        <v>2731945</v>
      </c>
      <c r="E11"/>
      <c r="F11" s="285">
        <v>0</v>
      </c>
    </row>
    <row r="12" spans="1:6" ht="14.1" customHeight="1" x14ac:dyDescent="0.2">
      <c r="A12" s="19" t="s">
        <v>111</v>
      </c>
      <c r="B12" s="20">
        <v>1578992</v>
      </c>
      <c r="C12" s="20">
        <v>40300</v>
      </c>
      <c r="D12" s="20">
        <f t="shared" si="0"/>
        <v>1619292</v>
      </c>
      <c r="E12"/>
      <c r="F12" s="20">
        <v>670234</v>
      </c>
    </row>
    <row r="13" spans="1:6" ht="14.1" customHeight="1" x14ac:dyDescent="0.2">
      <c r="A13" s="284" t="s">
        <v>112</v>
      </c>
      <c r="B13" s="285">
        <v>4026964</v>
      </c>
      <c r="C13" s="285">
        <v>8484</v>
      </c>
      <c r="D13" s="285">
        <f t="shared" si="0"/>
        <v>4035448</v>
      </c>
      <c r="E13"/>
      <c r="F13" s="285">
        <v>2682505</v>
      </c>
    </row>
    <row r="14" spans="1:6" ht="14.1" customHeight="1" x14ac:dyDescent="0.2">
      <c r="A14" s="19" t="s">
        <v>358</v>
      </c>
      <c r="B14" s="20">
        <v>9599554</v>
      </c>
      <c r="C14" s="20">
        <v>197286</v>
      </c>
      <c r="D14" s="20">
        <f t="shared" si="0"/>
        <v>9796840</v>
      </c>
      <c r="E14"/>
      <c r="F14" s="20">
        <v>1771611</v>
      </c>
    </row>
    <row r="15" spans="1:6" ht="14.1" customHeight="1" x14ac:dyDescent="0.2">
      <c r="A15" s="284" t="s">
        <v>113</v>
      </c>
      <c r="B15" s="285">
        <v>1970302</v>
      </c>
      <c r="C15" s="285">
        <v>737</v>
      </c>
      <c r="D15" s="285">
        <f t="shared" si="0"/>
        <v>1971039</v>
      </c>
      <c r="E15"/>
      <c r="F15" s="285">
        <v>357758</v>
      </c>
    </row>
    <row r="16" spans="1:6" ht="14.1" customHeight="1" x14ac:dyDescent="0.2">
      <c r="A16" s="19" t="s">
        <v>114</v>
      </c>
      <c r="B16" s="20">
        <v>483638</v>
      </c>
      <c r="C16" s="20">
        <v>36878</v>
      </c>
      <c r="D16" s="20">
        <f t="shared" si="0"/>
        <v>520516</v>
      </c>
      <c r="E16"/>
      <c r="F16" s="20">
        <v>37209</v>
      </c>
    </row>
    <row r="17" spans="1:6" ht="14.1" customHeight="1" x14ac:dyDescent="0.2">
      <c r="A17" s="284" t="s">
        <v>115</v>
      </c>
      <c r="B17" s="285">
        <v>1323822</v>
      </c>
      <c r="C17" s="285">
        <v>41888</v>
      </c>
      <c r="D17" s="285">
        <f t="shared" si="0"/>
        <v>1365710</v>
      </c>
      <c r="E17"/>
      <c r="F17" s="285">
        <v>19710</v>
      </c>
    </row>
    <row r="18" spans="1:6" ht="14.1" customHeight="1" x14ac:dyDescent="0.2">
      <c r="A18" s="19" t="s">
        <v>116</v>
      </c>
      <c r="B18" s="20">
        <v>5206293</v>
      </c>
      <c r="C18" s="20">
        <v>1015455</v>
      </c>
      <c r="D18" s="20">
        <f t="shared" si="0"/>
        <v>6221748</v>
      </c>
      <c r="E18"/>
      <c r="F18" s="20">
        <v>1133265</v>
      </c>
    </row>
    <row r="19" spans="1:6" ht="14.1" customHeight="1" x14ac:dyDescent="0.2">
      <c r="A19" s="284" t="s">
        <v>117</v>
      </c>
      <c r="B19" s="285">
        <v>7612507</v>
      </c>
      <c r="C19" s="285">
        <v>44027</v>
      </c>
      <c r="D19" s="285">
        <f t="shared" si="0"/>
        <v>7656534</v>
      </c>
      <c r="E19"/>
      <c r="F19" s="285">
        <v>691244</v>
      </c>
    </row>
    <row r="20" spans="1:6" ht="14.1" customHeight="1" x14ac:dyDescent="0.2">
      <c r="A20" s="19" t="s">
        <v>118</v>
      </c>
      <c r="B20" s="20">
        <v>9797755</v>
      </c>
      <c r="C20" s="20">
        <v>-676373</v>
      </c>
      <c r="D20" s="20">
        <f t="shared" si="0"/>
        <v>9121382</v>
      </c>
      <c r="E20"/>
      <c r="F20" s="20">
        <v>872684</v>
      </c>
    </row>
    <row r="21" spans="1:6" ht="14.1" customHeight="1" x14ac:dyDescent="0.2">
      <c r="A21" s="284" t="s">
        <v>119</v>
      </c>
      <c r="B21" s="285">
        <v>2035298</v>
      </c>
      <c r="C21" s="285">
        <v>17076</v>
      </c>
      <c r="D21" s="285">
        <f t="shared" si="0"/>
        <v>2052374</v>
      </c>
      <c r="E21"/>
      <c r="F21" s="285">
        <v>269679</v>
      </c>
    </row>
    <row r="22" spans="1:6" ht="14.1" customHeight="1" x14ac:dyDescent="0.2">
      <c r="A22" s="19" t="s">
        <v>120</v>
      </c>
      <c r="B22" s="20">
        <v>1858389</v>
      </c>
      <c r="C22" s="20">
        <v>3901</v>
      </c>
      <c r="D22" s="20">
        <f t="shared" si="0"/>
        <v>1862290</v>
      </c>
      <c r="E22"/>
      <c r="F22" s="20">
        <v>199714</v>
      </c>
    </row>
    <row r="23" spans="1:6" ht="14.1" customHeight="1" x14ac:dyDescent="0.2">
      <c r="A23" s="284" t="s">
        <v>121</v>
      </c>
      <c r="B23" s="285">
        <v>1278164</v>
      </c>
      <c r="C23" s="285">
        <v>27008</v>
      </c>
      <c r="D23" s="285">
        <f t="shared" si="0"/>
        <v>1305172</v>
      </c>
      <c r="E23"/>
      <c r="F23" s="285">
        <v>128114</v>
      </c>
    </row>
    <row r="24" spans="1:6" ht="14.1" customHeight="1" x14ac:dyDescent="0.2">
      <c r="A24" s="19" t="s">
        <v>122</v>
      </c>
      <c r="B24" s="20">
        <v>3246724</v>
      </c>
      <c r="C24" s="20">
        <v>96275</v>
      </c>
      <c r="D24" s="20">
        <f t="shared" si="0"/>
        <v>3342999</v>
      </c>
      <c r="E24"/>
      <c r="F24" s="20">
        <v>1488265</v>
      </c>
    </row>
    <row r="25" spans="1:6" ht="14.1" customHeight="1" x14ac:dyDescent="0.2">
      <c r="A25" s="284" t="s">
        <v>123</v>
      </c>
      <c r="B25" s="285">
        <v>5230608</v>
      </c>
      <c r="C25" s="285">
        <v>372906</v>
      </c>
      <c r="D25" s="285">
        <f t="shared" si="0"/>
        <v>5603514</v>
      </c>
      <c r="E25"/>
      <c r="F25" s="285">
        <v>1194346</v>
      </c>
    </row>
    <row r="26" spans="1:6" ht="14.1" customHeight="1" x14ac:dyDescent="0.2">
      <c r="A26" s="19" t="s">
        <v>124</v>
      </c>
      <c r="B26" s="20">
        <v>3100931</v>
      </c>
      <c r="C26" s="20">
        <v>38787</v>
      </c>
      <c r="D26" s="20">
        <f t="shared" si="0"/>
        <v>3139718</v>
      </c>
      <c r="E26"/>
      <c r="F26" s="20">
        <v>1444032</v>
      </c>
    </row>
    <row r="27" spans="1:6" ht="14.1" customHeight="1" x14ac:dyDescent="0.2">
      <c r="A27" s="284" t="s">
        <v>125</v>
      </c>
      <c r="B27" s="285">
        <v>1207989</v>
      </c>
      <c r="C27" s="285">
        <v>26456</v>
      </c>
      <c r="D27" s="285">
        <f t="shared" si="0"/>
        <v>1234445</v>
      </c>
      <c r="E27"/>
      <c r="F27" s="285">
        <v>793146</v>
      </c>
    </row>
    <row r="28" spans="1:6" ht="14.1" customHeight="1" x14ac:dyDescent="0.2">
      <c r="A28" s="19" t="s">
        <v>126</v>
      </c>
      <c r="B28" s="20">
        <v>1080064</v>
      </c>
      <c r="C28" s="20">
        <v>-713</v>
      </c>
      <c r="D28" s="20">
        <f t="shared" si="0"/>
        <v>1079351</v>
      </c>
      <c r="E28"/>
      <c r="F28" s="20">
        <v>330387</v>
      </c>
    </row>
    <row r="29" spans="1:6" ht="14.1" customHeight="1" x14ac:dyDescent="0.2">
      <c r="A29" s="284" t="s">
        <v>127</v>
      </c>
      <c r="B29" s="285">
        <v>6932258</v>
      </c>
      <c r="C29" s="285">
        <v>529106</v>
      </c>
      <c r="D29" s="285">
        <f t="shared" si="0"/>
        <v>7461364</v>
      </c>
      <c r="E29"/>
      <c r="F29" s="285">
        <v>2539629</v>
      </c>
    </row>
    <row r="30" spans="1:6" ht="14.1" customHeight="1" x14ac:dyDescent="0.2">
      <c r="A30" s="19" t="s">
        <v>128</v>
      </c>
      <c r="B30" s="20">
        <v>477553</v>
      </c>
      <c r="C30" s="20">
        <v>20758</v>
      </c>
      <c r="D30" s="20">
        <f t="shared" si="0"/>
        <v>498311</v>
      </c>
      <c r="E30"/>
      <c r="F30" s="20">
        <v>90451</v>
      </c>
    </row>
    <row r="31" spans="1:6" ht="14.1" customHeight="1" x14ac:dyDescent="0.2">
      <c r="A31" s="284" t="s">
        <v>129</v>
      </c>
      <c r="B31" s="285">
        <v>1269809</v>
      </c>
      <c r="C31" s="285">
        <v>135422</v>
      </c>
      <c r="D31" s="285">
        <f t="shared" si="0"/>
        <v>1405231</v>
      </c>
      <c r="E31"/>
      <c r="F31" s="285">
        <v>1848754</v>
      </c>
    </row>
    <row r="32" spans="1:6" ht="14.1" customHeight="1" x14ac:dyDescent="0.2">
      <c r="A32" s="19" t="s">
        <v>130</v>
      </c>
      <c r="B32" s="20">
        <v>1272544</v>
      </c>
      <c r="C32" s="20">
        <v>124006</v>
      </c>
      <c r="D32" s="20">
        <f t="shared" si="0"/>
        <v>1396550</v>
      </c>
      <c r="E32"/>
      <c r="F32" s="20">
        <v>792808</v>
      </c>
    </row>
    <row r="33" spans="1:6" ht="14.1" customHeight="1" x14ac:dyDescent="0.2">
      <c r="A33" s="284" t="s">
        <v>131</v>
      </c>
      <c r="B33" s="285">
        <v>825539</v>
      </c>
      <c r="C33" s="285">
        <v>1150</v>
      </c>
      <c r="D33" s="285">
        <f t="shared" si="0"/>
        <v>826689</v>
      </c>
      <c r="E33"/>
      <c r="F33" s="285">
        <v>347591</v>
      </c>
    </row>
    <row r="34" spans="1:6" ht="14.1" customHeight="1" x14ac:dyDescent="0.2">
      <c r="A34" s="19" t="s">
        <v>132</v>
      </c>
      <c r="B34" s="20">
        <v>1703558</v>
      </c>
      <c r="C34" s="20">
        <v>36630</v>
      </c>
      <c r="D34" s="20">
        <f t="shared" si="0"/>
        <v>1740188</v>
      </c>
      <c r="E34"/>
      <c r="F34" s="20">
        <v>816203</v>
      </c>
    </row>
    <row r="35" spans="1:6" ht="14.1" customHeight="1" x14ac:dyDescent="0.2">
      <c r="A35" s="284" t="s">
        <v>133</v>
      </c>
      <c r="B35" s="285">
        <v>6227710</v>
      </c>
      <c r="C35" s="285">
        <v>156063</v>
      </c>
      <c r="D35" s="285">
        <f t="shared" si="0"/>
        <v>6383773</v>
      </c>
      <c r="E35"/>
      <c r="F35" s="285">
        <v>3918363</v>
      </c>
    </row>
    <row r="36" spans="1:6" ht="14.1" customHeight="1" x14ac:dyDescent="0.2">
      <c r="A36" s="19" t="s">
        <v>134</v>
      </c>
      <c r="B36" s="20">
        <v>768622</v>
      </c>
      <c r="C36" s="20">
        <v>0</v>
      </c>
      <c r="D36" s="20">
        <f t="shared" si="0"/>
        <v>768622</v>
      </c>
      <c r="E36"/>
      <c r="F36" s="20">
        <v>16024</v>
      </c>
    </row>
    <row r="37" spans="1:6" ht="14.1" customHeight="1" x14ac:dyDescent="0.2">
      <c r="A37" s="284" t="s">
        <v>135</v>
      </c>
      <c r="B37" s="285">
        <v>3451258</v>
      </c>
      <c r="C37" s="285">
        <v>-594258</v>
      </c>
      <c r="D37" s="285">
        <f t="shared" si="0"/>
        <v>2857000</v>
      </c>
      <c r="E37"/>
      <c r="F37" s="285">
        <v>898636</v>
      </c>
    </row>
    <row r="38" spans="1:6" ht="14.1" customHeight="1" x14ac:dyDescent="0.2">
      <c r="A38" s="19" t="s">
        <v>136</v>
      </c>
      <c r="B38" s="20">
        <v>9075060</v>
      </c>
      <c r="C38" s="20">
        <v>3849675</v>
      </c>
      <c r="D38" s="20">
        <f t="shared" si="0"/>
        <v>12924735</v>
      </c>
      <c r="E38"/>
      <c r="F38" s="20">
        <v>3716899</v>
      </c>
    </row>
    <row r="39" spans="1:6" ht="14.1" customHeight="1" x14ac:dyDescent="0.2">
      <c r="A39" s="284" t="s">
        <v>137</v>
      </c>
      <c r="B39" s="285">
        <v>2215955</v>
      </c>
      <c r="C39" s="285">
        <v>1300</v>
      </c>
      <c r="D39" s="285">
        <f t="shared" si="0"/>
        <v>2217255</v>
      </c>
      <c r="E39"/>
      <c r="F39" s="285">
        <v>512192</v>
      </c>
    </row>
    <row r="40" spans="1:6" ht="14.1" customHeight="1" x14ac:dyDescent="0.2">
      <c r="A40" s="19" t="s">
        <v>138</v>
      </c>
      <c r="B40" s="20">
        <v>2774756</v>
      </c>
      <c r="C40" s="20">
        <v>99167</v>
      </c>
      <c r="D40" s="20">
        <f t="shared" si="0"/>
        <v>2873923</v>
      </c>
      <c r="E40"/>
      <c r="F40" s="20">
        <v>3312552</v>
      </c>
    </row>
    <row r="41" spans="1:6" ht="14.1" customHeight="1" x14ac:dyDescent="0.2">
      <c r="A41" s="284" t="s">
        <v>139</v>
      </c>
      <c r="B41" s="285">
        <v>3382950</v>
      </c>
      <c r="C41" s="285">
        <v>11066</v>
      </c>
      <c r="D41" s="285">
        <f t="shared" si="0"/>
        <v>3394016</v>
      </c>
      <c r="E41"/>
      <c r="F41" s="285">
        <v>1333092</v>
      </c>
    </row>
    <row r="42" spans="1:6" ht="14.1" customHeight="1" x14ac:dyDescent="0.2">
      <c r="A42" s="19" t="s">
        <v>140</v>
      </c>
      <c r="B42" s="20">
        <v>1587534</v>
      </c>
      <c r="C42" s="20">
        <v>-126121</v>
      </c>
      <c r="D42" s="20">
        <f t="shared" si="0"/>
        <v>1461413</v>
      </c>
      <c r="E42"/>
      <c r="F42" s="20">
        <v>215402</v>
      </c>
    </row>
    <row r="43" spans="1:6" ht="14.1" customHeight="1" x14ac:dyDescent="0.2">
      <c r="A43" s="284" t="s">
        <v>141</v>
      </c>
      <c r="B43" s="285">
        <v>1046711</v>
      </c>
      <c r="C43" s="285">
        <v>1937</v>
      </c>
      <c r="D43" s="285">
        <f t="shared" si="0"/>
        <v>1048648</v>
      </c>
      <c r="E43"/>
      <c r="F43" s="285">
        <v>25320</v>
      </c>
    </row>
    <row r="44" spans="1:6" ht="14.1" customHeight="1" x14ac:dyDescent="0.2">
      <c r="A44" s="19" t="s">
        <v>142</v>
      </c>
      <c r="B44" s="20">
        <v>430032</v>
      </c>
      <c r="C44" s="20">
        <v>10052</v>
      </c>
      <c r="D44" s="20">
        <f t="shared" si="0"/>
        <v>440084</v>
      </c>
      <c r="E44"/>
      <c r="F44" s="20">
        <v>486585</v>
      </c>
    </row>
    <row r="45" spans="1:6" ht="14.1" customHeight="1" x14ac:dyDescent="0.2">
      <c r="A45" s="284" t="s">
        <v>143</v>
      </c>
      <c r="B45" s="285">
        <v>764395</v>
      </c>
      <c r="C45" s="285">
        <v>0</v>
      </c>
      <c r="D45" s="285">
        <f t="shared" si="0"/>
        <v>764395</v>
      </c>
      <c r="E45"/>
      <c r="F45" s="285">
        <v>403321</v>
      </c>
    </row>
    <row r="46" spans="1:6" ht="14.1" customHeight="1" x14ac:dyDescent="0.2">
      <c r="A46" s="19" t="s">
        <v>144</v>
      </c>
      <c r="B46" s="20">
        <v>15041368</v>
      </c>
      <c r="C46" s="20">
        <v>97731</v>
      </c>
      <c r="D46" s="20">
        <f t="shared" si="0"/>
        <v>15139099</v>
      </c>
      <c r="E46"/>
      <c r="F46" s="20">
        <v>4662057</v>
      </c>
    </row>
    <row r="47" spans="1:6" ht="5.0999999999999996" customHeight="1" x14ac:dyDescent="0.2">
      <c r="A47" s="21"/>
      <c r="B47" s="22"/>
      <c r="C47" s="22"/>
      <c r="D47" s="22"/>
      <c r="E47"/>
      <c r="F47" s="22"/>
    </row>
    <row r="48" spans="1:6" ht="14.1" customHeight="1" x14ac:dyDescent="0.2">
      <c r="A48" s="286" t="s">
        <v>145</v>
      </c>
      <c r="B48" s="287">
        <f>SUM(B11:B46)</f>
        <v>122617551</v>
      </c>
      <c r="C48" s="287">
        <f>SUM(C11:C46)</f>
        <v>5644062</v>
      </c>
      <c r="D48" s="287">
        <f>SUM(D11:D46)</f>
        <v>128261613</v>
      </c>
      <c r="E48"/>
      <c r="F48" s="287">
        <f>SUM(F11:F46)</f>
        <v>40019782</v>
      </c>
    </row>
    <row r="49" spans="1:6" ht="5.0999999999999996" customHeight="1" x14ac:dyDescent="0.2">
      <c r="A49" s="21" t="s">
        <v>7</v>
      </c>
      <c r="B49" s="22"/>
      <c r="C49" s="22"/>
      <c r="D49" s="22"/>
      <c r="E49"/>
      <c r="F49" s="22"/>
    </row>
    <row r="50" spans="1:6" ht="14.1" customHeight="1" x14ac:dyDescent="0.2">
      <c r="A50" s="19" t="s">
        <v>146</v>
      </c>
      <c r="B50" s="20">
        <v>0</v>
      </c>
      <c r="C50" s="20">
        <v>9791</v>
      </c>
      <c r="D50" s="20">
        <f>SUM(B50:C50)</f>
        <v>9791</v>
      </c>
      <c r="E50"/>
      <c r="F50" s="20">
        <v>36886</v>
      </c>
    </row>
    <row r="51" spans="1:6" ht="14.1" customHeight="1" x14ac:dyDescent="0.2">
      <c r="A51" s="284" t="s">
        <v>599</v>
      </c>
      <c r="B51" s="285">
        <v>110400</v>
      </c>
      <c r="C51" s="285">
        <v>112055</v>
      </c>
      <c r="D51" s="285">
        <f>SUM(B51:C51)</f>
        <v>222455</v>
      </c>
      <c r="E51"/>
      <c r="F51" s="285">
        <v>-4583</v>
      </c>
    </row>
    <row r="52" spans="1:6" ht="50.1" customHeight="1" x14ac:dyDescent="0.2">
      <c r="A52" s="23"/>
      <c r="B52" s="23"/>
      <c r="C52" s="23"/>
      <c r="D52" s="23"/>
      <c r="E52" s="23"/>
      <c r="F52" s="23"/>
    </row>
    <row r="53" spans="1:6" ht="13.5" customHeight="1" x14ac:dyDescent="0.2">
      <c r="A53" s="414" t="s">
        <v>619</v>
      </c>
      <c r="B53" s="184"/>
      <c r="C53" s="184"/>
      <c r="D53" s="184"/>
      <c r="E53" s="184"/>
    </row>
    <row r="54" spans="1:6" x14ac:dyDescent="0.2">
      <c r="A54" s="414" t="s">
        <v>352</v>
      </c>
    </row>
  </sheetData>
  <mergeCells count="6">
    <mergeCell ref="F7:F9"/>
    <mergeCell ref="B2:E2"/>
    <mergeCell ref="B3:E3"/>
    <mergeCell ref="B8:B9"/>
    <mergeCell ref="C8:C9"/>
    <mergeCell ref="D8:D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E55"/>
  <sheetViews>
    <sheetView showGridLines="0" showZeros="0" workbookViewId="0"/>
  </sheetViews>
  <sheetFormatPr defaultColWidth="19.83203125" defaultRowHeight="12" x14ac:dyDescent="0.2"/>
  <cols>
    <col min="1" max="1" width="32.83203125" style="2" customWidth="1"/>
    <col min="2" max="4" width="18.83203125" style="2" customWidth="1"/>
    <col min="5" max="5" width="44.83203125" style="2" customWidth="1"/>
    <col min="6" max="16384" width="19.83203125" style="2"/>
  </cols>
  <sheetData>
    <row r="1" spans="1:5" ht="6.95" customHeight="1" x14ac:dyDescent="0.2">
      <c r="A1" s="7"/>
      <c r="B1" s="7"/>
    </row>
    <row r="2" spans="1:5" ht="15.95" customHeight="1" x14ac:dyDescent="0.2">
      <c r="A2" s="134"/>
      <c r="B2" s="748" t="str">
        <f>"CAPITAL FUND "&amp;FALLYR&amp;"/"&amp;SPRINGYR&amp;" ACTUAL"</f>
        <v>CAPITAL FUND 2019/2020 ACTUAL</v>
      </c>
      <c r="C2" s="748"/>
      <c r="D2" s="748"/>
      <c r="E2" s="231" t="s">
        <v>254</v>
      </c>
    </row>
    <row r="3" spans="1:5" ht="15.95" customHeight="1" x14ac:dyDescent="0.2">
      <c r="A3" s="541"/>
      <c r="B3" s="743" t="s">
        <v>272</v>
      </c>
      <c r="C3" s="743"/>
      <c r="D3" s="743"/>
      <c r="E3" s="226"/>
    </row>
    <row r="4" spans="1:5" ht="15.95" customHeight="1" x14ac:dyDescent="0.2">
      <c r="C4" s="8"/>
      <c r="D4" s="8"/>
    </row>
    <row r="5" spans="1:5" ht="15.95" customHeight="1" x14ac:dyDescent="0.2">
      <c r="B5" s="440"/>
      <c r="C5" s="441"/>
      <c r="D5" s="441"/>
    </row>
    <row r="6" spans="1:5" ht="15.95" customHeight="1" x14ac:dyDescent="0.2">
      <c r="B6" s="756" t="s">
        <v>537</v>
      </c>
      <c r="C6" s="752" t="s">
        <v>268</v>
      </c>
      <c r="D6" s="753"/>
    </row>
    <row r="7" spans="1:5" ht="15.95" customHeight="1" x14ac:dyDescent="0.2">
      <c r="B7" s="757"/>
      <c r="C7" s="761" t="s">
        <v>539</v>
      </c>
      <c r="D7" s="408"/>
    </row>
    <row r="8" spans="1:5" ht="15.95" customHeight="1" x14ac:dyDescent="0.2">
      <c r="A8" s="403"/>
      <c r="B8" s="757"/>
      <c r="C8" s="761"/>
      <c r="D8" s="759" t="s">
        <v>538</v>
      </c>
    </row>
    <row r="9" spans="1:5" ht="15.95" customHeight="1" x14ac:dyDescent="0.2">
      <c r="A9" s="404" t="s">
        <v>42</v>
      </c>
      <c r="B9" s="758"/>
      <c r="C9" s="762"/>
      <c r="D9" s="760"/>
    </row>
    <row r="10" spans="1:5" ht="5.0999999999999996" customHeight="1" x14ac:dyDescent="0.2">
      <c r="A10" s="6"/>
      <c r="B10" s="207"/>
      <c r="C10" s="207"/>
    </row>
    <row r="11" spans="1:5" ht="14.1" customHeight="1" x14ac:dyDescent="0.2">
      <c r="A11" s="284" t="s">
        <v>110</v>
      </c>
      <c r="B11" s="419">
        <v>7117491</v>
      </c>
      <c r="C11" s="417">
        <v>5818389</v>
      </c>
      <c r="D11" s="285">
        <v>1299102</v>
      </c>
    </row>
    <row r="12" spans="1:5" ht="14.1" customHeight="1" x14ac:dyDescent="0.2">
      <c r="A12" s="19" t="s">
        <v>111</v>
      </c>
      <c r="B12" s="420">
        <v>12948375</v>
      </c>
      <c r="C12" s="418">
        <v>10067964</v>
      </c>
      <c r="D12" s="20">
        <v>2880411</v>
      </c>
    </row>
    <row r="13" spans="1:5" ht="14.1" customHeight="1" x14ac:dyDescent="0.2">
      <c r="A13" s="284" t="s">
        <v>112</v>
      </c>
      <c r="B13" s="419">
        <v>19869439</v>
      </c>
      <c r="C13" s="417">
        <v>12718678</v>
      </c>
      <c r="D13" s="285">
        <v>7150761</v>
      </c>
    </row>
    <row r="14" spans="1:5" ht="14.1" customHeight="1" x14ac:dyDescent="0.2">
      <c r="A14" s="19" t="s">
        <v>358</v>
      </c>
      <c r="B14" s="420">
        <v>47878194</v>
      </c>
      <c r="C14" s="418">
        <v>42029739</v>
      </c>
      <c r="D14" s="20">
        <v>5848455</v>
      </c>
    </row>
    <row r="15" spans="1:5" ht="14.1" customHeight="1" x14ac:dyDescent="0.2">
      <c r="A15" s="284" t="s">
        <v>113</v>
      </c>
      <c r="B15" s="419">
        <v>10345586</v>
      </c>
      <c r="C15" s="417">
        <v>8206077</v>
      </c>
      <c r="D15" s="285">
        <v>2139509</v>
      </c>
    </row>
    <row r="16" spans="1:5" ht="14.1" customHeight="1" x14ac:dyDescent="0.2">
      <c r="A16" s="19" t="s">
        <v>114</v>
      </c>
      <c r="B16" s="420">
        <v>2182799</v>
      </c>
      <c r="C16" s="418">
        <v>2019515</v>
      </c>
      <c r="D16" s="20">
        <v>163284</v>
      </c>
    </row>
    <row r="17" spans="1:4" ht="14.1" customHeight="1" x14ac:dyDescent="0.2">
      <c r="A17" s="284" t="s">
        <v>115</v>
      </c>
      <c r="B17" s="419">
        <v>5951669</v>
      </c>
      <c r="C17" s="417">
        <v>5332012</v>
      </c>
      <c r="D17" s="285">
        <v>619657</v>
      </c>
    </row>
    <row r="18" spans="1:4" ht="14.1" customHeight="1" x14ac:dyDescent="0.2">
      <c r="A18" s="19" t="s">
        <v>116</v>
      </c>
      <c r="B18" s="420">
        <v>34880993</v>
      </c>
      <c r="C18" s="418">
        <v>32270567</v>
      </c>
      <c r="D18" s="20">
        <v>2610426</v>
      </c>
    </row>
    <row r="19" spans="1:4" ht="14.1" customHeight="1" x14ac:dyDescent="0.2">
      <c r="A19" s="284" t="s">
        <v>117</v>
      </c>
      <c r="B19" s="419">
        <v>24999413</v>
      </c>
      <c r="C19" s="417">
        <v>24808059</v>
      </c>
      <c r="D19" s="285">
        <v>191354</v>
      </c>
    </row>
    <row r="20" spans="1:4" ht="14.1" customHeight="1" x14ac:dyDescent="0.2">
      <c r="A20" s="19" t="s">
        <v>118</v>
      </c>
      <c r="B20" s="420">
        <v>26692828</v>
      </c>
      <c r="C20" s="418">
        <v>26692828</v>
      </c>
      <c r="D20" s="37">
        <v>0</v>
      </c>
    </row>
    <row r="21" spans="1:4" ht="14.1" customHeight="1" x14ac:dyDescent="0.2">
      <c r="A21" s="284" t="s">
        <v>119</v>
      </c>
      <c r="B21" s="419">
        <v>4828726</v>
      </c>
      <c r="C21" s="417">
        <v>4758111</v>
      </c>
      <c r="D21" s="285">
        <v>70615</v>
      </c>
    </row>
    <row r="22" spans="1:4" ht="14.1" customHeight="1" x14ac:dyDescent="0.2">
      <c r="A22" s="19" t="s">
        <v>120</v>
      </c>
      <c r="B22" s="420">
        <v>18462365</v>
      </c>
      <c r="C22" s="418">
        <v>18462365</v>
      </c>
      <c r="D22" s="20">
        <v>0</v>
      </c>
    </row>
    <row r="23" spans="1:4" ht="14.1" customHeight="1" x14ac:dyDescent="0.2">
      <c r="A23" s="284" t="s">
        <v>121</v>
      </c>
      <c r="B23" s="419">
        <v>5760818</v>
      </c>
      <c r="C23" s="417">
        <v>4561912</v>
      </c>
      <c r="D23" s="285">
        <v>1198906</v>
      </c>
    </row>
    <row r="24" spans="1:4" ht="14.1" customHeight="1" x14ac:dyDescent="0.2">
      <c r="A24" s="19" t="s">
        <v>122</v>
      </c>
      <c r="B24" s="420">
        <v>12872534</v>
      </c>
      <c r="C24" s="418">
        <v>11398259</v>
      </c>
      <c r="D24" s="20">
        <v>1474275</v>
      </c>
    </row>
    <row r="25" spans="1:4" ht="14.1" customHeight="1" x14ac:dyDescent="0.2">
      <c r="A25" s="284" t="s">
        <v>123</v>
      </c>
      <c r="B25" s="419">
        <v>27636715</v>
      </c>
      <c r="C25" s="417">
        <v>26691466</v>
      </c>
      <c r="D25" s="285">
        <v>945249</v>
      </c>
    </row>
    <row r="26" spans="1:4" ht="14.1" customHeight="1" x14ac:dyDescent="0.2">
      <c r="A26" s="19" t="s">
        <v>124</v>
      </c>
      <c r="B26" s="420">
        <v>6360143</v>
      </c>
      <c r="C26" s="418">
        <v>5642183</v>
      </c>
      <c r="D26" s="20">
        <v>717960</v>
      </c>
    </row>
    <row r="27" spans="1:4" ht="14.1" customHeight="1" x14ac:dyDescent="0.2">
      <c r="A27" s="284" t="s">
        <v>125</v>
      </c>
      <c r="B27" s="419">
        <v>8890417</v>
      </c>
      <c r="C27" s="417">
        <v>8584030</v>
      </c>
      <c r="D27" s="285">
        <v>306387</v>
      </c>
    </row>
    <row r="28" spans="1:4" ht="14.1" customHeight="1" x14ac:dyDescent="0.2">
      <c r="A28" s="19" t="s">
        <v>126</v>
      </c>
      <c r="B28" s="420">
        <v>1213890</v>
      </c>
      <c r="C28" s="418">
        <v>1213890</v>
      </c>
      <c r="D28" s="20">
        <v>0</v>
      </c>
    </row>
    <row r="29" spans="1:4" ht="14.1" customHeight="1" x14ac:dyDescent="0.2">
      <c r="A29" s="284" t="s">
        <v>127</v>
      </c>
      <c r="B29" s="419">
        <v>44147819</v>
      </c>
      <c r="C29" s="417">
        <v>27815501</v>
      </c>
      <c r="D29" s="285">
        <v>16332318</v>
      </c>
    </row>
    <row r="30" spans="1:4" ht="14.1" customHeight="1" x14ac:dyDescent="0.2">
      <c r="A30" s="19" t="s">
        <v>128</v>
      </c>
      <c r="B30" s="420">
        <v>2657969</v>
      </c>
      <c r="C30" s="418">
        <v>1712357</v>
      </c>
      <c r="D30" s="20">
        <v>945612</v>
      </c>
    </row>
    <row r="31" spans="1:4" ht="14.1" customHeight="1" x14ac:dyDescent="0.2">
      <c r="A31" s="284" t="s">
        <v>129</v>
      </c>
      <c r="B31" s="419">
        <v>10664815</v>
      </c>
      <c r="C31" s="417">
        <v>7169418</v>
      </c>
      <c r="D31" s="285">
        <v>3495397</v>
      </c>
    </row>
    <row r="32" spans="1:4" ht="14.1" customHeight="1" x14ac:dyDescent="0.2">
      <c r="A32" s="19" t="s">
        <v>130</v>
      </c>
      <c r="B32" s="420">
        <v>5711830</v>
      </c>
      <c r="C32" s="418">
        <v>5434610</v>
      </c>
      <c r="D32" s="20">
        <v>277216</v>
      </c>
    </row>
    <row r="33" spans="1:4" ht="14.1" customHeight="1" x14ac:dyDescent="0.2">
      <c r="A33" s="284" t="s">
        <v>131</v>
      </c>
      <c r="B33" s="419">
        <v>7435961</v>
      </c>
      <c r="C33" s="417">
        <v>6280005</v>
      </c>
      <c r="D33" s="285">
        <v>1155956</v>
      </c>
    </row>
    <row r="34" spans="1:4" ht="14.1" customHeight="1" x14ac:dyDescent="0.2">
      <c r="A34" s="19" t="s">
        <v>132</v>
      </c>
      <c r="B34" s="420">
        <v>8183531</v>
      </c>
      <c r="C34" s="418">
        <v>7784501</v>
      </c>
      <c r="D34" s="20">
        <v>399030</v>
      </c>
    </row>
    <row r="35" spans="1:4" ht="14.1" customHeight="1" x14ac:dyDescent="0.2">
      <c r="A35" s="284" t="s">
        <v>133</v>
      </c>
      <c r="B35" s="419">
        <v>27084778</v>
      </c>
      <c r="C35" s="417">
        <v>25240969</v>
      </c>
      <c r="D35" s="285">
        <v>1843809</v>
      </c>
    </row>
    <row r="36" spans="1:4" ht="14.1" customHeight="1" x14ac:dyDescent="0.2">
      <c r="A36" s="19" t="s">
        <v>134</v>
      </c>
      <c r="B36" s="420">
        <v>7459377</v>
      </c>
      <c r="C36" s="418">
        <v>5614675</v>
      </c>
      <c r="D36" s="20">
        <v>1844702</v>
      </c>
    </row>
    <row r="37" spans="1:4" ht="14.1" customHeight="1" x14ac:dyDescent="0.2">
      <c r="A37" s="284" t="s">
        <v>135</v>
      </c>
      <c r="B37" s="419">
        <v>11515019</v>
      </c>
      <c r="C37" s="417">
        <v>11492156</v>
      </c>
      <c r="D37" s="285">
        <v>22863</v>
      </c>
    </row>
    <row r="38" spans="1:4" ht="14.1" customHeight="1" x14ac:dyDescent="0.2">
      <c r="A38" s="19" t="s">
        <v>136</v>
      </c>
      <c r="B38" s="420">
        <v>52663798</v>
      </c>
      <c r="C38" s="418">
        <v>52563905</v>
      </c>
      <c r="D38" s="20">
        <v>99896</v>
      </c>
    </row>
    <row r="39" spans="1:4" ht="14.1" customHeight="1" x14ac:dyDescent="0.2">
      <c r="A39" s="284" t="s">
        <v>137</v>
      </c>
      <c r="B39" s="419">
        <v>9139998</v>
      </c>
      <c r="C39" s="417">
        <v>6045180</v>
      </c>
      <c r="D39" s="285">
        <v>3094818</v>
      </c>
    </row>
    <row r="40" spans="1:4" ht="14.1" customHeight="1" x14ac:dyDescent="0.2">
      <c r="A40" s="19" t="s">
        <v>138</v>
      </c>
      <c r="B40" s="420">
        <v>34244686</v>
      </c>
      <c r="C40" s="418">
        <v>28618796</v>
      </c>
      <c r="D40" s="20">
        <v>5625890</v>
      </c>
    </row>
    <row r="41" spans="1:4" ht="14.1" customHeight="1" x14ac:dyDescent="0.2">
      <c r="A41" s="284" t="s">
        <v>139</v>
      </c>
      <c r="B41" s="419">
        <v>14101890</v>
      </c>
      <c r="C41" s="417">
        <v>13530051</v>
      </c>
      <c r="D41" s="285">
        <v>571839</v>
      </c>
    </row>
    <row r="42" spans="1:4" ht="14.1" customHeight="1" x14ac:dyDescent="0.2">
      <c r="A42" s="19" t="s">
        <v>140</v>
      </c>
      <c r="B42" s="420">
        <v>5836923</v>
      </c>
      <c r="C42" s="418">
        <v>3045040</v>
      </c>
      <c r="D42" s="20">
        <v>2791883</v>
      </c>
    </row>
    <row r="43" spans="1:4" ht="14.1" customHeight="1" x14ac:dyDescent="0.2">
      <c r="A43" s="284" t="s">
        <v>141</v>
      </c>
      <c r="B43" s="419">
        <v>912995</v>
      </c>
      <c r="C43" s="417">
        <v>856130</v>
      </c>
      <c r="D43" s="285">
        <v>56865</v>
      </c>
    </row>
    <row r="44" spans="1:4" ht="14.1" customHeight="1" x14ac:dyDescent="0.2">
      <c r="A44" s="19" t="s">
        <v>142</v>
      </c>
      <c r="B44" s="420">
        <v>3347473</v>
      </c>
      <c r="C44" s="418">
        <v>1751406</v>
      </c>
      <c r="D44" s="20">
        <v>1596067</v>
      </c>
    </row>
    <row r="45" spans="1:4" ht="14.1" customHeight="1" x14ac:dyDescent="0.2">
      <c r="A45" s="284" t="s">
        <v>143</v>
      </c>
      <c r="B45" s="419">
        <v>4855023</v>
      </c>
      <c r="C45" s="417">
        <v>4422151</v>
      </c>
      <c r="D45" s="285">
        <v>432872</v>
      </c>
    </row>
    <row r="46" spans="1:4" ht="14.1" customHeight="1" x14ac:dyDescent="0.2">
      <c r="A46" s="19" t="s">
        <v>144</v>
      </c>
      <c r="B46" s="420">
        <v>84331585</v>
      </c>
      <c r="C46" s="418">
        <v>81630813</v>
      </c>
      <c r="D46" s="20">
        <v>2700772</v>
      </c>
    </row>
    <row r="47" spans="1:4" ht="5.0999999999999996" customHeight="1" x14ac:dyDescent="0.2">
      <c r="A47" s="21"/>
      <c r="B47" s="22"/>
      <c r="C47" s="22"/>
      <c r="D47" s="22"/>
    </row>
    <row r="48" spans="1:4" ht="14.1" customHeight="1" x14ac:dyDescent="0.2">
      <c r="A48" s="286" t="s">
        <v>145</v>
      </c>
      <c r="B48" s="422">
        <f>SUM(B11:B46)</f>
        <v>613187865</v>
      </c>
      <c r="C48" s="421">
        <f>SUM(C11:C46)</f>
        <v>542283708</v>
      </c>
      <c r="D48" s="287">
        <f>SUM(D11:D46)</f>
        <v>70904156</v>
      </c>
    </row>
    <row r="49" spans="1:5" ht="5.0999999999999996" customHeight="1" x14ac:dyDescent="0.2">
      <c r="A49" s="21" t="s">
        <v>7</v>
      </c>
      <c r="B49" s="22"/>
      <c r="C49" s="22"/>
      <c r="D49" s="22"/>
    </row>
    <row r="50" spans="1:5" ht="14.1" customHeight="1" x14ac:dyDescent="0.2">
      <c r="A50" s="19" t="s">
        <v>146</v>
      </c>
      <c r="B50" s="420">
        <v>1450313</v>
      </c>
      <c r="C50" s="418">
        <v>827243</v>
      </c>
      <c r="D50" s="37">
        <v>623070</v>
      </c>
    </row>
    <row r="51" spans="1:5" ht="14.1" customHeight="1" x14ac:dyDescent="0.2">
      <c r="A51" s="284" t="s">
        <v>599</v>
      </c>
      <c r="B51" s="419">
        <v>4990412</v>
      </c>
      <c r="C51" s="417">
        <v>4990412</v>
      </c>
      <c r="D51" s="285">
        <v>0</v>
      </c>
    </row>
    <row r="52" spans="1:5" ht="50.1" customHeight="1" x14ac:dyDescent="0.2">
      <c r="A52" s="23"/>
      <c r="B52" s="23"/>
      <c r="C52" s="23"/>
      <c r="D52" s="23"/>
      <c r="E52" s="23"/>
    </row>
    <row r="53" spans="1:5" ht="21.6" customHeight="1" x14ac:dyDescent="0.2">
      <c r="A53" s="754" t="s">
        <v>629</v>
      </c>
      <c r="B53" s="754"/>
      <c r="C53" s="754"/>
      <c r="D53" s="754"/>
      <c r="E53" s="754"/>
    </row>
    <row r="54" spans="1:5" ht="2.4500000000000002" customHeight="1" x14ac:dyDescent="0.2">
      <c r="A54" s="755"/>
      <c r="B54" s="755"/>
      <c r="C54" s="755"/>
      <c r="D54" s="755"/>
      <c r="E54" s="755"/>
    </row>
    <row r="55" spans="1:5" x14ac:dyDescent="0.2">
      <c r="A55" s="502" t="s">
        <v>649</v>
      </c>
    </row>
  </sheetData>
  <mergeCells count="7">
    <mergeCell ref="C6:D6"/>
    <mergeCell ref="B2:D2"/>
    <mergeCell ref="B3:D3"/>
    <mergeCell ref="A53:E54"/>
    <mergeCell ref="B6:B9"/>
    <mergeCell ref="D8:D9"/>
    <mergeCell ref="C7:C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H57"/>
  <sheetViews>
    <sheetView showGridLines="0" showZeros="0" workbookViewId="0"/>
  </sheetViews>
  <sheetFormatPr defaultColWidth="15.83203125" defaultRowHeight="12" x14ac:dyDescent="0.2"/>
  <cols>
    <col min="1" max="1" width="29" style="2" customWidth="1"/>
    <col min="2" max="2" width="14.33203125" style="2" customWidth="1"/>
    <col min="3" max="3" width="16.33203125" style="2" customWidth="1"/>
    <col min="4" max="4" width="15.1640625" style="2" customWidth="1"/>
    <col min="5" max="5" width="15" style="2" customWidth="1"/>
    <col min="6" max="6" width="15.1640625" style="2" customWidth="1"/>
    <col min="7" max="7" width="16.6640625" style="2" customWidth="1"/>
    <col min="8" max="16384" width="15.83203125" style="2"/>
  </cols>
  <sheetData>
    <row r="1" spans="1:7" ht="6.95" customHeight="1" x14ac:dyDescent="0.2">
      <c r="A1" s="7"/>
    </row>
    <row r="2" spans="1:7" ht="15.95" customHeight="1" x14ac:dyDescent="0.2">
      <c r="A2" s="134"/>
      <c r="B2" s="748" t="str">
        <f>"CAPITAL FUND "&amp;FALLYR&amp;"/"&amp;SPRINGYR&amp;" ACTUAL"</f>
        <v>CAPITAL FUND 2019/2020 ACTUAL</v>
      </c>
      <c r="C2" s="748"/>
      <c r="D2" s="748"/>
      <c r="E2" s="748"/>
      <c r="F2" s="748"/>
      <c r="G2" s="231" t="s">
        <v>256</v>
      </c>
    </row>
    <row r="3" spans="1:7" ht="15.95" customHeight="1" x14ac:dyDescent="0.2">
      <c r="A3" s="541"/>
      <c r="B3" s="743" t="s">
        <v>3</v>
      </c>
      <c r="C3" s="743"/>
      <c r="D3" s="743"/>
      <c r="E3" s="743"/>
      <c r="F3" s="743"/>
      <c r="G3" s="226"/>
    </row>
    <row r="4" spans="1:7" ht="15.95" customHeight="1" x14ac:dyDescent="0.2">
      <c r="B4" s="8"/>
      <c r="C4" s="227"/>
      <c r="D4" s="8"/>
      <c r="E4" s="8"/>
    </row>
    <row r="5" spans="1:7" ht="15.95" customHeight="1" x14ac:dyDescent="0.2">
      <c r="B5" s="8"/>
      <c r="C5" s="8"/>
      <c r="D5" s="8"/>
      <c r="E5" s="8"/>
    </row>
    <row r="6" spans="1:7" ht="15.95" customHeight="1" x14ac:dyDescent="0.2">
      <c r="B6" s="766" t="s">
        <v>275</v>
      </c>
      <c r="C6" s="767"/>
      <c r="D6" s="767"/>
      <c r="E6" s="767"/>
      <c r="F6" s="767"/>
      <c r="G6" s="768"/>
    </row>
    <row r="7" spans="1:7" ht="15.95" customHeight="1" x14ac:dyDescent="0.2">
      <c r="B7" s="423"/>
      <c r="C7" s="451"/>
      <c r="D7" s="769" t="s">
        <v>540</v>
      </c>
      <c r="E7" s="769" t="s">
        <v>541</v>
      </c>
      <c r="F7" s="423"/>
      <c r="G7" s="410"/>
    </row>
    <row r="8" spans="1:7" ht="15.95" customHeight="1" x14ac:dyDescent="0.2">
      <c r="A8" s="403"/>
      <c r="B8" s="764" t="s">
        <v>271</v>
      </c>
      <c r="C8" s="437"/>
      <c r="D8" s="744"/>
      <c r="E8" s="744"/>
      <c r="F8" s="424"/>
      <c r="G8" s="411"/>
    </row>
    <row r="9" spans="1:7" ht="15.95" customHeight="1" x14ac:dyDescent="0.2">
      <c r="A9" s="404" t="s">
        <v>42</v>
      </c>
      <c r="B9" s="765"/>
      <c r="C9" s="425" t="s">
        <v>282</v>
      </c>
      <c r="D9" s="745"/>
      <c r="E9" s="745"/>
      <c r="F9" s="425" t="s">
        <v>362</v>
      </c>
      <c r="G9" s="299" t="s">
        <v>31</v>
      </c>
    </row>
    <row r="10" spans="1:7" ht="5.0999999999999996" customHeight="1" x14ac:dyDescent="0.2">
      <c r="A10" s="6"/>
      <c r="B10" s="207"/>
      <c r="C10" s="207"/>
      <c r="D10" s="207"/>
      <c r="E10" s="207"/>
      <c r="F10" s="207"/>
      <c r="G10" s="207"/>
    </row>
    <row r="11" spans="1:7" ht="14.1" customHeight="1" x14ac:dyDescent="0.2">
      <c r="A11" s="284" t="s">
        <v>110</v>
      </c>
      <c r="B11" s="285">
        <v>0</v>
      </c>
      <c r="C11" s="285">
        <v>5533423</v>
      </c>
      <c r="D11" s="285">
        <v>98192</v>
      </c>
      <c r="E11" s="285">
        <v>0</v>
      </c>
      <c r="F11" s="285">
        <v>229926</v>
      </c>
      <c r="G11" s="285">
        <f>SUM(B11:F11)</f>
        <v>5861541</v>
      </c>
    </row>
    <row r="12" spans="1:7" ht="14.1" customHeight="1" x14ac:dyDescent="0.2">
      <c r="A12" s="19" t="s">
        <v>111</v>
      </c>
      <c r="B12" s="20">
        <v>63135</v>
      </c>
      <c r="C12" s="20">
        <v>482168</v>
      </c>
      <c r="D12" s="20">
        <v>539929</v>
      </c>
      <c r="E12" s="20">
        <v>0</v>
      </c>
      <c r="F12" s="20">
        <v>182197</v>
      </c>
      <c r="G12" s="20">
        <f>SUM(B12:F12)</f>
        <v>1267429</v>
      </c>
    </row>
    <row r="13" spans="1:7" ht="14.1" customHeight="1" x14ac:dyDescent="0.2">
      <c r="A13" s="284" t="s">
        <v>112</v>
      </c>
      <c r="B13" s="285">
        <v>0</v>
      </c>
      <c r="C13" s="285">
        <v>16127630</v>
      </c>
      <c r="D13" s="285">
        <v>528489</v>
      </c>
      <c r="E13" s="285">
        <v>300542</v>
      </c>
      <c r="F13" s="285">
        <v>767802</v>
      </c>
      <c r="G13" s="285">
        <f t="shared" ref="G13:G46" si="0">SUM(B13:F13)</f>
        <v>17724463</v>
      </c>
    </row>
    <row r="14" spans="1:7" ht="14.1" customHeight="1" x14ac:dyDescent="0.2">
      <c r="A14" s="19" t="s">
        <v>358</v>
      </c>
      <c r="B14" s="20">
        <v>3949163</v>
      </c>
      <c r="C14" s="20">
        <v>11316176</v>
      </c>
      <c r="D14" s="20">
        <v>155404</v>
      </c>
      <c r="E14" s="20">
        <v>117212</v>
      </c>
      <c r="F14" s="20">
        <v>0</v>
      </c>
      <c r="G14" s="20">
        <f t="shared" si="0"/>
        <v>15537955</v>
      </c>
    </row>
    <row r="15" spans="1:7" ht="14.1" customHeight="1" x14ac:dyDescent="0.2">
      <c r="A15" s="284" t="s">
        <v>113</v>
      </c>
      <c r="B15" s="285">
        <v>0</v>
      </c>
      <c r="C15" s="285">
        <v>1188382</v>
      </c>
      <c r="D15" s="285">
        <v>85537</v>
      </c>
      <c r="E15" s="285">
        <v>0</v>
      </c>
      <c r="F15" s="285">
        <v>292056</v>
      </c>
      <c r="G15" s="285">
        <f t="shared" si="0"/>
        <v>1565975</v>
      </c>
    </row>
    <row r="16" spans="1:7" ht="14.1" customHeight="1" x14ac:dyDescent="0.2">
      <c r="A16" s="19" t="s">
        <v>114</v>
      </c>
      <c r="B16" s="20">
        <v>0</v>
      </c>
      <c r="C16" s="20">
        <v>2072108</v>
      </c>
      <c r="D16" s="20">
        <v>0</v>
      </c>
      <c r="E16" s="20">
        <v>29519</v>
      </c>
      <c r="F16" s="20">
        <v>111716</v>
      </c>
      <c r="G16" s="20">
        <f t="shared" si="0"/>
        <v>2213343</v>
      </c>
    </row>
    <row r="17" spans="1:7" ht="14.1" customHeight="1" x14ac:dyDescent="0.2">
      <c r="A17" s="284" t="s">
        <v>115</v>
      </c>
      <c r="B17" s="285">
        <v>0</v>
      </c>
      <c r="C17" s="285">
        <v>287089</v>
      </c>
      <c r="D17" s="285">
        <v>19710</v>
      </c>
      <c r="E17" s="285">
        <v>0</v>
      </c>
      <c r="F17" s="285">
        <v>115224</v>
      </c>
      <c r="G17" s="285">
        <f t="shared" si="0"/>
        <v>422023</v>
      </c>
    </row>
    <row r="18" spans="1:7" ht="14.1" customHeight="1" x14ac:dyDescent="0.2">
      <c r="A18" s="19" t="s">
        <v>116</v>
      </c>
      <c r="B18" s="20">
        <v>0</v>
      </c>
      <c r="C18" s="20">
        <v>3223187</v>
      </c>
      <c r="D18" s="20">
        <v>52847</v>
      </c>
      <c r="E18" s="20">
        <v>0</v>
      </c>
      <c r="F18" s="20">
        <v>1477175</v>
      </c>
      <c r="G18" s="20">
        <f t="shared" si="0"/>
        <v>4753209</v>
      </c>
    </row>
    <row r="19" spans="1:7" ht="14.1" customHeight="1" x14ac:dyDescent="0.2">
      <c r="A19" s="284" t="s">
        <v>117</v>
      </c>
      <c r="B19" s="285">
        <v>0</v>
      </c>
      <c r="C19" s="285">
        <v>7524267</v>
      </c>
      <c r="D19" s="285">
        <v>864242</v>
      </c>
      <c r="E19" s="285">
        <v>0</v>
      </c>
      <c r="F19" s="285">
        <v>645264</v>
      </c>
      <c r="G19" s="285">
        <f t="shared" si="0"/>
        <v>9033773</v>
      </c>
    </row>
    <row r="20" spans="1:7" ht="14.1" customHeight="1" x14ac:dyDescent="0.2">
      <c r="A20" s="19" t="s">
        <v>118</v>
      </c>
      <c r="B20" s="20">
        <v>0</v>
      </c>
      <c r="C20" s="20">
        <v>8021589</v>
      </c>
      <c r="D20" s="20">
        <v>327023</v>
      </c>
      <c r="E20" s="20">
        <v>15173</v>
      </c>
      <c r="F20" s="20">
        <v>334686</v>
      </c>
      <c r="G20" s="20">
        <f t="shared" si="0"/>
        <v>8698471</v>
      </c>
    </row>
    <row r="21" spans="1:7" ht="14.1" customHeight="1" x14ac:dyDescent="0.2">
      <c r="A21" s="284" t="s">
        <v>119</v>
      </c>
      <c r="B21" s="285">
        <v>0</v>
      </c>
      <c r="C21" s="285">
        <v>600152</v>
      </c>
      <c r="D21" s="285">
        <v>0</v>
      </c>
      <c r="E21" s="285">
        <v>0</v>
      </c>
      <c r="F21" s="285">
        <v>285171</v>
      </c>
      <c r="G21" s="285">
        <f t="shared" si="0"/>
        <v>885323</v>
      </c>
    </row>
    <row r="22" spans="1:7" ht="14.1" customHeight="1" x14ac:dyDescent="0.2">
      <c r="A22" s="19" t="s">
        <v>120</v>
      </c>
      <c r="B22" s="20">
        <v>0</v>
      </c>
      <c r="C22" s="20">
        <v>0</v>
      </c>
      <c r="D22" s="20">
        <v>30774</v>
      </c>
      <c r="E22" s="20">
        <v>0</v>
      </c>
      <c r="F22" s="20">
        <v>172841</v>
      </c>
      <c r="G22" s="20">
        <f t="shared" si="0"/>
        <v>203615</v>
      </c>
    </row>
    <row r="23" spans="1:7" ht="14.1" customHeight="1" x14ac:dyDescent="0.2">
      <c r="A23" s="284" t="s">
        <v>121</v>
      </c>
      <c r="B23" s="285">
        <v>0</v>
      </c>
      <c r="C23" s="285">
        <v>346164</v>
      </c>
      <c r="D23" s="285">
        <v>28114</v>
      </c>
      <c r="E23" s="285">
        <v>0</v>
      </c>
      <c r="F23" s="285">
        <v>520010</v>
      </c>
      <c r="G23" s="285">
        <f t="shared" si="0"/>
        <v>894288</v>
      </c>
    </row>
    <row r="24" spans="1:7" ht="14.1" customHeight="1" x14ac:dyDescent="0.2">
      <c r="A24" s="19" t="s">
        <v>122</v>
      </c>
      <c r="B24" s="20">
        <v>0</v>
      </c>
      <c r="C24" s="20">
        <v>2686105</v>
      </c>
      <c r="D24" s="20">
        <v>590395</v>
      </c>
      <c r="E24" s="20">
        <v>0</v>
      </c>
      <c r="F24" s="20">
        <v>671414</v>
      </c>
      <c r="G24" s="20">
        <f t="shared" si="0"/>
        <v>3947914</v>
      </c>
    </row>
    <row r="25" spans="1:7" ht="14.1" customHeight="1" x14ac:dyDescent="0.2">
      <c r="A25" s="284" t="s">
        <v>123</v>
      </c>
      <c r="B25" s="285">
        <v>1020800</v>
      </c>
      <c r="C25" s="285">
        <v>4873747</v>
      </c>
      <c r="D25" s="285">
        <v>1350903</v>
      </c>
      <c r="E25" s="285">
        <v>32230</v>
      </c>
      <c r="F25" s="285">
        <v>442479</v>
      </c>
      <c r="G25" s="285">
        <f t="shared" si="0"/>
        <v>7720159</v>
      </c>
    </row>
    <row r="26" spans="1:7" ht="14.1" customHeight="1" x14ac:dyDescent="0.2">
      <c r="A26" s="19" t="s">
        <v>124</v>
      </c>
      <c r="B26" s="20">
        <v>0</v>
      </c>
      <c r="C26" s="20">
        <v>5979133</v>
      </c>
      <c r="D26" s="20">
        <v>201903</v>
      </c>
      <c r="E26" s="20">
        <v>14843</v>
      </c>
      <c r="F26" s="20">
        <v>563722</v>
      </c>
      <c r="G26" s="20">
        <f t="shared" si="0"/>
        <v>6759601</v>
      </c>
    </row>
    <row r="27" spans="1:7" ht="14.1" customHeight="1" x14ac:dyDescent="0.2">
      <c r="A27" s="284" t="s">
        <v>125</v>
      </c>
      <c r="B27" s="285">
        <v>155273</v>
      </c>
      <c r="C27" s="285">
        <v>1500857</v>
      </c>
      <c r="D27" s="285">
        <v>122080</v>
      </c>
      <c r="E27" s="285">
        <v>0</v>
      </c>
      <c r="F27" s="285">
        <v>69272</v>
      </c>
      <c r="G27" s="285">
        <f t="shared" si="0"/>
        <v>1847482</v>
      </c>
    </row>
    <row r="28" spans="1:7" ht="14.1" customHeight="1" x14ac:dyDescent="0.2">
      <c r="A28" s="19" t="s">
        <v>126</v>
      </c>
      <c r="B28" s="20">
        <v>0</v>
      </c>
      <c r="C28" s="20">
        <v>417467</v>
      </c>
      <c r="D28" s="20">
        <v>17500</v>
      </c>
      <c r="E28" s="20">
        <v>0</v>
      </c>
      <c r="F28" s="20">
        <v>116288</v>
      </c>
      <c r="G28" s="20">
        <f t="shared" si="0"/>
        <v>551255</v>
      </c>
    </row>
    <row r="29" spans="1:7" ht="14.1" customHeight="1" x14ac:dyDescent="0.2">
      <c r="A29" s="284" t="s">
        <v>127</v>
      </c>
      <c r="B29" s="285">
        <v>399986</v>
      </c>
      <c r="C29" s="285">
        <v>11549365</v>
      </c>
      <c r="D29" s="285">
        <v>218275</v>
      </c>
      <c r="E29" s="285">
        <v>51684</v>
      </c>
      <c r="F29" s="285">
        <v>105959</v>
      </c>
      <c r="G29" s="285">
        <f t="shared" si="0"/>
        <v>12325269</v>
      </c>
    </row>
    <row r="30" spans="1:7" ht="14.1" customHeight="1" x14ac:dyDescent="0.2">
      <c r="A30" s="19" t="s">
        <v>128</v>
      </c>
      <c r="B30" s="20">
        <v>0</v>
      </c>
      <c r="C30" s="20">
        <v>409614</v>
      </c>
      <c r="D30" s="20">
        <v>185479</v>
      </c>
      <c r="E30" s="20">
        <v>0</v>
      </c>
      <c r="F30" s="20">
        <v>256337</v>
      </c>
      <c r="G30" s="20">
        <f t="shared" si="0"/>
        <v>851430</v>
      </c>
    </row>
    <row r="31" spans="1:7" ht="14.1" customHeight="1" x14ac:dyDescent="0.2">
      <c r="A31" s="284" t="s">
        <v>129</v>
      </c>
      <c r="B31" s="285">
        <v>80960</v>
      </c>
      <c r="C31" s="285">
        <v>6775073</v>
      </c>
      <c r="D31" s="285">
        <v>547637</v>
      </c>
      <c r="E31" s="285">
        <v>0</v>
      </c>
      <c r="F31" s="285">
        <v>530700</v>
      </c>
      <c r="G31" s="285">
        <f t="shared" si="0"/>
        <v>7934370</v>
      </c>
    </row>
    <row r="32" spans="1:7" ht="14.1" customHeight="1" x14ac:dyDescent="0.2">
      <c r="A32" s="19" t="s">
        <v>130</v>
      </c>
      <c r="B32" s="20">
        <v>0</v>
      </c>
      <c r="C32" s="20">
        <v>-212479</v>
      </c>
      <c r="D32" s="20">
        <v>0</v>
      </c>
      <c r="E32" s="20">
        <v>639003</v>
      </c>
      <c r="F32" s="20">
        <v>634413</v>
      </c>
      <c r="G32" s="20">
        <f t="shared" si="0"/>
        <v>1060937</v>
      </c>
    </row>
    <row r="33" spans="1:8" ht="14.1" customHeight="1" x14ac:dyDescent="0.2">
      <c r="A33" s="284" t="s">
        <v>131</v>
      </c>
      <c r="B33" s="285">
        <v>0</v>
      </c>
      <c r="C33" s="285">
        <v>116118</v>
      </c>
      <c r="D33" s="285">
        <v>68574</v>
      </c>
      <c r="E33" s="285">
        <v>0</v>
      </c>
      <c r="F33" s="285">
        <v>365198</v>
      </c>
      <c r="G33" s="285">
        <f t="shared" si="0"/>
        <v>549890</v>
      </c>
    </row>
    <row r="34" spans="1:8" ht="14.1" customHeight="1" x14ac:dyDescent="0.2">
      <c r="A34" s="19" t="s">
        <v>132</v>
      </c>
      <c r="B34" s="20">
        <v>1147</v>
      </c>
      <c r="C34" s="20">
        <v>656349</v>
      </c>
      <c r="D34" s="20">
        <v>68768</v>
      </c>
      <c r="E34" s="20">
        <v>0</v>
      </c>
      <c r="F34" s="20">
        <v>240438</v>
      </c>
      <c r="G34" s="20">
        <f t="shared" si="0"/>
        <v>966702</v>
      </c>
    </row>
    <row r="35" spans="1:8" ht="14.1" customHeight="1" x14ac:dyDescent="0.2">
      <c r="A35" s="284" t="s">
        <v>133</v>
      </c>
      <c r="B35" s="285">
        <v>0</v>
      </c>
      <c r="C35" s="285">
        <v>10675525</v>
      </c>
      <c r="D35" s="285">
        <v>162178</v>
      </c>
      <c r="E35" s="285">
        <v>2777612</v>
      </c>
      <c r="F35" s="285">
        <v>741195</v>
      </c>
      <c r="G35" s="285">
        <f t="shared" si="0"/>
        <v>14356510</v>
      </c>
    </row>
    <row r="36" spans="1:8" ht="14.1" customHeight="1" x14ac:dyDescent="0.2">
      <c r="A36" s="19" t="s">
        <v>134</v>
      </c>
      <c r="B36" s="20">
        <v>0</v>
      </c>
      <c r="C36" s="20">
        <v>966867</v>
      </c>
      <c r="D36" s="20">
        <v>0</v>
      </c>
      <c r="E36" s="20">
        <v>0</v>
      </c>
      <c r="F36" s="20">
        <v>365849</v>
      </c>
      <c r="G36" s="20">
        <f t="shared" si="0"/>
        <v>1332716</v>
      </c>
    </row>
    <row r="37" spans="1:8" ht="14.1" customHeight="1" x14ac:dyDescent="0.2">
      <c r="A37" s="284" t="s">
        <v>135</v>
      </c>
      <c r="B37" s="285">
        <v>40538</v>
      </c>
      <c r="C37" s="285">
        <v>2230743</v>
      </c>
      <c r="D37" s="285">
        <v>0</v>
      </c>
      <c r="E37" s="285">
        <v>704470</v>
      </c>
      <c r="F37" s="285">
        <v>867637</v>
      </c>
      <c r="G37" s="285">
        <f t="shared" si="0"/>
        <v>3843388</v>
      </c>
    </row>
    <row r="38" spans="1:8" ht="14.1" customHeight="1" x14ac:dyDescent="0.2">
      <c r="A38" s="19" t="s">
        <v>136</v>
      </c>
      <c r="B38" s="20">
        <v>0</v>
      </c>
      <c r="C38" s="20">
        <v>14694004</v>
      </c>
      <c r="D38" s="20">
        <v>373482</v>
      </c>
      <c r="E38" s="20">
        <v>100963</v>
      </c>
      <c r="F38" s="20">
        <v>551245</v>
      </c>
      <c r="G38" s="20">
        <f t="shared" si="0"/>
        <v>15719694</v>
      </c>
    </row>
    <row r="39" spans="1:8" ht="14.1" customHeight="1" x14ac:dyDescent="0.2">
      <c r="A39" s="284" t="s">
        <v>137</v>
      </c>
      <c r="B39" s="285">
        <v>0</v>
      </c>
      <c r="C39" s="285">
        <v>355889</v>
      </c>
      <c r="D39" s="285">
        <v>117725</v>
      </c>
      <c r="E39" s="285">
        <v>0</v>
      </c>
      <c r="F39" s="285">
        <v>338850</v>
      </c>
      <c r="G39" s="285">
        <f t="shared" si="0"/>
        <v>812464</v>
      </c>
    </row>
    <row r="40" spans="1:8" ht="14.1" customHeight="1" x14ac:dyDescent="0.2">
      <c r="A40" s="19" t="s">
        <v>138</v>
      </c>
      <c r="B40" s="20">
        <v>326064</v>
      </c>
      <c r="C40" s="20">
        <v>6965269</v>
      </c>
      <c r="D40" s="20">
        <v>285755</v>
      </c>
      <c r="E40" s="20">
        <v>14543</v>
      </c>
      <c r="F40" s="20">
        <v>450677</v>
      </c>
      <c r="G40" s="20">
        <f t="shared" si="0"/>
        <v>8042308</v>
      </c>
    </row>
    <row r="41" spans="1:8" ht="14.1" customHeight="1" x14ac:dyDescent="0.2">
      <c r="A41" s="284" t="s">
        <v>139</v>
      </c>
      <c r="B41" s="285">
        <v>263680</v>
      </c>
      <c r="C41" s="285">
        <v>2403441</v>
      </c>
      <c r="D41" s="285">
        <v>83865</v>
      </c>
      <c r="E41" s="285">
        <v>0</v>
      </c>
      <c r="F41" s="285">
        <v>906394</v>
      </c>
      <c r="G41" s="285">
        <f t="shared" si="0"/>
        <v>3657380</v>
      </c>
    </row>
    <row r="42" spans="1:8" ht="14.1" customHeight="1" x14ac:dyDescent="0.2">
      <c r="A42" s="19" t="s">
        <v>140</v>
      </c>
      <c r="B42" s="20">
        <v>0</v>
      </c>
      <c r="C42" s="20">
        <v>910164</v>
      </c>
      <c r="D42" s="20">
        <v>127048</v>
      </c>
      <c r="E42" s="20">
        <v>14917</v>
      </c>
      <c r="F42" s="20">
        <v>200485</v>
      </c>
      <c r="G42" s="20">
        <f t="shared" si="0"/>
        <v>1252614</v>
      </c>
    </row>
    <row r="43" spans="1:8" ht="14.1" customHeight="1" x14ac:dyDescent="0.2">
      <c r="A43" s="284" t="s">
        <v>141</v>
      </c>
      <c r="B43" s="285">
        <v>0</v>
      </c>
      <c r="C43" s="285">
        <v>338550</v>
      </c>
      <c r="D43" s="285">
        <v>0</v>
      </c>
      <c r="E43" s="285">
        <v>0</v>
      </c>
      <c r="F43" s="285">
        <v>81938</v>
      </c>
      <c r="G43" s="285">
        <f t="shared" si="0"/>
        <v>420488</v>
      </c>
    </row>
    <row r="44" spans="1:8" ht="14.1" customHeight="1" x14ac:dyDescent="0.2">
      <c r="A44" s="19" t="s">
        <v>142</v>
      </c>
      <c r="B44" s="20">
        <v>0</v>
      </c>
      <c r="C44" s="20">
        <v>1024586</v>
      </c>
      <c r="D44" s="20">
        <v>64369</v>
      </c>
      <c r="E44" s="20">
        <v>0</v>
      </c>
      <c r="F44" s="20">
        <v>399073</v>
      </c>
      <c r="G44" s="20">
        <f t="shared" si="0"/>
        <v>1488028</v>
      </c>
    </row>
    <row r="45" spans="1:8" ht="14.1" customHeight="1" x14ac:dyDescent="0.2">
      <c r="A45" s="284" t="s">
        <v>143</v>
      </c>
      <c r="B45" s="285">
        <v>0</v>
      </c>
      <c r="C45" s="285">
        <v>358708</v>
      </c>
      <c r="D45" s="285">
        <v>0</v>
      </c>
      <c r="E45" s="285">
        <v>82219</v>
      </c>
      <c r="F45" s="285">
        <v>381949</v>
      </c>
      <c r="G45" s="285">
        <f t="shared" si="0"/>
        <v>822876</v>
      </c>
    </row>
    <row r="46" spans="1:8" ht="14.1" customHeight="1" x14ac:dyDescent="0.2">
      <c r="A46" s="19" t="s">
        <v>144</v>
      </c>
      <c r="B46" s="20">
        <v>769844</v>
      </c>
      <c r="C46" s="20">
        <v>34521844</v>
      </c>
      <c r="D46" s="20">
        <v>502021</v>
      </c>
      <c r="E46" s="20">
        <v>254561</v>
      </c>
      <c r="F46" s="20">
        <v>1415888</v>
      </c>
      <c r="G46" s="20">
        <f t="shared" si="0"/>
        <v>37464158</v>
      </c>
    </row>
    <row r="47" spans="1:8" ht="5.0999999999999996" customHeight="1" x14ac:dyDescent="0.2">
      <c r="A47" s="21"/>
      <c r="B47" s="22"/>
      <c r="C47" s="22"/>
      <c r="D47" s="22"/>
      <c r="E47" s="22"/>
      <c r="F47" s="22"/>
      <c r="G47" s="22"/>
    </row>
    <row r="48" spans="1:8" ht="14.1" customHeight="1" x14ac:dyDescent="0.2">
      <c r="A48" s="286" t="s">
        <v>145</v>
      </c>
      <c r="B48" s="287">
        <f t="shared" ref="B48:G48" si="1">SUM(B11:B46)</f>
        <v>7070590</v>
      </c>
      <c r="C48" s="287">
        <f t="shared" si="1"/>
        <v>166919274</v>
      </c>
      <c r="D48" s="287">
        <f t="shared" si="1"/>
        <v>7818218</v>
      </c>
      <c r="E48" s="287">
        <f t="shared" si="1"/>
        <v>5149491</v>
      </c>
      <c r="F48" s="287">
        <f t="shared" si="1"/>
        <v>15831468</v>
      </c>
      <c r="G48" s="287">
        <f t="shared" si="1"/>
        <v>202789041</v>
      </c>
      <c r="H48" s="510">
        <v>0</v>
      </c>
    </row>
    <row r="49" spans="1:7" ht="5.0999999999999996" customHeight="1" x14ac:dyDescent="0.2">
      <c r="A49" s="21" t="s">
        <v>7</v>
      </c>
      <c r="B49" s="22"/>
      <c r="C49" s="22"/>
      <c r="D49" s="22"/>
      <c r="E49" s="22"/>
      <c r="F49" s="22"/>
      <c r="G49" s="22"/>
    </row>
    <row r="50" spans="1:7" ht="14.1" customHeight="1" x14ac:dyDescent="0.2">
      <c r="A50" s="19" t="s">
        <v>146</v>
      </c>
      <c r="B50" s="20">
        <v>0</v>
      </c>
      <c r="C50" s="20">
        <v>0</v>
      </c>
      <c r="D50" s="20">
        <v>36886</v>
      </c>
      <c r="E50" s="20">
        <v>0</v>
      </c>
      <c r="F50" s="20">
        <v>0</v>
      </c>
      <c r="G50" s="20">
        <f>SUM(B50:F50)</f>
        <v>36886</v>
      </c>
    </row>
    <row r="51" spans="1:7" ht="14.1" customHeight="1" x14ac:dyDescent="0.2">
      <c r="A51" s="284" t="s">
        <v>599</v>
      </c>
      <c r="B51" s="285">
        <v>0</v>
      </c>
      <c r="C51" s="285">
        <v>165361</v>
      </c>
      <c r="D51" s="285">
        <v>42916</v>
      </c>
      <c r="E51" s="285">
        <v>210824</v>
      </c>
      <c r="F51" s="285">
        <v>0</v>
      </c>
      <c r="G51" s="285">
        <f>SUM(B51:F51)</f>
        <v>419101</v>
      </c>
    </row>
    <row r="52" spans="1:7" ht="50.1" customHeight="1" x14ac:dyDescent="0.2">
      <c r="A52" s="23"/>
      <c r="B52" s="23"/>
      <c r="C52" s="23"/>
      <c r="D52" s="23"/>
      <c r="E52" s="23"/>
      <c r="F52" s="23"/>
      <c r="G52" s="23"/>
    </row>
    <row r="53" spans="1:7" ht="15" customHeight="1" x14ac:dyDescent="0.2">
      <c r="A53" s="414" t="s">
        <v>353</v>
      </c>
    </row>
    <row r="54" spans="1:7" x14ac:dyDescent="0.2">
      <c r="A54" s="763" t="s">
        <v>620</v>
      </c>
      <c r="B54" s="763"/>
      <c r="C54" s="763"/>
      <c r="D54" s="763"/>
      <c r="E54" s="763"/>
      <c r="F54" s="763"/>
      <c r="G54" s="763"/>
    </row>
    <row r="55" spans="1:7" x14ac:dyDescent="0.2">
      <c r="A55" s="763"/>
      <c r="B55" s="763"/>
      <c r="C55" s="763"/>
      <c r="D55" s="763"/>
      <c r="E55" s="763"/>
      <c r="F55" s="763"/>
      <c r="G55" s="763"/>
    </row>
    <row r="56" spans="1:7" x14ac:dyDescent="0.2">
      <c r="A56" s="434" t="s">
        <v>414</v>
      </c>
    </row>
    <row r="57" spans="1:7" x14ac:dyDescent="0.2">
      <c r="A57" s="503" t="s">
        <v>354</v>
      </c>
    </row>
  </sheetData>
  <mergeCells count="7">
    <mergeCell ref="A54:G55"/>
    <mergeCell ref="B8:B9"/>
    <mergeCell ref="B2:F2"/>
    <mergeCell ref="B3:F3"/>
    <mergeCell ref="B6:G6"/>
    <mergeCell ref="D7:D9"/>
    <mergeCell ref="E7:E9"/>
  </mergeCells>
  <phoneticPr fontId="6" type="noConversion"/>
  <pageMargins left="0.51181102362204722" right="0.51181102362204722" top="0.59055118110236227" bottom="0.19685039370078741" header="0.31496062992125984" footer="0.51181102362204722"/>
  <pageSetup scale="90" orientation="portrait" r:id="rId1"/>
  <headerFooter alignWithMargins="0">
    <oddHeader>&amp;C&amp;"Arial,Regular"&amp;11&amp;A</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H55"/>
  <sheetViews>
    <sheetView showGridLines="0" showZeros="0" workbookViewId="0"/>
  </sheetViews>
  <sheetFormatPr defaultColWidth="19.83203125" defaultRowHeight="12" x14ac:dyDescent="0.2"/>
  <cols>
    <col min="1" max="1" width="30.83203125" style="2" customWidth="1"/>
    <col min="2" max="3" width="16.83203125" style="2" customWidth="1"/>
    <col min="4" max="4" width="3.83203125" style="2" customWidth="1"/>
    <col min="5" max="5" width="18.83203125" style="2" customWidth="1"/>
    <col min="6" max="7" width="16.83203125" style="2" customWidth="1"/>
    <col min="8" max="8" width="14.33203125" style="2" customWidth="1"/>
    <col min="9" max="16384" width="19.83203125" style="2"/>
  </cols>
  <sheetData>
    <row r="1" spans="1:8" ht="6.95" customHeight="1" x14ac:dyDescent="0.2">
      <c r="A1" s="7"/>
      <c r="B1" s="7"/>
      <c r="C1" s="7"/>
      <c r="D1" s="7"/>
    </row>
    <row r="2" spans="1:8" ht="15.95" customHeight="1" x14ac:dyDescent="0.2">
      <c r="A2" s="772" t="str">
        <f>"SPECIAL PURPOSE FUND "&amp;VALUE('- 66 -'!F9+1)&amp;"/"&amp;VALUE('- 66 -'!F9+2)&amp;" ACTUAL"</f>
        <v>SPECIAL PURPOSE FUND 2019/2020 ACTUAL</v>
      </c>
      <c r="B2" s="772"/>
      <c r="C2" s="772"/>
      <c r="D2" s="772"/>
      <c r="E2" s="772"/>
      <c r="F2" s="450" t="s">
        <v>96</v>
      </c>
      <c r="G2" s="446"/>
      <c r="H2" s="446"/>
    </row>
    <row r="3" spans="1:8" ht="15.95" customHeight="1" x14ac:dyDescent="0.2">
      <c r="A3" s="743" t="s">
        <v>389</v>
      </c>
      <c r="B3" s="743"/>
      <c r="C3" s="743"/>
      <c r="D3" s="743"/>
      <c r="E3" s="743"/>
      <c r="F3" s="743"/>
      <c r="G3" s="743"/>
      <c r="H3" s="743"/>
    </row>
    <row r="4" spans="1:8" ht="15.95" customHeight="1" x14ac:dyDescent="0.2">
      <c r="E4" s="8"/>
      <c r="F4" s="8"/>
      <c r="G4" s="8"/>
    </row>
    <row r="5" spans="1:8" ht="15.95" customHeight="1" x14ac:dyDescent="0.2">
      <c r="B5"/>
      <c r="C5"/>
      <c r="D5"/>
      <c r="E5"/>
      <c r="F5"/>
      <c r="G5"/>
      <c r="H5"/>
    </row>
    <row r="6" spans="1:8" ht="15.95" customHeight="1" x14ac:dyDescent="0.2">
      <c r="B6" s="432"/>
      <c r="C6" s="432"/>
      <c r="D6"/>
      <c r="E6" s="756" t="s">
        <v>543</v>
      </c>
      <c r="F6" s="752" t="s">
        <v>268</v>
      </c>
      <c r="G6" s="753"/>
    </row>
    <row r="7" spans="1:8" ht="15.95" customHeight="1" x14ac:dyDescent="0.2">
      <c r="B7" s="408"/>
      <c r="C7" s="408"/>
      <c r="D7"/>
      <c r="E7" s="757"/>
      <c r="F7" s="761" t="s">
        <v>374</v>
      </c>
      <c r="G7" s="408"/>
    </row>
    <row r="8" spans="1:8" ht="15.95" customHeight="1" x14ac:dyDescent="0.2">
      <c r="A8" s="403"/>
      <c r="B8" s="773" t="s">
        <v>531</v>
      </c>
      <c r="C8" s="773" t="s">
        <v>535</v>
      </c>
      <c r="D8"/>
      <c r="E8" s="757"/>
      <c r="F8" s="761"/>
      <c r="G8" s="759" t="s">
        <v>542</v>
      </c>
    </row>
    <row r="9" spans="1:8" ht="15.95" customHeight="1" x14ac:dyDescent="0.2">
      <c r="A9" s="404" t="s">
        <v>42</v>
      </c>
      <c r="B9" s="774"/>
      <c r="C9" s="774"/>
      <c r="D9"/>
      <c r="E9" s="758"/>
      <c r="F9" s="762"/>
      <c r="G9" s="760"/>
    </row>
    <row r="10" spans="1:8" ht="5.0999999999999996" customHeight="1" x14ac:dyDescent="0.2">
      <c r="A10" s="6"/>
      <c r="B10" s="207"/>
      <c r="C10" s="207"/>
      <c r="D10"/>
      <c r="E10" s="7"/>
      <c r="F10" s="207"/>
    </row>
    <row r="11" spans="1:8" ht="14.1" customHeight="1" x14ac:dyDescent="0.2">
      <c r="A11" s="284" t="s">
        <v>110</v>
      </c>
      <c r="B11" s="417">
        <v>481159</v>
      </c>
      <c r="C11" s="417">
        <v>494708</v>
      </c>
      <c r="D11"/>
      <c r="E11" s="550">
        <v>268526</v>
      </c>
      <c r="F11" s="417">
        <v>268526</v>
      </c>
      <c r="G11" s="417">
        <v>0</v>
      </c>
    </row>
    <row r="12" spans="1:8" ht="14.1" customHeight="1" x14ac:dyDescent="0.2">
      <c r="A12" s="19" t="s">
        <v>111</v>
      </c>
      <c r="B12" s="418">
        <v>498312</v>
      </c>
      <c r="C12" s="418">
        <v>485886</v>
      </c>
      <c r="D12"/>
      <c r="E12" s="551">
        <v>397726</v>
      </c>
      <c r="F12" s="418">
        <v>397726</v>
      </c>
      <c r="G12" s="418">
        <v>0</v>
      </c>
    </row>
    <row r="13" spans="1:8" ht="14.1" customHeight="1" x14ac:dyDescent="0.2">
      <c r="A13" s="284" t="s">
        <v>112</v>
      </c>
      <c r="B13" s="417">
        <v>1762486</v>
      </c>
      <c r="C13" s="417">
        <v>1751148</v>
      </c>
      <c r="D13"/>
      <c r="E13" s="550">
        <v>2325740</v>
      </c>
      <c r="F13" s="417">
        <v>839793</v>
      </c>
      <c r="G13" s="417">
        <v>1485947</v>
      </c>
    </row>
    <row r="14" spans="1:8" ht="14.1" customHeight="1" x14ac:dyDescent="0.2">
      <c r="A14" s="19" t="s">
        <v>358</v>
      </c>
      <c r="B14" s="418">
        <v>1309188</v>
      </c>
      <c r="C14" s="418">
        <v>1223473</v>
      </c>
      <c r="D14"/>
      <c r="E14" s="551">
        <v>645682</v>
      </c>
      <c r="F14" s="418">
        <v>504008</v>
      </c>
      <c r="G14" s="418">
        <v>141674</v>
      </c>
    </row>
    <row r="15" spans="1:8" ht="14.1" customHeight="1" x14ac:dyDescent="0.2">
      <c r="A15" s="284" t="s">
        <v>113</v>
      </c>
      <c r="B15" s="417">
        <v>287374</v>
      </c>
      <c r="C15" s="417">
        <v>331049</v>
      </c>
      <c r="D15"/>
      <c r="E15" s="550">
        <v>322205</v>
      </c>
      <c r="F15" s="417">
        <v>246738</v>
      </c>
      <c r="G15" s="417">
        <v>75467</v>
      </c>
    </row>
    <row r="16" spans="1:8" ht="14.1" customHeight="1" x14ac:dyDescent="0.2">
      <c r="A16" s="19" t="s">
        <v>114</v>
      </c>
      <c r="B16" s="418">
        <v>234407</v>
      </c>
      <c r="C16" s="418">
        <v>204082</v>
      </c>
      <c r="D16"/>
      <c r="E16" s="551">
        <v>77692</v>
      </c>
      <c r="F16" s="418">
        <v>77692</v>
      </c>
      <c r="G16" s="418">
        <v>0</v>
      </c>
    </row>
    <row r="17" spans="1:7" ht="14.1" customHeight="1" x14ac:dyDescent="0.2">
      <c r="A17" s="284" t="s">
        <v>115</v>
      </c>
      <c r="B17" s="417">
        <v>677764</v>
      </c>
      <c r="C17" s="417">
        <v>708072</v>
      </c>
      <c r="D17"/>
      <c r="E17" s="550">
        <v>388168</v>
      </c>
      <c r="F17" s="417">
        <v>287797</v>
      </c>
      <c r="G17" s="417">
        <v>100371</v>
      </c>
    </row>
    <row r="18" spans="1:7" ht="14.1" customHeight="1" x14ac:dyDescent="0.2">
      <c r="A18" s="19" t="s">
        <v>116</v>
      </c>
      <c r="B18" s="418">
        <v>498729</v>
      </c>
      <c r="C18" s="418">
        <v>493413</v>
      </c>
      <c r="D18"/>
      <c r="E18" s="551">
        <v>197871</v>
      </c>
      <c r="F18" s="418">
        <v>197871</v>
      </c>
      <c r="G18" s="418">
        <v>0</v>
      </c>
    </row>
    <row r="19" spans="1:7" ht="14.1" customHeight="1" x14ac:dyDescent="0.2">
      <c r="A19" s="284" t="s">
        <v>117</v>
      </c>
      <c r="B19" s="417">
        <v>159416</v>
      </c>
      <c r="C19" s="417">
        <v>162476</v>
      </c>
      <c r="D19"/>
      <c r="E19" s="550">
        <v>168344</v>
      </c>
      <c r="F19" s="417">
        <v>168344</v>
      </c>
      <c r="G19" s="417">
        <v>0</v>
      </c>
    </row>
    <row r="20" spans="1:7" ht="14.1" customHeight="1" x14ac:dyDescent="0.2">
      <c r="A20" s="19" t="s">
        <v>118</v>
      </c>
      <c r="B20" s="418">
        <v>1504081</v>
      </c>
      <c r="C20" s="418">
        <v>1594541</v>
      </c>
      <c r="D20"/>
      <c r="E20" s="551">
        <v>549265</v>
      </c>
      <c r="F20" s="418">
        <v>549265</v>
      </c>
      <c r="G20" s="418">
        <v>0</v>
      </c>
    </row>
    <row r="21" spans="1:7" ht="14.1" customHeight="1" x14ac:dyDescent="0.2">
      <c r="A21" s="284" t="s">
        <v>119</v>
      </c>
      <c r="B21" s="417">
        <v>223029</v>
      </c>
      <c r="C21" s="417">
        <v>244250</v>
      </c>
      <c r="D21"/>
      <c r="E21" s="550">
        <v>171595</v>
      </c>
      <c r="F21" s="417">
        <v>171595</v>
      </c>
      <c r="G21" s="417">
        <v>0</v>
      </c>
    </row>
    <row r="22" spans="1:7" ht="14.1" customHeight="1" x14ac:dyDescent="0.2">
      <c r="A22" s="19" t="s">
        <v>120</v>
      </c>
      <c r="B22" s="418">
        <v>322292</v>
      </c>
      <c r="C22" s="418">
        <v>335615</v>
      </c>
      <c r="D22"/>
      <c r="E22" s="551">
        <v>220990</v>
      </c>
      <c r="F22" s="418">
        <v>220990</v>
      </c>
      <c r="G22" s="418">
        <v>0</v>
      </c>
    </row>
    <row r="23" spans="1:7" ht="14.1" customHeight="1" x14ac:dyDescent="0.2">
      <c r="A23" s="284" t="s">
        <v>121</v>
      </c>
      <c r="B23" s="417">
        <v>207292</v>
      </c>
      <c r="C23" s="417">
        <v>184222</v>
      </c>
      <c r="D23"/>
      <c r="E23" s="550">
        <v>207189</v>
      </c>
      <c r="F23" s="417">
        <v>199558</v>
      </c>
      <c r="G23" s="417">
        <v>7631</v>
      </c>
    </row>
    <row r="24" spans="1:7" ht="14.1" customHeight="1" x14ac:dyDescent="0.2">
      <c r="A24" s="19" t="s">
        <v>122</v>
      </c>
      <c r="B24" s="418">
        <v>771824</v>
      </c>
      <c r="C24" s="418">
        <v>780862</v>
      </c>
      <c r="D24"/>
      <c r="E24" s="551">
        <v>353834</v>
      </c>
      <c r="F24" s="418">
        <v>353834</v>
      </c>
      <c r="G24" s="418">
        <v>0</v>
      </c>
    </row>
    <row r="25" spans="1:7" ht="14.1" customHeight="1" x14ac:dyDescent="0.2">
      <c r="A25" s="284" t="s">
        <v>123</v>
      </c>
      <c r="B25" s="417">
        <v>4149773</v>
      </c>
      <c r="C25" s="417">
        <v>4368436</v>
      </c>
      <c r="D25"/>
      <c r="E25" s="550">
        <v>1491158</v>
      </c>
      <c r="F25" s="417">
        <v>1491158</v>
      </c>
      <c r="G25" s="417">
        <v>0</v>
      </c>
    </row>
    <row r="26" spans="1:7" ht="14.1" customHeight="1" x14ac:dyDescent="0.2">
      <c r="A26" s="19" t="s">
        <v>124</v>
      </c>
      <c r="B26" s="418">
        <v>671916</v>
      </c>
      <c r="C26" s="418">
        <v>728801</v>
      </c>
      <c r="D26"/>
      <c r="E26" s="551">
        <v>532223</v>
      </c>
      <c r="F26" s="418">
        <v>532223</v>
      </c>
      <c r="G26" s="418">
        <v>0</v>
      </c>
    </row>
    <row r="27" spans="1:7" ht="14.1" customHeight="1" x14ac:dyDescent="0.2">
      <c r="A27" s="284" t="s">
        <v>125</v>
      </c>
      <c r="B27" s="417">
        <v>161283</v>
      </c>
      <c r="C27" s="417">
        <v>167098</v>
      </c>
      <c r="D27"/>
      <c r="E27" s="550">
        <v>137093</v>
      </c>
      <c r="F27" s="417">
        <v>137093</v>
      </c>
      <c r="G27" s="417">
        <v>0</v>
      </c>
    </row>
    <row r="28" spans="1:7" ht="14.1" customHeight="1" x14ac:dyDescent="0.2">
      <c r="A28" s="19" t="s">
        <v>126</v>
      </c>
      <c r="B28" s="418">
        <v>792856</v>
      </c>
      <c r="C28" s="418">
        <v>848267</v>
      </c>
      <c r="D28"/>
      <c r="E28" s="551">
        <v>479368</v>
      </c>
      <c r="F28" s="418">
        <v>479368</v>
      </c>
      <c r="G28" s="418">
        <v>0</v>
      </c>
    </row>
    <row r="29" spans="1:7" ht="14.1" customHeight="1" x14ac:dyDescent="0.2">
      <c r="A29" s="284" t="s">
        <v>127</v>
      </c>
      <c r="B29" s="417">
        <v>749439</v>
      </c>
      <c r="C29" s="417">
        <v>796873</v>
      </c>
      <c r="D29"/>
      <c r="E29" s="550">
        <v>478857</v>
      </c>
      <c r="F29" s="417">
        <v>478857</v>
      </c>
      <c r="G29" s="417">
        <v>0</v>
      </c>
    </row>
    <row r="30" spans="1:7" ht="14.1" customHeight="1" x14ac:dyDescent="0.2">
      <c r="A30" s="19" t="s">
        <v>128</v>
      </c>
      <c r="B30" s="418">
        <v>149301</v>
      </c>
      <c r="C30" s="418">
        <v>180739</v>
      </c>
      <c r="D30"/>
      <c r="E30" s="551">
        <v>78730</v>
      </c>
      <c r="F30" s="418">
        <v>78730</v>
      </c>
      <c r="G30" s="418">
        <v>0</v>
      </c>
    </row>
    <row r="31" spans="1:7" ht="14.1" customHeight="1" x14ac:dyDescent="0.2">
      <c r="A31" s="284" t="s">
        <v>129</v>
      </c>
      <c r="B31" s="417">
        <v>753237</v>
      </c>
      <c r="C31" s="417">
        <v>805744</v>
      </c>
      <c r="D31"/>
      <c r="E31" s="550">
        <v>246153</v>
      </c>
      <c r="F31" s="417">
        <v>246153</v>
      </c>
      <c r="G31" s="417">
        <v>0</v>
      </c>
    </row>
    <row r="32" spans="1:7" ht="14.1" customHeight="1" x14ac:dyDescent="0.2">
      <c r="A32" s="19" t="s">
        <v>130</v>
      </c>
      <c r="B32" s="418">
        <v>439933</v>
      </c>
      <c r="C32" s="418">
        <v>481741</v>
      </c>
      <c r="D32"/>
      <c r="E32" s="551">
        <v>200859</v>
      </c>
      <c r="F32" s="418">
        <v>141761</v>
      </c>
      <c r="G32" s="418">
        <v>59098</v>
      </c>
    </row>
    <row r="33" spans="1:7" ht="14.1" customHeight="1" x14ac:dyDescent="0.2">
      <c r="A33" s="284" t="s">
        <v>131</v>
      </c>
      <c r="B33" s="417">
        <v>429648</v>
      </c>
      <c r="C33" s="417">
        <v>473758</v>
      </c>
      <c r="D33"/>
      <c r="E33" s="550">
        <v>282396</v>
      </c>
      <c r="F33" s="417">
        <v>282396</v>
      </c>
      <c r="G33" s="417">
        <v>0</v>
      </c>
    </row>
    <row r="34" spans="1:7" ht="14.1" customHeight="1" x14ac:dyDescent="0.2">
      <c r="A34" s="19" t="s">
        <v>132</v>
      </c>
      <c r="B34" s="418">
        <v>423640</v>
      </c>
      <c r="C34" s="418">
        <v>413879</v>
      </c>
      <c r="D34"/>
      <c r="E34" s="551">
        <v>147845</v>
      </c>
      <c r="F34" s="418">
        <v>147845</v>
      </c>
      <c r="G34" s="418">
        <v>0</v>
      </c>
    </row>
    <row r="35" spans="1:7" ht="14.1" customHeight="1" x14ac:dyDescent="0.2">
      <c r="A35" s="284" t="s">
        <v>133</v>
      </c>
      <c r="B35" s="417">
        <v>590427</v>
      </c>
      <c r="C35" s="417">
        <v>543411</v>
      </c>
      <c r="D35"/>
      <c r="E35" s="550">
        <v>331427</v>
      </c>
      <c r="F35" s="417">
        <v>331427</v>
      </c>
      <c r="G35" s="417">
        <v>0</v>
      </c>
    </row>
    <row r="36" spans="1:7" ht="14.1" customHeight="1" x14ac:dyDescent="0.2">
      <c r="A36" s="19" t="s">
        <v>134</v>
      </c>
      <c r="B36" s="418">
        <v>484265</v>
      </c>
      <c r="C36" s="418">
        <v>475122</v>
      </c>
      <c r="D36"/>
      <c r="E36" s="551">
        <v>273959</v>
      </c>
      <c r="F36" s="418">
        <v>273959</v>
      </c>
      <c r="G36" s="418">
        <v>0</v>
      </c>
    </row>
    <row r="37" spans="1:7" ht="14.1" customHeight="1" x14ac:dyDescent="0.2">
      <c r="A37" s="284" t="s">
        <v>135</v>
      </c>
      <c r="B37" s="417">
        <v>543157</v>
      </c>
      <c r="C37" s="417">
        <v>528239</v>
      </c>
      <c r="D37"/>
      <c r="E37" s="550">
        <v>244641</v>
      </c>
      <c r="F37" s="417">
        <v>244641</v>
      </c>
      <c r="G37" s="417">
        <v>0</v>
      </c>
    </row>
    <row r="38" spans="1:7" ht="14.1" customHeight="1" x14ac:dyDescent="0.2">
      <c r="A38" s="19" t="s">
        <v>136</v>
      </c>
      <c r="B38" s="418">
        <v>61042</v>
      </c>
      <c r="C38" s="418">
        <v>77332</v>
      </c>
      <c r="D38"/>
      <c r="E38" s="551">
        <v>169791</v>
      </c>
      <c r="F38" s="418">
        <v>169791</v>
      </c>
      <c r="G38" s="418">
        <v>0</v>
      </c>
    </row>
    <row r="39" spans="1:7" ht="14.1" customHeight="1" x14ac:dyDescent="0.2">
      <c r="A39" s="284" t="s">
        <v>137</v>
      </c>
      <c r="B39" s="417">
        <v>331504</v>
      </c>
      <c r="C39" s="417">
        <v>366365</v>
      </c>
      <c r="D39"/>
      <c r="E39" s="550">
        <v>255793</v>
      </c>
      <c r="F39" s="417">
        <v>255793</v>
      </c>
      <c r="G39" s="417">
        <v>0</v>
      </c>
    </row>
    <row r="40" spans="1:7" ht="14.1" customHeight="1" x14ac:dyDescent="0.2">
      <c r="A40" s="19" t="s">
        <v>138</v>
      </c>
      <c r="B40" s="418">
        <v>705359</v>
      </c>
      <c r="C40" s="418">
        <v>851872</v>
      </c>
      <c r="D40"/>
      <c r="E40" s="551">
        <v>651618</v>
      </c>
      <c r="F40" s="418">
        <v>651618</v>
      </c>
      <c r="G40" s="418">
        <v>0</v>
      </c>
    </row>
    <row r="41" spans="1:7" ht="14.1" customHeight="1" x14ac:dyDescent="0.2">
      <c r="A41" s="284" t="s">
        <v>139</v>
      </c>
      <c r="B41" s="417">
        <v>630583</v>
      </c>
      <c r="C41" s="417">
        <v>683208</v>
      </c>
      <c r="D41"/>
      <c r="E41" s="550">
        <v>497489</v>
      </c>
      <c r="F41" s="417">
        <v>444888</v>
      </c>
      <c r="G41" s="417">
        <v>52601</v>
      </c>
    </row>
    <row r="42" spans="1:7" ht="14.1" customHeight="1" x14ac:dyDescent="0.2">
      <c r="A42" s="19" t="s">
        <v>140</v>
      </c>
      <c r="B42" s="418">
        <v>540061</v>
      </c>
      <c r="C42" s="418">
        <v>538168</v>
      </c>
      <c r="D42"/>
      <c r="E42" s="551">
        <v>292272</v>
      </c>
      <c r="F42" s="418">
        <v>292272</v>
      </c>
      <c r="G42" s="418">
        <v>0</v>
      </c>
    </row>
    <row r="43" spans="1:7" ht="14.1" customHeight="1" x14ac:dyDescent="0.2">
      <c r="A43" s="284" t="s">
        <v>141</v>
      </c>
      <c r="B43" s="417">
        <v>280722</v>
      </c>
      <c r="C43" s="417">
        <v>257842</v>
      </c>
      <c r="D43"/>
      <c r="E43" s="550">
        <v>67223</v>
      </c>
      <c r="F43" s="417">
        <v>67223</v>
      </c>
      <c r="G43" s="417">
        <v>0</v>
      </c>
    </row>
    <row r="44" spans="1:7" ht="14.1" customHeight="1" x14ac:dyDescent="0.2">
      <c r="A44" s="19" t="s">
        <v>142</v>
      </c>
      <c r="B44" s="418">
        <v>228967</v>
      </c>
      <c r="C44" s="418">
        <v>217213</v>
      </c>
      <c r="D44"/>
      <c r="E44" s="551">
        <v>159840</v>
      </c>
      <c r="F44" s="418">
        <v>159840</v>
      </c>
      <c r="G44" s="418">
        <v>0</v>
      </c>
    </row>
    <row r="45" spans="1:7" ht="14.1" customHeight="1" x14ac:dyDescent="0.2">
      <c r="A45" s="284" t="s">
        <v>143</v>
      </c>
      <c r="B45" s="417">
        <v>264412</v>
      </c>
      <c r="C45" s="417">
        <v>271005</v>
      </c>
      <c r="D45"/>
      <c r="E45" s="550">
        <v>113185</v>
      </c>
      <c r="F45" s="417">
        <v>113185</v>
      </c>
      <c r="G45" s="417">
        <v>0</v>
      </c>
    </row>
    <row r="46" spans="1:7" ht="14.1" customHeight="1" x14ac:dyDescent="0.2">
      <c r="A46" s="19" t="s">
        <v>144</v>
      </c>
      <c r="B46" s="418">
        <v>2790961</v>
      </c>
      <c r="C46" s="418">
        <v>2766720</v>
      </c>
      <c r="D46"/>
      <c r="E46" s="551">
        <v>3490244</v>
      </c>
      <c r="F46" s="418">
        <v>-122165</v>
      </c>
      <c r="G46" s="418">
        <v>3612409</v>
      </c>
    </row>
    <row r="47" spans="1:7" ht="5.0999999999999996" customHeight="1" x14ac:dyDescent="0.2">
      <c r="A47" s="21"/>
      <c r="B47" s="22"/>
      <c r="C47" s="22"/>
      <c r="D47"/>
      <c r="E47" s="22"/>
      <c r="F47" s="22"/>
      <c r="G47" s="22"/>
    </row>
    <row r="48" spans="1:7" ht="14.1" customHeight="1" x14ac:dyDescent="0.2">
      <c r="A48" s="286" t="s">
        <v>145</v>
      </c>
      <c r="B48" s="421">
        <f>SUM(B11:B46)</f>
        <v>25109839</v>
      </c>
      <c r="C48" s="421">
        <f>SUM(C11:C46)</f>
        <v>25835630</v>
      </c>
      <c r="D48"/>
      <c r="E48" s="421">
        <f>SUM(E11:E46)</f>
        <v>16916991</v>
      </c>
      <c r="F48" s="421">
        <f>SUM(F11:F46)</f>
        <v>11381793</v>
      </c>
      <c r="G48" s="421">
        <f>SUM(G11:G46)</f>
        <v>5535198</v>
      </c>
    </row>
    <row r="49" spans="1:8" ht="5.0999999999999996" customHeight="1" x14ac:dyDescent="0.2">
      <c r="A49" s="21" t="s">
        <v>7</v>
      </c>
      <c r="B49" s="22"/>
      <c r="C49" s="22"/>
      <c r="D49"/>
      <c r="E49" s="22"/>
      <c r="F49" s="22"/>
      <c r="G49" s="22"/>
    </row>
    <row r="50" spans="1:8" ht="14.1" customHeight="1" x14ac:dyDescent="0.2">
      <c r="A50" s="19" t="s">
        <v>146</v>
      </c>
      <c r="B50" s="418">
        <v>54442</v>
      </c>
      <c r="C50" s="418">
        <v>61423</v>
      </c>
      <c r="D50"/>
      <c r="E50" s="551">
        <v>17668</v>
      </c>
      <c r="F50" s="418">
        <v>17668</v>
      </c>
      <c r="G50" s="418">
        <v>0</v>
      </c>
    </row>
    <row r="51" spans="1:8" ht="14.1" customHeight="1" x14ac:dyDescent="0.2">
      <c r="A51" s="284" t="s">
        <v>599</v>
      </c>
      <c r="B51" s="417">
        <v>120111</v>
      </c>
      <c r="C51" s="417">
        <v>159305</v>
      </c>
      <c r="D51"/>
      <c r="E51" s="550">
        <v>270838</v>
      </c>
      <c r="F51" s="417">
        <v>0</v>
      </c>
      <c r="G51" s="417">
        <v>270838</v>
      </c>
    </row>
    <row r="52" spans="1:8" ht="50.1" customHeight="1" x14ac:dyDescent="0.2">
      <c r="A52" s="23"/>
      <c r="B52" s="23"/>
      <c r="C52" s="23"/>
      <c r="D52" s="504"/>
      <c r="E52" s="23"/>
      <c r="F52" s="504"/>
      <c r="G52" s="23"/>
      <c r="H52" s="23"/>
    </row>
    <row r="53" spans="1:8" ht="15" customHeight="1" x14ac:dyDescent="0.2">
      <c r="A53" s="770" t="s">
        <v>544</v>
      </c>
      <c r="B53" s="770"/>
      <c r="C53" s="770"/>
      <c r="D53" s="770"/>
      <c r="E53" s="770"/>
      <c r="F53" s="770"/>
      <c r="G53" s="770"/>
      <c r="H53" s="770"/>
    </row>
    <row r="54" spans="1:8" x14ac:dyDescent="0.2">
      <c r="A54" s="771"/>
      <c r="B54" s="771"/>
      <c r="C54" s="771"/>
      <c r="D54" s="771"/>
      <c r="E54" s="771"/>
      <c r="F54" s="771"/>
      <c r="G54" s="771"/>
      <c r="H54" s="771"/>
    </row>
    <row r="55" spans="1:8" x14ac:dyDescent="0.2">
      <c r="A55" s="771"/>
      <c r="B55" s="771"/>
      <c r="C55" s="771"/>
      <c r="D55" s="771"/>
      <c r="E55" s="771"/>
      <c r="F55" s="771"/>
      <c r="G55" s="771"/>
      <c r="H55" s="771"/>
    </row>
  </sheetData>
  <mergeCells count="9">
    <mergeCell ref="A53:H55"/>
    <mergeCell ref="F6:G6"/>
    <mergeCell ref="A3:H3"/>
    <mergeCell ref="A2:E2"/>
    <mergeCell ref="B8:B9"/>
    <mergeCell ref="C8:C9"/>
    <mergeCell ref="G8:G9"/>
    <mergeCell ref="F7:F9"/>
    <mergeCell ref="E6:E9"/>
  </mergeCells>
  <phoneticPr fontId="6" type="noConversion"/>
  <pageMargins left="0.5" right="0.5" top="0.6" bottom="0.2" header="0.3" footer="0.5"/>
  <pageSetup scale="87" orientation="portrait" r:id="rId1"/>
  <headerFooter alignWithMargins="0">
    <oddHeader>&amp;C&amp;"Arial,Regular"&amp;11&amp;A</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E56"/>
  <sheetViews>
    <sheetView showGridLines="0" showZeros="0" workbookViewId="0"/>
  </sheetViews>
  <sheetFormatPr defaultColWidth="19.83203125" defaultRowHeight="12" x14ac:dyDescent="0.2"/>
  <cols>
    <col min="1" max="1" width="31.33203125" style="2" customWidth="1"/>
    <col min="2" max="2" width="22.1640625" style="2" customWidth="1"/>
    <col min="3" max="3" width="32.1640625" style="2" customWidth="1"/>
    <col min="4" max="4" width="24.6640625" style="2" customWidth="1"/>
    <col min="5" max="5" width="22.83203125" style="2" customWidth="1"/>
    <col min="6" max="16384" width="19.83203125" style="2"/>
  </cols>
  <sheetData>
    <row r="1" spans="1:5" ht="6.95" customHeight="1" x14ac:dyDescent="0.2">
      <c r="A1" s="7"/>
      <c r="B1" s="7"/>
    </row>
    <row r="2" spans="1:5" ht="15.95" customHeight="1" x14ac:dyDescent="0.2">
      <c r="A2" s="748" t="str">
        <f>+'- 49 -'!A2:E2</f>
        <v>SPECIAL PURPOSE FUND 2019/2020 ACTUAL</v>
      </c>
      <c r="B2" s="748"/>
      <c r="C2" s="748"/>
      <c r="D2" s="748"/>
      <c r="E2" s="748"/>
    </row>
    <row r="3" spans="1:5" ht="15.95" customHeight="1" x14ac:dyDescent="0.2">
      <c r="A3" s="749" t="s">
        <v>374</v>
      </c>
      <c r="B3" s="749"/>
      <c r="C3" s="749"/>
      <c r="D3" s="749"/>
      <c r="E3" s="749"/>
    </row>
    <row r="4" spans="1:5" ht="15.95" customHeight="1" x14ac:dyDescent="0.2">
      <c r="B4" s="8"/>
      <c r="C4" s="8"/>
      <c r="D4" s="8"/>
      <c r="E4" s="184"/>
    </row>
    <row r="5" spans="1:5" ht="15.95" customHeight="1" x14ac:dyDescent="0.2">
      <c r="B5"/>
      <c r="C5"/>
      <c r="D5"/>
      <c r="E5"/>
    </row>
    <row r="6" spans="1:5" ht="15.95" customHeight="1" x14ac:dyDescent="0.2">
      <c r="B6"/>
      <c r="C6"/>
      <c r="D6"/>
    </row>
    <row r="7" spans="1:5" ht="15.95" customHeight="1" x14ac:dyDescent="0.2">
      <c r="B7" s="508"/>
      <c r="C7" s="752" t="s">
        <v>268</v>
      </c>
      <c r="D7" s="753"/>
    </row>
    <row r="8" spans="1:5" ht="18.75" customHeight="1" x14ac:dyDescent="0.2">
      <c r="A8" s="403"/>
      <c r="B8" s="775" t="s">
        <v>545</v>
      </c>
      <c r="C8" s="777" t="s">
        <v>546</v>
      </c>
      <c r="D8" s="779" t="s">
        <v>600</v>
      </c>
    </row>
    <row r="9" spans="1:5" ht="23.25" customHeight="1" x14ac:dyDescent="0.2">
      <c r="A9" s="404" t="s">
        <v>42</v>
      </c>
      <c r="B9" s="776"/>
      <c r="C9" s="778"/>
      <c r="D9" s="780"/>
    </row>
    <row r="10" spans="1:5" ht="5.0999999999999996" customHeight="1" x14ac:dyDescent="0.2">
      <c r="A10" s="6"/>
      <c r="C10" s="7"/>
      <c r="D10" s="207"/>
    </row>
    <row r="11" spans="1:5" ht="14.1" customHeight="1" x14ac:dyDescent="0.2">
      <c r="A11" s="284" t="s">
        <v>110</v>
      </c>
      <c r="B11" s="419">
        <f t="shared" ref="B11:B46" si="0">C11+D11</f>
        <v>278997</v>
      </c>
      <c r="C11" s="417">
        <f>+'- 49 -'!F11</f>
        <v>268526</v>
      </c>
      <c r="D11" s="417">
        <v>10471</v>
      </c>
    </row>
    <row r="12" spans="1:5" ht="14.1" customHeight="1" x14ac:dyDescent="0.2">
      <c r="A12" s="19" t="s">
        <v>111</v>
      </c>
      <c r="B12" s="420">
        <f t="shared" si="0"/>
        <v>397726</v>
      </c>
      <c r="C12" s="418">
        <f>+'- 49 -'!F12</f>
        <v>397726</v>
      </c>
      <c r="D12" s="418">
        <v>0</v>
      </c>
    </row>
    <row r="13" spans="1:5" ht="14.1" customHeight="1" x14ac:dyDescent="0.2">
      <c r="A13" s="284" t="s">
        <v>112</v>
      </c>
      <c r="B13" s="419">
        <f t="shared" si="0"/>
        <v>1072377</v>
      </c>
      <c r="C13" s="417">
        <f>+'- 49 -'!F13</f>
        <v>839793</v>
      </c>
      <c r="D13" s="417">
        <v>232584</v>
      </c>
    </row>
    <row r="14" spans="1:5" ht="14.1" customHeight="1" x14ac:dyDescent="0.2">
      <c r="A14" s="19" t="s">
        <v>147</v>
      </c>
      <c r="B14" s="420">
        <f t="shared" si="0"/>
        <v>765534</v>
      </c>
      <c r="C14" s="418">
        <f>+'- 49 -'!F14</f>
        <v>504008</v>
      </c>
      <c r="D14" s="418">
        <v>261526</v>
      </c>
    </row>
    <row r="15" spans="1:5" ht="14.1" customHeight="1" x14ac:dyDescent="0.2">
      <c r="A15" s="284" t="s">
        <v>113</v>
      </c>
      <c r="B15" s="419">
        <f t="shared" si="0"/>
        <v>291247</v>
      </c>
      <c r="C15" s="417">
        <f>+'- 49 -'!F15</f>
        <v>246738</v>
      </c>
      <c r="D15" s="417">
        <v>44509</v>
      </c>
    </row>
    <row r="16" spans="1:5" ht="14.1" customHeight="1" x14ac:dyDescent="0.2">
      <c r="A16" s="19" t="s">
        <v>114</v>
      </c>
      <c r="B16" s="420">
        <f t="shared" si="0"/>
        <v>86235</v>
      </c>
      <c r="C16" s="418">
        <f>+'- 49 -'!F16</f>
        <v>77692</v>
      </c>
      <c r="D16" s="418">
        <v>8543</v>
      </c>
    </row>
    <row r="17" spans="1:4" ht="14.1" customHeight="1" x14ac:dyDescent="0.2">
      <c r="A17" s="284" t="s">
        <v>115</v>
      </c>
      <c r="B17" s="419">
        <f t="shared" si="0"/>
        <v>309926</v>
      </c>
      <c r="C17" s="417">
        <f>+'- 49 -'!F17</f>
        <v>287797</v>
      </c>
      <c r="D17" s="417">
        <v>22129</v>
      </c>
    </row>
    <row r="18" spans="1:4" ht="14.1" customHeight="1" x14ac:dyDescent="0.2">
      <c r="A18" s="19" t="s">
        <v>116</v>
      </c>
      <c r="B18" s="420">
        <f t="shared" si="0"/>
        <v>617865</v>
      </c>
      <c r="C18" s="418">
        <f>+'- 49 -'!F18</f>
        <v>197871</v>
      </c>
      <c r="D18" s="418">
        <v>419994</v>
      </c>
    </row>
    <row r="19" spans="1:4" ht="14.1" customHeight="1" x14ac:dyDescent="0.2">
      <c r="A19" s="284" t="s">
        <v>117</v>
      </c>
      <c r="B19" s="419">
        <f t="shared" si="0"/>
        <v>168344</v>
      </c>
      <c r="C19" s="417">
        <f>+'- 49 -'!F19</f>
        <v>168344</v>
      </c>
      <c r="D19" s="417">
        <v>0</v>
      </c>
    </row>
    <row r="20" spans="1:4" ht="14.1" customHeight="1" x14ac:dyDescent="0.2">
      <c r="A20" s="19" t="s">
        <v>118</v>
      </c>
      <c r="B20" s="420">
        <f t="shared" si="0"/>
        <v>569677</v>
      </c>
      <c r="C20" s="418">
        <f>+'- 49 -'!F20</f>
        <v>549265</v>
      </c>
      <c r="D20" s="418">
        <v>20412</v>
      </c>
    </row>
    <row r="21" spans="1:4" ht="14.1" customHeight="1" x14ac:dyDescent="0.2">
      <c r="A21" s="284" t="s">
        <v>119</v>
      </c>
      <c r="B21" s="419">
        <f t="shared" si="0"/>
        <v>253327</v>
      </c>
      <c r="C21" s="417">
        <f>+'- 49 -'!F21</f>
        <v>171595</v>
      </c>
      <c r="D21" s="417">
        <v>81732</v>
      </c>
    </row>
    <row r="22" spans="1:4" ht="14.1" customHeight="1" x14ac:dyDescent="0.2">
      <c r="A22" s="19" t="s">
        <v>120</v>
      </c>
      <c r="B22" s="420">
        <f t="shared" si="0"/>
        <v>292345</v>
      </c>
      <c r="C22" s="418">
        <f>+'- 49 -'!F22</f>
        <v>220990</v>
      </c>
      <c r="D22" s="418">
        <v>71355</v>
      </c>
    </row>
    <row r="23" spans="1:4" ht="14.1" customHeight="1" x14ac:dyDescent="0.2">
      <c r="A23" s="284" t="s">
        <v>121</v>
      </c>
      <c r="B23" s="419">
        <f t="shared" si="0"/>
        <v>199558</v>
      </c>
      <c r="C23" s="417">
        <f>+'- 49 -'!F23</f>
        <v>199558</v>
      </c>
      <c r="D23" s="417">
        <v>0</v>
      </c>
    </row>
    <row r="24" spans="1:4" ht="14.1" customHeight="1" x14ac:dyDescent="0.2">
      <c r="A24" s="19" t="s">
        <v>122</v>
      </c>
      <c r="B24" s="420">
        <f t="shared" si="0"/>
        <v>434619</v>
      </c>
      <c r="C24" s="418">
        <f>+'- 49 -'!F24</f>
        <v>353834</v>
      </c>
      <c r="D24" s="418">
        <v>80785</v>
      </c>
    </row>
    <row r="25" spans="1:4" ht="14.1" customHeight="1" x14ac:dyDescent="0.2">
      <c r="A25" s="284" t="s">
        <v>123</v>
      </c>
      <c r="B25" s="419">
        <f t="shared" si="0"/>
        <v>1658758</v>
      </c>
      <c r="C25" s="417">
        <f>+'- 49 -'!F25</f>
        <v>1491158</v>
      </c>
      <c r="D25" s="417">
        <v>167600</v>
      </c>
    </row>
    <row r="26" spans="1:4" ht="14.1" customHeight="1" x14ac:dyDescent="0.2">
      <c r="A26" s="19" t="s">
        <v>124</v>
      </c>
      <c r="B26" s="420">
        <f t="shared" si="0"/>
        <v>590444</v>
      </c>
      <c r="C26" s="418">
        <f>+'- 49 -'!F26</f>
        <v>532223</v>
      </c>
      <c r="D26" s="418">
        <v>58221</v>
      </c>
    </row>
    <row r="27" spans="1:4" ht="14.1" customHeight="1" x14ac:dyDescent="0.2">
      <c r="A27" s="284" t="s">
        <v>125</v>
      </c>
      <c r="B27" s="419">
        <f t="shared" si="0"/>
        <v>316085</v>
      </c>
      <c r="C27" s="417">
        <f>+'- 49 -'!F27</f>
        <v>137093</v>
      </c>
      <c r="D27" s="417">
        <v>178992</v>
      </c>
    </row>
    <row r="28" spans="1:4" ht="14.1" customHeight="1" x14ac:dyDescent="0.2">
      <c r="A28" s="19" t="s">
        <v>126</v>
      </c>
      <c r="B28" s="420">
        <f t="shared" si="0"/>
        <v>479368</v>
      </c>
      <c r="C28" s="418">
        <f>+'- 49 -'!F28</f>
        <v>479368</v>
      </c>
      <c r="D28" s="418">
        <v>0</v>
      </c>
    </row>
    <row r="29" spans="1:4" ht="14.1" customHeight="1" x14ac:dyDescent="0.2">
      <c r="A29" s="284" t="s">
        <v>127</v>
      </c>
      <c r="B29" s="419">
        <f t="shared" si="0"/>
        <v>1845255</v>
      </c>
      <c r="C29" s="417">
        <f>+'- 49 -'!F29</f>
        <v>478857</v>
      </c>
      <c r="D29" s="417">
        <v>1366398</v>
      </c>
    </row>
    <row r="30" spans="1:4" ht="14.1" customHeight="1" x14ac:dyDescent="0.2">
      <c r="A30" s="19" t="s">
        <v>128</v>
      </c>
      <c r="B30" s="420">
        <f t="shared" si="0"/>
        <v>78730</v>
      </c>
      <c r="C30" s="418">
        <f>+'- 49 -'!F30</f>
        <v>78730</v>
      </c>
      <c r="D30" s="418">
        <v>0</v>
      </c>
    </row>
    <row r="31" spans="1:4" ht="14.1" customHeight="1" x14ac:dyDescent="0.2">
      <c r="A31" s="284" t="s">
        <v>129</v>
      </c>
      <c r="B31" s="419">
        <f t="shared" si="0"/>
        <v>391070</v>
      </c>
      <c r="C31" s="417">
        <f>+'- 49 -'!F31</f>
        <v>246153</v>
      </c>
      <c r="D31" s="417">
        <v>144917</v>
      </c>
    </row>
    <row r="32" spans="1:4" ht="14.1" customHeight="1" x14ac:dyDescent="0.2">
      <c r="A32" s="19" t="s">
        <v>130</v>
      </c>
      <c r="B32" s="420">
        <f t="shared" si="0"/>
        <v>177502</v>
      </c>
      <c r="C32" s="418">
        <f>+'- 49 -'!F32</f>
        <v>141761</v>
      </c>
      <c r="D32" s="418">
        <v>35741</v>
      </c>
    </row>
    <row r="33" spans="1:4" ht="14.1" customHeight="1" x14ac:dyDescent="0.2">
      <c r="A33" s="284" t="s">
        <v>131</v>
      </c>
      <c r="B33" s="419">
        <f t="shared" si="0"/>
        <v>320162</v>
      </c>
      <c r="C33" s="417">
        <f>+'- 49 -'!F33</f>
        <v>282396</v>
      </c>
      <c r="D33" s="417">
        <v>37766</v>
      </c>
    </row>
    <row r="34" spans="1:4" ht="14.1" customHeight="1" x14ac:dyDescent="0.2">
      <c r="A34" s="19" t="s">
        <v>132</v>
      </c>
      <c r="B34" s="420">
        <f t="shared" si="0"/>
        <v>216006</v>
      </c>
      <c r="C34" s="418">
        <f>+'- 49 -'!F34</f>
        <v>147845</v>
      </c>
      <c r="D34" s="418">
        <v>68161</v>
      </c>
    </row>
    <row r="35" spans="1:4" ht="14.1" customHeight="1" x14ac:dyDescent="0.2">
      <c r="A35" s="284" t="s">
        <v>133</v>
      </c>
      <c r="B35" s="419">
        <f t="shared" si="0"/>
        <v>2437058</v>
      </c>
      <c r="C35" s="417">
        <f>+'- 49 -'!F35</f>
        <v>331427</v>
      </c>
      <c r="D35" s="417">
        <v>2105631</v>
      </c>
    </row>
    <row r="36" spans="1:4" ht="14.1" customHeight="1" x14ac:dyDescent="0.2">
      <c r="A36" s="19" t="s">
        <v>134</v>
      </c>
      <c r="B36" s="420">
        <f t="shared" si="0"/>
        <v>273959</v>
      </c>
      <c r="C36" s="418">
        <f>+'- 49 -'!F36</f>
        <v>273959</v>
      </c>
      <c r="D36" s="418">
        <v>0</v>
      </c>
    </row>
    <row r="37" spans="1:4" ht="14.1" customHeight="1" x14ac:dyDescent="0.2">
      <c r="A37" s="284" t="s">
        <v>135</v>
      </c>
      <c r="B37" s="419">
        <f t="shared" si="0"/>
        <v>309787</v>
      </c>
      <c r="C37" s="417">
        <f>+'- 49 -'!F37</f>
        <v>244641</v>
      </c>
      <c r="D37" s="417">
        <v>65146</v>
      </c>
    </row>
    <row r="38" spans="1:4" ht="14.1" customHeight="1" x14ac:dyDescent="0.2">
      <c r="A38" s="19" t="s">
        <v>136</v>
      </c>
      <c r="B38" s="420">
        <f t="shared" si="0"/>
        <v>585644</v>
      </c>
      <c r="C38" s="418">
        <f>+'- 49 -'!F38</f>
        <v>169791</v>
      </c>
      <c r="D38" s="418">
        <v>415853</v>
      </c>
    </row>
    <row r="39" spans="1:4" ht="14.1" customHeight="1" x14ac:dyDescent="0.2">
      <c r="A39" s="284" t="s">
        <v>137</v>
      </c>
      <c r="B39" s="419">
        <f t="shared" si="0"/>
        <v>255793</v>
      </c>
      <c r="C39" s="417">
        <f>+'- 49 -'!F39</f>
        <v>255793</v>
      </c>
      <c r="D39" s="417">
        <v>0</v>
      </c>
    </row>
    <row r="40" spans="1:4" ht="14.1" customHeight="1" x14ac:dyDescent="0.2">
      <c r="A40" s="19" t="s">
        <v>138</v>
      </c>
      <c r="B40" s="420">
        <f t="shared" si="0"/>
        <v>960042</v>
      </c>
      <c r="C40" s="418">
        <f>+'- 49 -'!F40</f>
        <v>651618</v>
      </c>
      <c r="D40" s="418">
        <v>308424</v>
      </c>
    </row>
    <row r="41" spans="1:4" ht="14.1" customHeight="1" x14ac:dyDescent="0.2">
      <c r="A41" s="284" t="s">
        <v>139</v>
      </c>
      <c r="B41" s="419">
        <f t="shared" si="0"/>
        <v>506923</v>
      </c>
      <c r="C41" s="417">
        <f>+'- 49 -'!F41</f>
        <v>444888</v>
      </c>
      <c r="D41" s="417">
        <v>62035</v>
      </c>
    </row>
    <row r="42" spans="1:4" ht="14.1" customHeight="1" x14ac:dyDescent="0.2">
      <c r="A42" s="19" t="s">
        <v>140</v>
      </c>
      <c r="B42" s="420">
        <f t="shared" si="0"/>
        <v>292272</v>
      </c>
      <c r="C42" s="418">
        <f>+'- 49 -'!F42</f>
        <v>292272</v>
      </c>
      <c r="D42" s="418">
        <v>0</v>
      </c>
    </row>
    <row r="43" spans="1:4" ht="14.1" customHeight="1" x14ac:dyDescent="0.2">
      <c r="A43" s="284" t="s">
        <v>141</v>
      </c>
      <c r="B43" s="419">
        <f t="shared" si="0"/>
        <v>159308</v>
      </c>
      <c r="C43" s="417">
        <f>+'- 49 -'!F43</f>
        <v>67223</v>
      </c>
      <c r="D43" s="417">
        <v>92085</v>
      </c>
    </row>
    <row r="44" spans="1:4" ht="14.1" customHeight="1" x14ac:dyDescent="0.2">
      <c r="A44" s="19" t="s">
        <v>142</v>
      </c>
      <c r="B44" s="420">
        <f t="shared" si="0"/>
        <v>159840</v>
      </c>
      <c r="C44" s="418">
        <f>+'- 49 -'!F44</f>
        <v>159840</v>
      </c>
      <c r="D44" s="418">
        <v>0</v>
      </c>
    </row>
    <row r="45" spans="1:4" ht="14.1" customHeight="1" x14ac:dyDescent="0.2">
      <c r="A45" s="284" t="s">
        <v>143</v>
      </c>
      <c r="B45" s="419">
        <f t="shared" si="0"/>
        <v>121516</v>
      </c>
      <c r="C45" s="417">
        <f>+'- 49 -'!F45</f>
        <v>113185</v>
      </c>
      <c r="D45" s="417">
        <v>8331</v>
      </c>
    </row>
    <row r="46" spans="1:4" ht="14.1" customHeight="1" x14ac:dyDescent="0.2">
      <c r="A46" s="19" t="s">
        <v>144</v>
      </c>
      <c r="B46" s="420">
        <f t="shared" si="0"/>
        <v>2984785</v>
      </c>
      <c r="C46" s="418">
        <f>+'- 49 -'!F46</f>
        <v>-122165</v>
      </c>
      <c r="D46" s="418">
        <v>3106950</v>
      </c>
    </row>
    <row r="47" spans="1:4" ht="5.0999999999999996" customHeight="1" x14ac:dyDescent="0.2">
      <c r="A47" s="21"/>
      <c r="B47" s="22"/>
      <c r="C47" s="22"/>
      <c r="D47" s="22"/>
    </row>
    <row r="48" spans="1:4" ht="14.1" customHeight="1" x14ac:dyDescent="0.2">
      <c r="A48" s="286" t="s">
        <v>145</v>
      </c>
      <c r="B48" s="422">
        <f>SUM(B11:B46)</f>
        <v>20858084</v>
      </c>
      <c r="C48" s="421">
        <f>SUM(C11:C46)</f>
        <v>11381793</v>
      </c>
      <c r="D48" s="421">
        <f>SUM(D11:D46)</f>
        <v>9476291</v>
      </c>
    </row>
    <row r="49" spans="1:5" ht="5.0999999999999996" customHeight="1" x14ac:dyDescent="0.2">
      <c r="A49" s="21" t="s">
        <v>7</v>
      </c>
      <c r="B49" s="22"/>
      <c r="C49" s="22"/>
      <c r="D49" s="22"/>
    </row>
    <row r="50" spans="1:5" ht="14.1" customHeight="1" x14ac:dyDescent="0.2">
      <c r="A50" s="19" t="s">
        <v>146</v>
      </c>
      <c r="B50" s="420">
        <f>C50+D50</f>
        <v>17668</v>
      </c>
      <c r="C50" s="418">
        <f>+'- 49 -'!F50</f>
        <v>17668</v>
      </c>
      <c r="D50" s="418">
        <v>0</v>
      </c>
    </row>
    <row r="51" spans="1:5" ht="14.1" customHeight="1" x14ac:dyDescent="0.2">
      <c r="A51" s="284" t="s">
        <v>599</v>
      </c>
      <c r="B51" s="419">
        <f>C51+D51</f>
        <v>0</v>
      </c>
      <c r="C51" s="417">
        <f>+'- 49 -'!F51</f>
        <v>0</v>
      </c>
      <c r="D51" s="417">
        <v>0</v>
      </c>
    </row>
    <row r="52" spans="1:5" ht="50.1" customHeight="1" x14ac:dyDescent="0.2">
      <c r="A52" s="23"/>
      <c r="B52" s="23"/>
      <c r="C52" s="433"/>
      <c r="D52" s="23"/>
      <c r="E52" s="23"/>
    </row>
    <row r="53" spans="1:5" ht="15.75" customHeight="1" x14ac:dyDescent="0.2">
      <c r="A53" s="770" t="s">
        <v>547</v>
      </c>
      <c r="B53" s="770"/>
      <c r="C53" s="770"/>
      <c r="D53" s="770"/>
      <c r="E53" s="770"/>
    </row>
    <row r="54" spans="1:5" x14ac:dyDescent="0.2">
      <c r="A54" s="771"/>
      <c r="B54" s="771"/>
      <c r="C54" s="771"/>
      <c r="D54" s="771"/>
      <c r="E54" s="771"/>
    </row>
    <row r="55" spans="1:5" x14ac:dyDescent="0.2">
      <c r="A55" s="771" t="s">
        <v>548</v>
      </c>
      <c r="B55" s="771"/>
      <c r="C55" s="771"/>
      <c r="D55" s="771"/>
      <c r="E55" s="771"/>
    </row>
    <row r="56" spans="1:5" x14ac:dyDescent="0.2">
      <c r="A56" s="771"/>
      <c r="B56" s="771"/>
      <c r="C56" s="771"/>
      <c r="D56" s="771"/>
      <c r="E56" s="771"/>
    </row>
  </sheetData>
  <mergeCells count="8">
    <mergeCell ref="A53:E54"/>
    <mergeCell ref="A55:E56"/>
    <mergeCell ref="A2:E2"/>
    <mergeCell ref="A3:E3"/>
    <mergeCell ref="C7:D7"/>
    <mergeCell ref="B8:B9"/>
    <mergeCell ref="C8:C9"/>
    <mergeCell ref="D8:D9"/>
  </mergeCells>
  <pageMargins left="0.5" right="0.5" top="0.6" bottom="0.2" header="0.3" footer="0.5"/>
  <pageSetup scale="88" orientation="portrait" r:id="rId1"/>
  <headerFooter alignWithMargins="0">
    <oddHeader>&amp;C&amp;"Arial,Regular"&amp;11&amp;A</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D59"/>
  <sheetViews>
    <sheetView showGridLines="0" showZeros="0" workbookViewId="0"/>
  </sheetViews>
  <sheetFormatPr defaultColWidth="15.83203125" defaultRowHeight="12" x14ac:dyDescent="0.2"/>
  <cols>
    <col min="1" max="1" width="35.83203125" style="2" customWidth="1"/>
    <col min="2" max="3" width="25.83203125" style="2" customWidth="1"/>
    <col min="4" max="4" width="45.83203125" style="2" customWidth="1"/>
    <col min="5" max="16384" width="15.83203125" style="2"/>
  </cols>
  <sheetData>
    <row r="1" spans="1:4" ht="6.95" customHeight="1" x14ac:dyDescent="0.2">
      <c r="A1" s="7"/>
    </row>
    <row r="2" spans="1:4" ht="17.100000000000001" customHeight="1" x14ac:dyDescent="0.2">
      <c r="A2" s="228"/>
      <c r="B2" s="229" t="s">
        <v>363</v>
      </c>
      <c r="C2" s="158"/>
      <c r="D2" s="153"/>
    </row>
    <row r="3" spans="1:4" ht="15" customHeight="1" x14ac:dyDescent="0.2">
      <c r="A3" s="540"/>
      <c r="B3" s="233" t="s">
        <v>636</v>
      </c>
      <c r="C3" s="159"/>
      <c r="D3" s="230"/>
    </row>
    <row r="4" spans="1:4" ht="15.95" customHeight="1" x14ac:dyDescent="0.2">
      <c r="A4" s="133"/>
      <c r="B4" s="8"/>
      <c r="C4" s="43"/>
    </row>
    <row r="5" spans="1:4" ht="15.95" customHeight="1" x14ac:dyDescent="0.2">
      <c r="A5" s="2" t="str">
        <f>REPLACE(A4,5,5,"")</f>
        <v/>
      </c>
      <c r="B5" s="8"/>
      <c r="C5" s="8"/>
    </row>
    <row r="6" spans="1:4" ht="15.95" customHeight="1" x14ac:dyDescent="0.2">
      <c r="B6"/>
      <c r="C6"/>
    </row>
    <row r="7" spans="1:4" ht="15.95" customHeight="1" x14ac:dyDescent="0.2">
      <c r="B7" s="783" t="s">
        <v>550</v>
      </c>
      <c r="C7" s="564"/>
    </row>
    <row r="8" spans="1:4" ht="15.95" customHeight="1" x14ac:dyDescent="0.2">
      <c r="A8" s="403"/>
      <c r="B8" s="784"/>
      <c r="C8" s="781" t="s">
        <v>549</v>
      </c>
    </row>
    <row r="9" spans="1:4" ht="15.95" customHeight="1" x14ac:dyDescent="0.2">
      <c r="A9" s="404" t="s">
        <v>42</v>
      </c>
      <c r="B9" s="785"/>
      <c r="C9" s="782"/>
    </row>
    <row r="10" spans="1:4" ht="5.0999999999999996" customHeight="1" x14ac:dyDescent="0.2">
      <c r="A10" s="6"/>
      <c r="B10" s="207"/>
      <c r="C10" s="222">
        <v>9.7699999999999992E-3</v>
      </c>
    </row>
    <row r="11" spans="1:4" ht="14.1" customHeight="1" x14ac:dyDescent="0.2">
      <c r="A11" s="284" t="s">
        <v>110</v>
      </c>
      <c r="B11" s="285">
        <f>'- 53 -'!D11</f>
        <v>157443930</v>
      </c>
      <c r="C11" s="285">
        <f t="shared" ref="C11:C46" si="0">B11*C$10</f>
        <v>1538227.1960999998</v>
      </c>
    </row>
    <row r="12" spans="1:4" ht="14.1" customHeight="1" x14ac:dyDescent="0.2">
      <c r="A12" s="19" t="s">
        <v>111</v>
      </c>
      <c r="B12" s="20">
        <f>'- 53 -'!D12</f>
        <v>212469630</v>
      </c>
      <c r="C12" s="20">
        <f t="shared" si="0"/>
        <v>2075828.2850999997</v>
      </c>
    </row>
    <row r="13" spans="1:4" ht="14.1" customHeight="1" x14ac:dyDescent="0.2">
      <c r="A13" s="284" t="s">
        <v>112</v>
      </c>
      <c r="B13" s="285">
        <f>'- 53 -'!D13</f>
        <v>965367050</v>
      </c>
      <c r="C13" s="285">
        <f t="shared" si="0"/>
        <v>9431636.0784999989</v>
      </c>
    </row>
    <row r="14" spans="1:4" ht="14.1" customHeight="1" x14ac:dyDescent="0.2">
      <c r="A14" s="19" t="s">
        <v>358</v>
      </c>
      <c r="B14" s="20">
        <f>'- 53 -'!D14</f>
        <v>0</v>
      </c>
      <c r="C14" s="20">
        <f t="shared" si="0"/>
        <v>0</v>
      </c>
    </row>
    <row r="15" spans="1:4" ht="14.1" customHeight="1" x14ac:dyDescent="0.2">
      <c r="A15" s="284" t="s">
        <v>113</v>
      </c>
      <c r="B15" s="285">
        <f>'- 53 -'!D15</f>
        <v>130118390</v>
      </c>
      <c r="C15" s="285">
        <f t="shared" si="0"/>
        <v>1271256.6702999999</v>
      </c>
    </row>
    <row r="16" spans="1:4" ht="14.1" customHeight="1" x14ac:dyDescent="0.2">
      <c r="A16" s="19" t="s">
        <v>114</v>
      </c>
      <c r="B16" s="20">
        <f>'- 53 -'!D16</f>
        <v>35960870</v>
      </c>
      <c r="C16" s="20">
        <f t="shared" si="0"/>
        <v>351337.69989999995</v>
      </c>
    </row>
    <row r="17" spans="1:3" ht="14.1" customHeight="1" x14ac:dyDescent="0.2">
      <c r="A17" s="284" t="s">
        <v>115</v>
      </c>
      <c r="B17" s="285">
        <f>'- 53 -'!D17</f>
        <v>619139380</v>
      </c>
      <c r="C17" s="285">
        <f t="shared" si="0"/>
        <v>6048991.7425999995</v>
      </c>
    </row>
    <row r="18" spans="1:3" ht="14.1" customHeight="1" x14ac:dyDescent="0.2">
      <c r="A18" s="19" t="s">
        <v>116</v>
      </c>
      <c r="B18" s="20">
        <f>'- 53 -'!D18</f>
        <v>78673970</v>
      </c>
      <c r="C18" s="20">
        <f t="shared" si="0"/>
        <v>768644.68689999997</v>
      </c>
    </row>
    <row r="19" spans="1:3" ht="14.1" customHeight="1" x14ac:dyDescent="0.2">
      <c r="A19" s="284" t="s">
        <v>117</v>
      </c>
      <c r="B19" s="285">
        <f>'- 53 -'!D19</f>
        <v>340430070</v>
      </c>
      <c r="C19" s="285">
        <f t="shared" si="0"/>
        <v>3326001.7838999997</v>
      </c>
    </row>
    <row r="20" spans="1:3" ht="14.1" customHeight="1" x14ac:dyDescent="0.2">
      <c r="A20" s="19" t="s">
        <v>118</v>
      </c>
      <c r="B20" s="20">
        <f>'- 53 -'!D20</f>
        <v>455274480</v>
      </c>
      <c r="C20" s="20">
        <f t="shared" si="0"/>
        <v>4448031.6695999997</v>
      </c>
    </row>
    <row r="21" spans="1:3" ht="14.1" customHeight="1" x14ac:dyDescent="0.2">
      <c r="A21" s="284" t="s">
        <v>119</v>
      </c>
      <c r="B21" s="285">
        <f>'- 53 -'!D21</f>
        <v>325455250</v>
      </c>
      <c r="C21" s="285">
        <f t="shared" si="0"/>
        <v>3179697.7924999995</v>
      </c>
    </row>
    <row r="22" spans="1:3" ht="14.1" customHeight="1" x14ac:dyDescent="0.2">
      <c r="A22" s="19" t="s">
        <v>120</v>
      </c>
      <c r="B22" s="20">
        <f>'- 53 -'!D22</f>
        <v>66646980</v>
      </c>
      <c r="C22" s="20">
        <f t="shared" si="0"/>
        <v>651140.99459999998</v>
      </c>
    </row>
    <row r="23" spans="1:3" ht="14.1" customHeight="1" x14ac:dyDescent="0.2">
      <c r="A23" s="284" t="s">
        <v>121</v>
      </c>
      <c r="B23" s="285">
        <f>'- 53 -'!D23</f>
        <v>37023370</v>
      </c>
      <c r="C23" s="285">
        <f t="shared" si="0"/>
        <v>361718.32489999995</v>
      </c>
    </row>
    <row r="24" spans="1:3" ht="14.1" customHeight="1" x14ac:dyDescent="0.2">
      <c r="A24" s="19" t="s">
        <v>122</v>
      </c>
      <c r="B24" s="20">
        <f>'- 53 -'!D24</f>
        <v>267442830</v>
      </c>
      <c r="C24" s="20">
        <f t="shared" si="0"/>
        <v>2612916.4490999999</v>
      </c>
    </row>
    <row r="25" spans="1:3" ht="14.1" customHeight="1" x14ac:dyDescent="0.2">
      <c r="A25" s="284" t="s">
        <v>123</v>
      </c>
      <c r="B25" s="285">
        <f>'- 53 -'!D25</f>
        <v>1463681640</v>
      </c>
      <c r="C25" s="285">
        <f t="shared" si="0"/>
        <v>14300169.622799998</v>
      </c>
    </row>
    <row r="26" spans="1:3" ht="14.1" customHeight="1" x14ac:dyDescent="0.2">
      <c r="A26" s="19" t="s">
        <v>124</v>
      </c>
      <c r="B26" s="20">
        <f>'- 53 -'!D26</f>
        <v>156051760</v>
      </c>
      <c r="C26" s="20">
        <f t="shared" si="0"/>
        <v>1524625.6952</v>
      </c>
    </row>
    <row r="27" spans="1:3" ht="14.1" customHeight="1" x14ac:dyDescent="0.2">
      <c r="A27" s="284" t="s">
        <v>125</v>
      </c>
      <c r="B27" s="285">
        <f>'- 53 -'!D27</f>
        <v>132329950</v>
      </c>
      <c r="C27" s="285">
        <f t="shared" si="0"/>
        <v>1292863.6114999999</v>
      </c>
    </row>
    <row r="28" spans="1:3" ht="14.1" customHeight="1" x14ac:dyDescent="0.2">
      <c r="A28" s="19" t="s">
        <v>126</v>
      </c>
      <c r="B28" s="20">
        <f>'- 53 -'!D28</f>
        <v>198797370</v>
      </c>
      <c r="C28" s="20">
        <f t="shared" si="0"/>
        <v>1942250.3048999999</v>
      </c>
    </row>
    <row r="29" spans="1:3" ht="14.1" customHeight="1" x14ac:dyDescent="0.2">
      <c r="A29" s="284" t="s">
        <v>127</v>
      </c>
      <c r="B29" s="285">
        <f>'- 53 -'!D29</f>
        <v>1698167250</v>
      </c>
      <c r="C29" s="285">
        <f t="shared" si="0"/>
        <v>16591094.032499999</v>
      </c>
    </row>
    <row r="30" spans="1:3" ht="14.1" customHeight="1" x14ac:dyDescent="0.2">
      <c r="A30" s="19" t="s">
        <v>128</v>
      </c>
      <c r="B30" s="20">
        <f>'- 53 -'!D30</f>
        <v>109544190</v>
      </c>
      <c r="C30" s="20">
        <f t="shared" si="0"/>
        <v>1070246.7363</v>
      </c>
    </row>
    <row r="31" spans="1:3" ht="14.1" customHeight="1" x14ac:dyDescent="0.2">
      <c r="A31" s="284" t="s">
        <v>129</v>
      </c>
      <c r="B31" s="285">
        <f>'- 53 -'!D31</f>
        <v>360256030</v>
      </c>
      <c r="C31" s="285">
        <f t="shared" si="0"/>
        <v>3519701.4130999995</v>
      </c>
    </row>
    <row r="32" spans="1:3" ht="14.1" customHeight="1" x14ac:dyDescent="0.2">
      <c r="A32" s="19" t="s">
        <v>130</v>
      </c>
      <c r="B32" s="20">
        <f>'- 53 -'!D32</f>
        <v>159370000</v>
      </c>
      <c r="C32" s="20">
        <f t="shared" si="0"/>
        <v>1557044.9</v>
      </c>
    </row>
    <row r="33" spans="1:3" ht="14.1" customHeight="1" x14ac:dyDescent="0.2">
      <c r="A33" s="284" t="s">
        <v>131</v>
      </c>
      <c r="B33" s="285">
        <f>'- 53 -'!D33</f>
        <v>185805510</v>
      </c>
      <c r="C33" s="285">
        <f t="shared" si="0"/>
        <v>1815319.8326999999</v>
      </c>
    </row>
    <row r="34" spans="1:3" ht="14.1" customHeight="1" x14ac:dyDescent="0.2">
      <c r="A34" s="19" t="s">
        <v>132</v>
      </c>
      <c r="B34" s="20">
        <f>'- 53 -'!D34</f>
        <v>322434920</v>
      </c>
      <c r="C34" s="20">
        <f t="shared" si="0"/>
        <v>3150189.1683999998</v>
      </c>
    </row>
    <row r="35" spans="1:3" ht="14.1" customHeight="1" x14ac:dyDescent="0.2">
      <c r="A35" s="284" t="s">
        <v>133</v>
      </c>
      <c r="B35" s="285">
        <f>'- 53 -'!D35</f>
        <v>1128191580</v>
      </c>
      <c r="C35" s="285">
        <f t="shared" si="0"/>
        <v>11022431.736599999</v>
      </c>
    </row>
    <row r="36" spans="1:3" ht="14.1" customHeight="1" x14ac:dyDescent="0.2">
      <c r="A36" s="19" t="s">
        <v>134</v>
      </c>
      <c r="B36" s="20">
        <f>'- 53 -'!D36</f>
        <v>182884640</v>
      </c>
      <c r="C36" s="20">
        <f t="shared" si="0"/>
        <v>1786782.9327999998</v>
      </c>
    </row>
    <row r="37" spans="1:3" ht="14.1" customHeight="1" x14ac:dyDescent="0.2">
      <c r="A37" s="284" t="s">
        <v>135</v>
      </c>
      <c r="B37" s="285">
        <f>'- 53 -'!D37</f>
        <v>202816870</v>
      </c>
      <c r="C37" s="285">
        <f t="shared" si="0"/>
        <v>1981520.8198999998</v>
      </c>
    </row>
    <row r="38" spans="1:3" ht="14.1" customHeight="1" x14ac:dyDescent="0.2">
      <c r="A38" s="19" t="s">
        <v>136</v>
      </c>
      <c r="B38" s="20">
        <f>'- 53 -'!D38</f>
        <v>446132960</v>
      </c>
      <c r="C38" s="20">
        <f t="shared" si="0"/>
        <v>4358719.0192</v>
      </c>
    </row>
    <row r="39" spans="1:3" ht="14.1" customHeight="1" x14ac:dyDescent="0.2">
      <c r="A39" s="284" t="s">
        <v>137</v>
      </c>
      <c r="B39" s="285">
        <f>'- 53 -'!D39</f>
        <v>368159820</v>
      </c>
      <c r="C39" s="285">
        <f t="shared" si="0"/>
        <v>3596921.4413999999</v>
      </c>
    </row>
    <row r="40" spans="1:3" ht="14.1" customHeight="1" x14ac:dyDescent="0.2">
      <c r="A40" s="19" t="s">
        <v>138</v>
      </c>
      <c r="B40" s="20">
        <f>'- 53 -'!D40</f>
        <v>1696442610</v>
      </c>
      <c r="C40" s="20">
        <f t="shared" si="0"/>
        <v>16574244.299699999</v>
      </c>
    </row>
    <row r="41" spans="1:3" ht="14.1" customHeight="1" x14ac:dyDescent="0.2">
      <c r="A41" s="284" t="s">
        <v>139</v>
      </c>
      <c r="B41" s="285">
        <f>'- 53 -'!D41</f>
        <v>478649630</v>
      </c>
      <c r="C41" s="285">
        <f t="shared" si="0"/>
        <v>4676406.8850999996</v>
      </c>
    </row>
    <row r="42" spans="1:3" ht="14.1" customHeight="1" x14ac:dyDescent="0.2">
      <c r="A42" s="19" t="s">
        <v>140</v>
      </c>
      <c r="B42" s="20">
        <f>'- 53 -'!D42</f>
        <v>86852770</v>
      </c>
      <c r="C42" s="20">
        <f t="shared" si="0"/>
        <v>848551.5628999999</v>
      </c>
    </row>
    <row r="43" spans="1:3" ht="14.1" customHeight="1" x14ac:dyDescent="0.2">
      <c r="A43" s="284" t="s">
        <v>141</v>
      </c>
      <c r="B43" s="285">
        <f>'- 53 -'!D43</f>
        <v>69596550</v>
      </c>
      <c r="C43" s="285">
        <f t="shared" si="0"/>
        <v>679958.29349999991</v>
      </c>
    </row>
    <row r="44" spans="1:3" ht="14.1" customHeight="1" x14ac:dyDescent="0.2">
      <c r="A44" s="19" t="s">
        <v>142</v>
      </c>
      <c r="B44" s="20">
        <f>'- 53 -'!D44</f>
        <v>14785470</v>
      </c>
      <c r="C44" s="20">
        <f t="shared" si="0"/>
        <v>144454.04189999998</v>
      </c>
    </row>
    <row r="45" spans="1:3" ht="14.1" customHeight="1" x14ac:dyDescent="0.2">
      <c r="A45" s="284" t="s">
        <v>143</v>
      </c>
      <c r="B45" s="285">
        <f>'- 53 -'!D45</f>
        <v>113805550</v>
      </c>
      <c r="C45" s="285">
        <f t="shared" si="0"/>
        <v>1111880.2234999998</v>
      </c>
    </row>
    <row r="46" spans="1:3" ht="14.1" customHeight="1" x14ac:dyDescent="0.2">
      <c r="A46" s="19" t="s">
        <v>144</v>
      </c>
      <c r="B46" s="20">
        <f>'- 53 -'!D46</f>
        <v>5118029680</v>
      </c>
      <c r="C46" s="20">
        <f t="shared" si="0"/>
        <v>50003149.973599993</v>
      </c>
    </row>
    <row r="47" spans="1:3" ht="6" customHeight="1" x14ac:dyDescent="0.2">
      <c r="A47" s="21"/>
      <c r="B47" s="22"/>
      <c r="C47" s="22"/>
    </row>
    <row r="48" spans="1:3" ht="14.1" customHeight="1" x14ac:dyDescent="0.2">
      <c r="A48" s="286" t="s">
        <v>228</v>
      </c>
      <c r="B48" s="287">
        <f>SUM(B11:B46)</f>
        <v>18384232950</v>
      </c>
      <c r="C48" s="287">
        <f>SUM(C11:C46)</f>
        <v>179613955.92150003</v>
      </c>
    </row>
    <row r="49" spans="1:4" ht="6" customHeight="1" x14ac:dyDescent="0.2">
      <c r="A49" s="21"/>
      <c r="B49" s="22"/>
      <c r="C49" s="22"/>
    </row>
    <row r="50" spans="1:4" ht="14.1" customHeight="1" x14ac:dyDescent="0.2">
      <c r="A50" s="19" t="s">
        <v>229</v>
      </c>
      <c r="B50" s="20">
        <f>'- 53 -'!D50</f>
        <v>3733510</v>
      </c>
      <c r="C50" s="20">
        <v>0</v>
      </c>
    </row>
    <row r="51" spans="1:4" ht="14.1" customHeight="1" x14ac:dyDescent="0.2">
      <c r="A51" s="284" t="s">
        <v>230</v>
      </c>
      <c r="B51" s="285">
        <f>'- 53 -'!D51</f>
        <v>55181460</v>
      </c>
      <c r="C51" s="285">
        <f>B51*C$10</f>
        <v>539122.86419999995</v>
      </c>
    </row>
    <row r="52" spans="1:4" ht="6" customHeight="1" x14ac:dyDescent="0.2">
      <c r="A52" s="130"/>
      <c r="B52" s="152"/>
      <c r="C52" s="152"/>
    </row>
    <row r="53" spans="1:4" ht="14.45" customHeight="1" x14ac:dyDescent="0.2">
      <c r="A53" s="396" t="s">
        <v>145</v>
      </c>
      <c r="B53" s="397">
        <f>SUM(B48,B50:B51)</f>
        <v>18443147920</v>
      </c>
      <c r="C53" s="397">
        <f>SUM(C48,C50:C51)</f>
        <v>180153078.78570002</v>
      </c>
      <c r="D53" s="184"/>
    </row>
    <row r="54" spans="1:4" ht="50.1" customHeight="1" x14ac:dyDescent="0.2">
      <c r="A54" s="223"/>
      <c r="B54" s="223"/>
      <c r="C54" s="223"/>
      <c r="D54" s="23"/>
    </row>
    <row r="55" spans="1:4" ht="14.45" customHeight="1" x14ac:dyDescent="0.2">
      <c r="A55" s="414" t="s">
        <v>637</v>
      </c>
      <c r="B55" s="38"/>
      <c r="C55" s="38"/>
      <c r="D55" s="38"/>
    </row>
    <row r="56" spans="1:4" ht="14.45" customHeight="1" x14ac:dyDescent="0.2">
      <c r="A56" s="25"/>
      <c r="B56" s="38"/>
      <c r="C56" s="38"/>
      <c r="D56" s="38"/>
    </row>
    <row r="57" spans="1:4" ht="14.45" customHeight="1" x14ac:dyDescent="0.2">
      <c r="A57" s="26"/>
      <c r="B57" s="38"/>
      <c r="C57" s="38"/>
      <c r="D57" s="38"/>
    </row>
    <row r="58" spans="1:4" ht="14.45" customHeight="1" x14ac:dyDescent="0.2">
      <c r="B58" s="80"/>
      <c r="C58" s="80"/>
    </row>
    <row r="59" spans="1:4" ht="14.45" customHeight="1" x14ac:dyDescent="0.2"/>
  </sheetData>
  <mergeCells count="2">
    <mergeCell ref="C8:C9"/>
    <mergeCell ref="B7:B9"/>
  </mergeCells>
  <phoneticPr fontId="0" type="noConversion"/>
  <pageMargins left="0.5" right="0.5" top="0.6" bottom="0.2" header="0.3" footer="0.5"/>
  <pageSetup scale="88" orientation="portrait" r:id="rId1"/>
  <headerFooter alignWithMargins="0">
    <oddHeader>&amp;C&amp;"Arial,Regular"&amp;11&amp;A</oddHead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2"/>
  <dimension ref="A1:M57"/>
  <sheetViews>
    <sheetView showGridLines="0" showZeros="0" workbookViewId="0"/>
  </sheetViews>
  <sheetFormatPr defaultColWidth="15.83203125" defaultRowHeight="12" x14ac:dyDescent="0.2"/>
  <cols>
    <col min="1" max="1" width="30" style="2" customWidth="1"/>
    <col min="2" max="2" width="17.1640625" style="2" customWidth="1"/>
    <col min="3" max="3" width="16.33203125" style="2" customWidth="1"/>
    <col min="4" max="4" width="17" style="2" customWidth="1"/>
    <col min="5" max="5" width="16.1640625" style="2" bestFit="1" customWidth="1"/>
    <col min="6" max="6" width="15.1640625" style="2" customWidth="1"/>
    <col min="7" max="7" width="15.33203125" style="2" customWidth="1"/>
    <col min="8" max="8" width="0" style="2" hidden="1" customWidth="1"/>
    <col min="9" max="9" width="21" style="2" hidden="1" customWidth="1"/>
    <col min="10" max="11" width="0" style="2" hidden="1" customWidth="1"/>
    <col min="12" max="16384" width="15.83203125" style="2"/>
  </cols>
  <sheetData>
    <row r="1" spans="1:13" ht="6.95" customHeight="1" x14ac:dyDescent="0.2">
      <c r="A1" s="7"/>
    </row>
    <row r="2" spans="1:13" ht="15.95" customHeight="1" x14ac:dyDescent="0.2">
      <c r="A2" s="208" t="s">
        <v>48</v>
      </c>
      <c r="B2" s="224"/>
      <c r="C2" s="224"/>
      <c r="D2" s="224"/>
      <c r="E2" s="224"/>
      <c r="F2" s="224"/>
      <c r="G2" s="224"/>
    </row>
    <row r="3" spans="1:13" ht="15.95" customHeight="1" x14ac:dyDescent="0.2">
      <c r="A3" s="233" t="str">
        <f>TAXYEAR</f>
        <v xml:space="preserve">FOR THE 2019 TAXATION YEAR </v>
      </c>
      <c r="B3" s="225"/>
      <c r="C3" s="225"/>
      <c r="D3" s="225"/>
      <c r="E3" s="235"/>
      <c r="F3" s="235"/>
      <c r="G3" s="225"/>
    </row>
    <row r="4" spans="1:13" ht="15.95" customHeight="1" x14ac:dyDescent="0.2">
      <c r="B4" s="8"/>
      <c r="C4" s="8"/>
      <c r="D4" s="8"/>
      <c r="E4" s="43"/>
      <c r="F4" s="43"/>
      <c r="G4" s="43"/>
    </row>
    <row r="5" spans="1:13" ht="15.95" customHeight="1" x14ac:dyDescent="0.2">
      <c r="B5" s="8"/>
      <c r="C5" s="8"/>
      <c r="D5" s="8"/>
      <c r="E5" s="8"/>
      <c r="F5" s="8"/>
      <c r="G5" s="8"/>
      <c r="M5" s="133"/>
    </row>
    <row r="6" spans="1:13" ht="15.95" customHeight="1" x14ac:dyDescent="0.2">
      <c r="B6" s="206" t="s">
        <v>55</v>
      </c>
      <c r="C6" s="172"/>
      <c r="D6" s="172"/>
      <c r="E6" s="170"/>
      <c r="F6" s="8"/>
      <c r="G6" s="8"/>
      <c r="H6" s="4" t="s">
        <v>64</v>
      </c>
    </row>
    <row r="7" spans="1:13" ht="15.95" customHeight="1" x14ac:dyDescent="0.2">
      <c r="B7" s="786" t="s">
        <v>554</v>
      </c>
      <c r="C7" s="786" t="s">
        <v>553</v>
      </c>
      <c r="D7" s="346"/>
      <c r="E7" s="303"/>
      <c r="F7" s="347"/>
      <c r="G7" s="640" t="s">
        <v>552</v>
      </c>
      <c r="H7" s="4" t="s">
        <v>62</v>
      </c>
    </row>
    <row r="8" spans="1:13" ht="15.95" customHeight="1" x14ac:dyDescent="0.2">
      <c r="A8" s="33"/>
      <c r="B8" s="787"/>
      <c r="C8" s="787"/>
      <c r="D8" s="348" t="s">
        <v>7</v>
      </c>
      <c r="E8" s="349"/>
      <c r="F8" s="738" t="s">
        <v>551</v>
      </c>
      <c r="G8" s="738"/>
      <c r="H8" s="4" t="s">
        <v>104</v>
      </c>
    </row>
    <row r="9" spans="1:13" ht="15.95" customHeight="1" x14ac:dyDescent="0.2">
      <c r="A9" s="236" t="s">
        <v>42</v>
      </c>
      <c r="B9" s="788"/>
      <c r="C9" s="788"/>
      <c r="D9" s="351" t="s">
        <v>68</v>
      </c>
      <c r="E9" s="307" t="s">
        <v>31</v>
      </c>
      <c r="F9" s="641"/>
      <c r="G9" s="739"/>
      <c r="H9" s="4" t="s">
        <v>105</v>
      </c>
    </row>
    <row r="10" spans="1:13" ht="5.0999999999999996" customHeight="1" x14ac:dyDescent="0.2">
      <c r="A10" s="18"/>
      <c r="B10" s="207"/>
      <c r="C10" s="7"/>
      <c r="D10" s="207"/>
      <c r="E10" s="207"/>
      <c r="F10" s="7"/>
      <c r="G10" s="7"/>
    </row>
    <row r="11" spans="1:13" ht="14.1" customHeight="1" x14ac:dyDescent="0.2">
      <c r="A11" s="354" t="s">
        <v>110</v>
      </c>
      <c r="B11" s="352">
        <v>321953530</v>
      </c>
      <c r="C11" s="352">
        <v>324104180</v>
      </c>
      <c r="D11" s="352">
        <v>157443930</v>
      </c>
      <c r="E11" s="352">
        <f t="shared" ref="E11:E46" si="0">SUM(B11:D11)</f>
        <v>803501640</v>
      </c>
      <c r="F11" s="352">
        <f>'- 55 -'!C11</f>
        <v>9229279</v>
      </c>
      <c r="G11" s="353">
        <f>F11/E11*1000</f>
        <v>11.486322541917898</v>
      </c>
      <c r="I11" s="234" t="str">
        <f>A11</f>
        <v xml:space="preserve"> BEAUTIFUL PLAINS</v>
      </c>
      <c r="J11" s="5">
        <f>G11</f>
        <v>11.486322541917898</v>
      </c>
      <c r="M11" s="510"/>
    </row>
    <row r="12" spans="1:13" ht="14.1" customHeight="1" x14ac:dyDescent="0.2">
      <c r="A12" s="237" t="s">
        <v>111</v>
      </c>
      <c r="B12" s="151">
        <v>356828150</v>
      </c>
      <c r="C12" s="151">
        <v>436707020</v>
      </c>
      <c r="D12" s="151">
        <v>212469630</v>
      </c>
      <c r="E12" s="151">
        <f t="shared" si="0"/>
        <v>1006004800</v>
      </c>
      <c r="F12" s="151">
        <f>'- 55 -'!C12</f>
        <v>14839929</v>
      </c>
      <c r="G12" s="238">
        <f>F12/E12*1000</f>
        <v>14.751350092961783</v>
      </c>
      <c r="I12" s="234" t="str">
        <f>A12</f>
        <v xml:space="preserve"> BORDER LAND</v>
      </c>
      <c r="J12" s="5">
        <f>G12</f>
        <v>14.751350092961783</v>
      </c>
      <c r="M12" s="510"/>
    </row>
    <row r="13" spans="1:13" ht="14.1" customHeight="1" x14ac:dyDescent="0.2">
      <c r="A13" s="354" t="s">
        <v>112</v>
      </c>
      <c r="B13" s="352">
        <v>2161566000</v>
      </c>
      <c r="C13" s="352">
        <v>105711900</v>
      </c>
      <c r="D13" s="352">
        <v>965367050</v>
      </c>
      <c r="E13" s="352">
        <f t="shared" si="0"/>
        <v>3232644950</v>
      </c>
      <c r="F13" s="352">
        <f>'- 55 -'!C13</f>
        <v>48456525</v>
      </c>
      <c r="G13" s="353">
        <f>F13/E13*1000</f>
        <v>14.9897454714289</v>
      </c>
      <c r="I13" s="234" t="str">
        <f>A13</f>
        <v xml:space="preserve"> BRANDON</v>
      </c>
      <c r="J13" s="5">
        <f>G13</f>
        <v>14.9897454714289</v>
      </c>
      <c r="M13" s="510"/>
    </row>
    <row r="14" spans="1:13" ht="14.1" customHeight="1" x14ac:dyDescent="0.2">
      <c r="A14" s="237" t="s">
        <v>358</v>
      </c>
      <c r="B14" s="151"/>
      <c r="C14" s="151"/>
      <c r="D14" s="151"/>
      <c r="E14" s="151">
        <f t="shared" si="0"/>
        <v>0</v>
      </c>
      <c r="F14" s="151"/>
      <c r="G14" s="238"/>
      <c r="I14" s="234" t="str">
        <f>A15</f>
        <v xml:space="preserve"> EVERGREEN</v>
      </c>
      <c r="J14" s="5">
        <f>G15</f>
        <v>11.050115356295413</v>
      </c>
      <c r="M14" s="510"/>
    </row>
    <row r="15" spans="1:13" ht="14.1" customHeight="1" x14ac:dyDescent="0.2">
      <c r="A15" s="354" t="s">
        <v>113</v>
      </c>
      <c r="B15" s="352">
        <v>780684830</v>
      </c>
      <c r="C15" s="352">
        <v>106839550</v>
      </c>
      <c r="D15" s="352">
        <v>130118390</v>
      </c>
      <c r="E15" s="352">
        <f t="shared" si="0"/>
        <v>1017642770</v>
      </c>
      <c r="F15" s="352">
        <f>'- 55 -'!C15</f>
        <v>11245070</v>
      </c>
      <c r="G15" s="353">
        <f>F15/E15*1000</f>
        <v>11.050115356295413</v>
      </c>
      <c r="I15" s="234" t="str">
        <f t="shared" ref="I15:I44" si="1">A16</f>
        <v xml:space="preserve"> FLIN FLON</v>
      </c>
      <c r="J15" s="5">
        <f t="shared" ref="J15:J44" si="2">G16</f>
        <v>22.052312869828118</v>
      </c>
      <c r="M15" s="510"/>
    </row>
    <row r="16" spans="1:13" ht="14.1" customHeight="1" x14ac:dyDescent="0.2">
      <c r="A16" s="237" t="s">
        <v>114</v>
      </c>
      <c r="B16" s="151">
        <v>100629610</v>
      </c>
      <c r="C16" s="151">
        <v>0</v>
      </c>
      <c r="D16" s="151">
        <v>35960870</v>
      </c>
      <c r="E16" s="151">
        <f t="shared" si="0"/>
        <v>136590480</v>
      </c>
      <c r="F16" s="151">
        <f>'- 55 -'!C16</f>
        <v>4504503</v>
      </c>
      <c r="G16" s="238">
        <f>(F16-H16)/E16*1000</f>
        <v>22.052312869828118</v>
      </c>
      <c r="H16" s="587">
        <v>1492367</v>
      </c>
      <c r="I16" s="234" t="str">
        <f t="shared" si="1"/>
        <v xml:space="preserve"> FORT LA BOSSE</v>
      </c>
      <c r="J16" s="5">
        <f t="shared" si="2"/>
        <v>7.6846886980415343</v>
      </c>
      <c r="M16" s="510"/>
    </row>
    <row r="17" spans="1:13" ht="14.1" customHeight="1" x14ac:dyDescent="0.2">
      <c r="A17" s="354" t="s">
        <v>115</v>
      </c>
      <c r="B17" s="352">
        <v>341364060</v>
      </c>
      <c r="C17" s="352">
        <v>275526850</v>
      </c>
      <c r="D17" s="352">
        <v>619139380</v>
      </c>
      <c r="E17" s="352">
        <f t="shared" si="0"/>
        <v>1236030290</v>
      </c>
      <c r="F17" s="352">
        <f>'- 55 -'!C17</f>
        <v>9498508</v>
      </c>
      <c r="G17" s="353">
        <f>F17/E17*1000</f>
        <v>7.6846886980415343</v>
      </c>
      <c r="H17" s="443"/>
      <c r="I17" s="234" t="str">
        <f t="shared" si="1"/>
        <v xml:space="preserve"> FRONTIER</v>
      </c>
      <c r="J17" s="5">
        <f t="shared" si="2"/>
        <v>13.201998516983744</v>
      </c>
      <c r="M17" s="510"/>
    </row>
    <row r="18" spans="1:13" ht="14.1" customHeight="1" x14ac:dyDescent="0.2">
      <c r="A18" s="237" t="s">
        <v>116</v>
      </c>
      <c r="B18" s="151">
        <v>150446360</v>
      </c>
      <c r="C18" s="151">
        <v>25172230</v>
      </c>
      <c r="D18" s="151">
        <v>78673970</v>
      </c>
      <c r="E18" s="151">
        <f t="shared" si="0"/>
        <v>254292560</v>
      </c>
      <c r="F18" s="151">
        <f>'- 55 -'!C18</f>
        <v>3357170</v>
      </c>
      <c r="G18" s="238">
        <f>(F18-H18)/E18*1000</f>
        <v>13.201998516983744</v>
      </c>
      <c r="I18" s="234" t="str">
        <f t="shared" si="1"/>
        <v xml:space="preserve"> GARDEN VALLEY</v>
      </c>
      <c r="J18" s="5">
        <f t="shared" si="2"/>
        <v>15.016559458756454</v>
      </c>
      <c r="M18" s="510"/>
    </row>
    <row r="19" spans="1:13" ht="14.1" customHeight="1" x14ac:dyDescent="0.2">
      <c r="A19" s="354" t="s">
        <v>117</v>
      </c>
      <c r="B19" s="352">
        <v>682759070</v>
      </c>
      <c r="C19" s="352">
        <v>288668350</v>
      </c>
      <c r="D19" s="352">
        <v>340430070</v>
      </c>
      <c r="E19" s="352">
        <f t="shared" si="0"/>
        <v>1311857490</v>
      </c>
      <c r="F19" s="352">
        <f>'- 55 -'!C19</f>
        <v>19699586</v>
      </c>
      <c r="G19" s="353">
        <f t="shared" ref="G19:G26" si="3">F19/E19*1000</f>
        <v>15.016559458756454</v>
      </c>
      <c r="I19" s="234" t="str">
        <f t="shared" si="1"/>
        <v xml:space="preserve"> HANOVER</v>
      </c>
      <c r="J19" s="5">
        <f t="shared" si="2"/>
        <v>15.16602816530512</v>
      </c>
      <c r="M19" s="510"/>
    </row>
    <row r="20" spans="1:13" ht="14.1" customHeight="1" x14ac:dyDescent="0.2">
      <c r="A20" s="237" t="s">
        <v>118</v>
      </c>
      <c r="B20" s="151">
        <v>1579108180</v>
      </c>
      <c r="C20" s="151">
        <v>230096980</v>
      </c>
      <c r="D20" s="151">
        <v>455274480</v>
      </c>
      <c r="E20" s="151">
        <f t="shared" si="0"/>
        <v>2264479640</v>
      </c>
      <c r="F20" s="151">
        <f>'- 55 -'!C20</f>
        <v>34343162</v>
      </c>
      <c r="G20" s="238">
        <f t="shared" si="3"/>
        <v>15.16602816530512</v>
      </c>
      <c r="I20" s="234" t="str">
        <f t="shared" si="1"/>
        <v xml:space="preserve"> INTERLAKE</v>
      </c>
      <c r="J20" s="5">
        <f t="shared" si="2"/>
        <v>13.587103560656447</v>
      </c>
      <c r="M20" s="510"/>
    </row>
    <row r="21" spans="1:13" ht="14.1" customHeight="1" x14ac:dyDescent="0.2">
      <c r="A21" s="354" t="s">
        <v>119</v>
      </c>
      <c r="B21" s="352">
        <v>836564810</v>
      </c>
      <c r="C21" s="352">
        <v>271421800</v>
      </c>
      <c r="D21" s="352">
        <v>325455250</v>
      </c>
      <c r="E21" s="352">
        <f t="shared" si="0"/>
        <v>1433441860</v>
      </c>
      <c r="F21" s="352">
        <f>'- 55 -'!C21</f>
        <v>19476323</v>
      </c>
      <c r="G21" s="353">
        <f t="shared" si="3"/>
        <v>13.587103560656447</v>
      </c>
      <c r="I21" s="234" t="str">
        <f t="shared" si="1"/>
        <v xml:space="preserve"> KELSEY</v>
      </c>
      <c r="J21" s="5">
        <f t="shared" si="2"/>
        <v>17.297746064654469</v>
      </c>
      <c r="M21" s="510"/>
    </row>
    <row r="22" spans="1:13" ht="14.1" customHeight="1" x14ac:dyDescent="0.2">
      <c r="A22" s="237" t="s">
        <v>120</v>
      </c>
      <c r="B22" s="151">
        <v>172843860</v>
      </c>
      <c r="C22" s="151">
        <v>21560570</v>
      </c>
      <c r="D22" s="151">
        <v>66646980</v>
      </c>
      <c r="E22" s="151">
        <f t="shared" si="0"/>
        <v>261051410</v>
      </c>
      <c r="F22" s="151">
        <f>'- 55 -'!C22</f>
        <v>4515601</v>
      </c>
      <c r="G22" s="238">
        <f t="shared" si="3"/>
        <v>17.297746064654469</v>
      </c>
      <c r="I22" s="234" t="str">
        <f t="shared" si="1"/>
        <v xml:space="preserve"> LAKESHORE</v>
      </c>
      <c r="J22" s="5">
        <f t="shared" si="2"/>
        <v>15.006442145356372</v>
      </c>
      <c r="M22" s="510"/>
    </row>
    <row r="23" spans="1:13" ht="14.1" customHeight="1" x14ac:dyDescent="0.2">
      <c r="A23" s="354" t="s">
        <v>121</v>
      </c>
      <c r="B23" s="352">
        <v>173719930</v>
      </c>
      <c r="C23" s="352">
        <v>117617810</v>
      </c>
      <c r="D23" s="352">
        <v>37023370</v>
      </c>
      <c r="E23" s="352">
        <f t="shared" si="0"/>
        <v>328361110</v>
      </c>
      <c r="F23" s="352">
        <f>'- 55 -'!C23</f>
        <v>4927532</v>
      </c>
      <c r="G23" s="353">
        <f t="shared" si="3"/>
        <v>15.006442145356372</v>
      </c>
      <c r="H23" s="239"/>
      <c r="I23" s="234" t="str">
        <f t="shared" si="1"/>
        <v xml:space="preserve"> LORD SELKIRK</v>
      </c>
      <c r="J23" s="5">
        <f t="shared" si="2"/>
        <v>14.930961681174766</v>
      </c>
      <c r="M23" s="510"/>
    </row>
    <row r="24" spans="1:13" ht="14.1" customHeight="1" x14ac:dyDescent="0.2">
      <c r="A24" s="237" t="s">
        <v>122</v>
      </c>
      <c r="B24" s="151">
        <v>1707049400</v>
      </c>
      <c r="C24" s="151">
        <v>88412870</v>
      </c>
      <c r="D24" s="151">
        <v>267442830</v>
      </c>
      <c r="E24" s="151">
        <f t="shared" si="0"/>
        <v>2062905100</v>
      </c>
      <c r="F24" s="151">
        <f>'- 55 -'!C24</f>
        <v>30801157</v>
      </c>
      <c r="G24" s="238">
        <f t="shared" si="3"/>
        <v>14.930961681174766</v>
      </c>
      <c r="I24" s="234" t="str">
        <f t="shared" si="1"/>
        <v xml:space="preserve"> LOUIS RIEL</v>
      </c>
      <c r="J24" s="5">
        <f t="shared" si="2"/>
        <v>13.693239545334105</v>
      </c>
      <c r="M24" s="510"/>
    </row>
    <row r="25" spans="1:13" ht="14.1" customHeight="1" x14ac:dyDescent="0.2">
      <c r="A25" s="354" t="s">
        <v>123</v>
      </c>
      <c r="B25" s="352">
        <v>6590981360</v>
      </c>
      <c r="C25" s="352">
        <v>19782980</v>
      </c>
      <c r="D25" s="352">
        <v>1463681640</v>
      </c>
      <c r="E25" s="352">
        <f t="shared" si="0"/>
        <v>8074445980</v>
      </c>
      <c r="F25" s="352">
        <f>'- 55 -'!C25</f>
        <v>110565323</v>
      </c>
      <c r="G25" s="353">
        <f t="shared" si="3"/>
        <v>13.693239545334105</v>
      </c>
      <c r="I25" s="234" t="str">
        <f t="shared" si="1"/>
        <v xml:space="preserve"> MOUNTAIN VIEW</v>
      </c>
      <c r="J25" s="5">
        <f t="shared" si="2"/>
        <v>15.62601256542076</v>
      </c>
      <c r="M25" s="510"/>
    </row>
    <row r="26" spans="1:13" ht="14.1" customHeight="1" x14ac:dyDescent="0.2">
      <c r="A26" s="237" t="s">
        <v>124</v>
      </c>
      <c r="B26" s="151">
        <v>533462250</v>
      </c>
      <c r="C26" s="151">
        <v>397946590</v>
      </c>
      <c r="D26" s="151">
        <v>156051760</v>
      </c>
      <c r="E26" s="151">
        <f t="shared" si="0"/>
        <v>1087460600</v>
      </c>
      <c r="F26" s="151">
        <f>'- 55 -'!C26</f>
        <v>16992673</v>
      </c>
      <c r="G26" s="238">
        <f t="shared" si="3"/>
        <v>15.62601256542076</v>
      </c>
      <c r="I26" s="234" t="str">
        <f t="shared" si="1"/>
        <v xml:space="preserve"> MYSTERY LAKE</v>
      </c>
      <c r="J26" s="5">
        <f t="shared" si="2"/>
        <v>18.548245275772118</v>
      </c>
      <c r="M26" s="510"/>
    </row>
    <row r="27" spans="1:13" ht="14.1" customHeight="1" x14ac:dyDescent="0.2">
      <c r="A27" s="354" t="s">
        <v>125</v>
      </c>
      <c r="B27" s="352">
        <v>334580740</v>
      </c>
      <c r="C27" s="352">
        <v>0</v>
      </c>
      <c r="D27" s="352">
        <v>132329950</v>
      </c>
      <c r="E27" s="352">
        <f t="shared" si="0"/>
        <v>466910690</v>
      </c>
      <c r="F27" s="352">
        <f>'- 55 -'!C27</f>
        <v>8660374</v>
      </c>
      <c r="G27" s="353">
        <f t="shared" ref="G27:G34" si="4">F27/E27*1000</f>
        <v>18.548245275772118</v>
      </c>
      <c r="I27" s="234" t="str">
        <f t="shared" si="1"/>
        <v xml:space="preserve"> PARK WEST</v>
      </c>
      <c r="J27" s="5">
        <f t="shared" si="2"/>
        <v>10.509212790706657</v>
      </c>
      <c r="M27" s="510"/>
    </row>
    <row r="28" spans="1:13" ht="14.1" customHeight="1" x14ac:dyDescent="0.2">
      <c r="A28" s="237" t="s">
        <v>126</v>
      </c>
      <c r="B28" s="151">
        <v>293889710</v>
      </c>
      <c r="C28" s="151">
        <v>470369640</v>
      </c>
      <c r="D28" s="151">
        <v>198797370</v>
      </c>
      <c r="E28" s="151">
        <f t="shared" si="0"/>
        <v>963056720</v>
      </c>
      <c r="F28" s="151">
        <f>'- 55 -'!C28</f>
        <v>10120968</v>
      </c>
      <c r="G28" s="238">
        <f t="shared" si="4"/>
        <v>10.509212790706657</v>
      </c>
      <c r="I28" s="234" t="str">
        <f t="shared" si="1"/>
        <v xml:space="preserve"> PEMBINA TRAILS</v>
      </c>
      <c r="J28" s="5">
        <f t="shared" si="2"/>
        <v>12.421633672645005</v>
      </c>
      <c r="M28" s="510"/>
    </row>
    <row r="29" spans="1:13" ht="14.1" customHeight="1" x14ac:dyDescent="0.2">
      <c r="A29" s="354" t="s">
        <v>127</v>
      </c>
      <c r="B29" s="352">
        <v>6964254780</v>
      </c>
      <c r="C29" s="352">
        <v>26569760</v>
      </c>
      <c r="D29" s="352">
        <v>1698167250</v>
      </c>
      <c r="E29" s="352">
        <f t="shared" si="0"/>
        <v>8688991790</v>
      </c>
      <c r="F29" s="352">
        <f>'- 55 -'!C29</f>
        <v>107931473</v>
      </c>
      <c r="G29" s="353">
        <f t="shared" si="4"/>
        <v>12.421633672645005</v>
      </c>
      <c r="I29" s="234" t="str">
        <f t="shared" si="1"/>
        <v xml:space="preserve"> PINE CREEK</v>
      </c>
      <c r="J29" s="5">
        <f t="shared" si="2"/>
        <v>13.925449550643869</v>
      </c>
      <c r="M29" s="510"/>
    </row>
    <row r="30" spans="1:13" ht="14.1" customHeight="1" x14ac:dyDescent="0.2">
      <c r="A30" s="237" t="s">
        <v>128</v>
      </c>
      <c r="B30" s="151">
        <v>156369910</v>
      </c>
      <c r="C30" s="151">
        <v>280321910</v>
      </c>
      <c r="D30" s="151">
        <v>109544190</v>
      </c>
      <c r="E30" s="151">
        <f t="shared" si="0"/>
        <v>546236010</v>
      </c>
      <c r="F30" s="151">
        <f>'- 55 -'!C30</f>
        <v>7606582</v>
      </c>
      <c r="G30" s="238">
        <f t="shared" si="4"/>
        <v>13.925449550643869</v>
      </c>
      <c r="I30" s="234" t="str">
        <f t="shared" si="1"/>
        <v xml:space="preserve"> PORTAGE LA PRAIRIE</v>
      </c>
      <c r="J30" s="5">
        <f t="shared" si="2"/>
        <v>13.877117315626123</v>
      </c>
      <c r="M30" s="510"/>
    </row>
    <row r="31" spans="1:13" ht="14.1" customHeight="1" x14ac:dyDescent="0.2">
      <c r="A31" s="354" t="s">
        <v>129</v>
      </c>
      <c r="B31" s="352">
        <v>607176320</v>
      </c>
      <c r="C31" s="352">
        <v>381797290</v>
      </c>
      <c r="D31" s="352">
        <v>360256030</v>
      </c>
      <c r="E31" s="352">
        <f t="shared" si="0"/>
        <v>1349229640</v>
      </c>
      <c r="F31" s="352">
        <f>'- 55 -'!C31</f>
        <v>18723418</v>
      </c>
      <c r="G31" s="353">
        <f t="shared" si="4"/>
        <v>13.877117315626123</v>
      </c>
      <c r="I31" s="234" t="str">
        <f t="shared" si="1"/>
        <v xml:space="preserve"> PRAIRIE ROSE</v>
      </c>
      <c r="J31" s="5">
        <f t="shared" si="2"/>
        <v>11.297749248910849</v>
      </c>
      <c r="M31" s="510"/>
    </row>
    <row r="32" spans="1:13" ht="14.1" customHeight="1" x14ac:dyDescent="0.2">
      <c r="A32" s="237" t="s">
        <v>130</v>
      </c>
      <c r="B32" s="151">
        <v>552814580</v>
      </c>
      <c r="C32" s="151">
        <v>817008060</v>
      </c>
      <c r="D32" s="151">
        <v>159370000</v>
      </c>
      <c r="E32" s="151">
        <f t="shared" si="0"/>
        <v>1529192640</v>
      </c>
      <c r="F32" s="151">
        <f>'- 55 -'!C32</f>
        <v>17276435</v>
      </c>
      <c r="G32" s="238">
        <f t="shared" si="4"/>
        <v>11.297749248910849</v>
      </c>
      <c r="I32" s="234" t="str">
        <f t="shared" si="1"/>
        <v xml:space="preserve"> PRAIRIE SPIRIT</v>
      </c>
      <c r="J32" s="5">
        <f t="shared" si="2"/>
        <v>9.7615904922220675</v>
      </c>
      <c r="M32" s="510"/>
    </row>
    <row r="33" spans="1:13" ht="14.1" customHeight="1" x14ac:dyDescent="0.2">
      <c r="A33" s="354" t="s">
        <v>131</v>
      </c>
      <c r="B33" s="352">
        <v>358307330</v>
      </c>
      <c r="C33" s="352">
        <v>976040460</v>
      </c>
      <c r="D33" s="352">
        <v>185805510</v>
      </c>
      <c r="E33" s="352">
        <f t="shared" si="0"/>
        <v>1520153300</v>
      </c>
      <c r="F33" s="352">
        <f>'- 55 -'!C33</f>
        <v>14839114</v>
      </c>
      <c r="G33" s="353">
        <f t="shared" si="4"/>
        <v>9.7615904922220675</v>
      </c>
      <c r="I33" s="234" t="str">
        <f t="shared" si="1"/>
        <v xml:space="preserve"> RED RIVER VALLEY</v>
      </c>
      <c r="J33" s="5">
        <f t="shared" si="2"/>
        <v>13.570957495993561</v>
      </c>
      <c r="M33" s="510"/>
    </row>
    <row r="34" spans="1:13" ht="14.1" customHeight="1" x14ac:dyDescent="0.2">
      <c r="A34" s="237" t="s">
        <v>132</v>
      </c>
      <c r="B34" s="151">
        <v>598387010</v>
      </c>
      <c r="C34" s="151">
        <v>651659010</v>
      </c>
      <c r="D34" s="151">
        <v>322434920</v>
      </c>
      <c r="E34" s="151">
        <f t="shared" si="0"/>
        <v>1572480940</v>
      </c>
      <c r="F34" s="151">
        <f>'- 55 -'!C34</f>
        <v>21340072</v>
      </c>
      <c r="G34" s="238">
        <f t="shared" si="4"/>
        <v>13.570957495993561</v>
      </c>
      <c r="I34" s="234" t="str">
        <f t="shared" si="1"/>
        <v xml:space="preserve"> RIVER EAST TRANSCONA</v>
      </c>
      <c r="J34" s="5">
        <f t="shared" si="2"/>
        <v>13.469857957350786</v>
      </c>
      <c r="M34" s="510"/>
    </row>
    <row r="35" spans="1:13" ht="14.1" customHeight="1" x14ac:dyDescent="0.2">
      <c r="A35" s="354" t="s">
        <v>133</v>
      </c>
      <c r="B35" s="352">
        <v>5775542240</v>
      </c>
      <c r="C35" s="352">
        <v>16223710</v>
      </c>
      <c r="D35" s="352">
        <v>1128191580</v>
      </c>
      <c r="E35" s="352">
        <f t="shared" si="0"/>
        <v>6919957530</v>
      </c>
      <c r="F35" s="352">
        <f>'- 55 -'!C35</f>
        <v>93210845</v>
      </c>
      <c r="G35" s="353">
        <f t="shared" ref="G35:G46" si="5">F35/E35*1000</f>
        <v>13.469857957350786</v>
      </c>
      <c r="I35" s="234" t="str">
        <f t="shared" si="1"/>
        <v xml:space="preserve"> ROLLING RIVER</v>
      </c>
      <c r="J35" s="5">
        <f t="shared" si="2"/>
        <v>11.503875854616103</v>
      </c>
      <c r="M35" s="510"/>
    </row>
    <row r="36" spans="1:13" ht="14.1" customHeight="1" x14ac:dyDescent="0.2">
      <c r="A36" s="237" t="s">
        <v>134</v>
      </c>
      <c r="B36" s="151">
        <v>534713450</v>
      </c>
      <c r="C36" s="151">
        <v>342415870</v>
      </c>
      <c r="D36" s="151">
        <v>182884640</v>
      </c>
      <c r="E36" s="151">
        <f t="shared" si="0"/>
        <v>1060013960</v>
      </c>
      <c r="F36" s="151">
        <f>'- 55 -'!C36</f>
        <v>12194269</v>
      </c>
      <c r="G36" s="238">
        <f t="shared" si="5"/>
        <v>11.503875854616103</v>
      </c>
      <c r="I36" s="234" t="str">
        <f t="shared" si="1"/>
        <v xml:space="preserve"> SEINE RIVER</v>
      </c>
      <c r="J36" s="5">
        <f t="shared" si="2"/>
        <v>14.611023778880496</v>
      </c>
      <c r="M36" s="510"/>
    </row>
    <row r="37" spans="1:13" ht="14.1" customHeight="1" x14ac:dyDescent="0.2">
      <c r="A37" s="354" t="s">
        <v>135</v>
      </c>
      <c r="B37" s="352">
        <v>1542213060</v>
      </c>
      <c r="C37" s="352">
        <v>156985180</v>
      </c>
      <c r="D37" s="352">
        <v>202816870</v>
      </c>
      <c r="E37" s="352">
        <f t="shared" si="0"/>
        <v>1902015110</v>
      </c>
      <c r="F37" s="352">
        <f>'- 55 -'!C37</f>
        <v>27790388</v>
      </c>
      <c r="G37" s="353">
        <f t="shared" si="5"/>
        <v>14.611023778880496</v>
      </c>
      <c r="I37" s="234" t="str">
        <f t="shared" si="1"/>
        <v xml:space="preserve"> SEVEN OAKS</v>
      </c>
      <c r="J37" s="5">
        <f t="shared" si="2"/>
        <v>16.719452662151756</v>
      </c>
      <c r="M37" s="510"/>
    </row>
    <row r="38" spans="1:13" ht="14.1" customHeight="1" x14ac:dyDescent="0.2">
      <c r="A38" s="237" t="s">
        <v>136</v>
      </c>
      <c r="B38" s="151">
        <v>3068067970</v>
      </c>
      <c r="C38" s="151">
        <v>19671990</v>
      </c>
      <c r="D38" s="151">
        <v>446132960</v>
      </c>
      <c r="E38" s="151">
        <f t="shared" si="0"/>
        <v>3533872920</v>
      </c>
      <c r="F38" s="151">
        <f>'- 55 -'!C38</f>
        <v>59084421</v>
      </c>
      <c r="G38" s="238">
        <f t="shared" si="5"/>
        <v>16.719452662151756</v>
      </c>
      <c r="I38" s="234" t="str">
        <f t="shared" si="1"/>
        <v xml:space="preserve"> SOUTHWEST HORIZON</v>
      </c>
      <c r="J38" s="5">
        <f t="shared" si="2"/>
        <v>10.544882043697607</v>
      </c>
      <c r="M38" s="510"/>
    </row>
    <row r="39" spans="1:13" ht="14.1" customHeight="1" x14ac:dyDescent="0.2">
      <c r="A39" s="354" t="s">
        <v>137</v>
      </c>
      <c r="B39" s="352">
        <v>319745500</v>
      </c>
      <c r="C39" s="352">
        <v>579844660</v>
      </c>
      <c r="D39" s="352">
        <v>368159820</v>
      </c>
      <c r="E39" s="352">
        <f t="shared" si="0"/>
        <v>1267749980</v>
      </c>
      <c r="F39" s="352">
        <f>'- 55 -'!C39</f>
        <v>13368274</v>
      </c>
      <c r="G39" s="353">
        <f t="shared" si="5"/>
        <v>10.544882043697607</v>
      </c>
      <c r="I39" s="234" t="str">
        <f t="shared" si="1"/>
        <v xml:space="preserve"> ST. JAMES-ASSINIBOIA</v>
      </c>
      <c r="J39" s="5">
        <f t="shared" si="2"/>
        <v>13.404722390017115</v>
      </c>
      <c r="M39" s="510"/>
    </row>
    <row r="40" spans="1:13" ht="14.1" customHeight="1" x14ac:dyDescent="0.2">
      <c r="A40" s="237" t="s">
        <v>138</v>
      </c>
      <c r="B40" s="151">
        <v>3085122010</v>
      </c>
      <c r="C40" s="151">
        <v>27646800</v>
      </c>
      <c r="D40" s="151">
        <v>1696442610</v>
      </c>
      <c r="E40" s="151">
        <f t="shared" si="0"/>
        <v>4809211420</v>
      </c>
      <c r="F40" s="151">
        <f>'- 55 -'!C40</f>
        <v>64466144</v>
      </c>
      <c r="G40" s="238">
        <f t="shared" si="5"/>
        <v>13.404722390017115</v>
      </c>
      <c r="I40" s="234" t="str">
        <f t="shared" si="1"/>
        <v xml:space="preserve"> SUNRISE</v>
      </c>
      <c r="J40" s="5">
        <f t="shared" si="2"/>
        <v>13.844195282178411</v>
      </c>
      <c r="M40" s="510"/>
    </row>
    <row r="41" spans="1:13" ht="14.1" customHeight="1" x14ac:dyDescent="0.2">
      <c r="A41" s="354" t="s">
        <v>139</v>
      </c>
      <c r="B41" s="352">
        <v>1920464220</v>
      </c>
      <c r="C41" s="352">
        <v>279065000</v>
      </c>
      <c r="D41" s="352">
        <v>478649630</v>
      </c>
      <c r="E41" s="352">
        <f t="shared" si="0"/>
        <v>2678178850</v>
      </c>
      <c r="F41" s="352">
        <f>'- 55 -'!C41</f>
        <v>37077231</v>
      </c>
      <c r="G41" s="353">
        <f t="shared" si="5"/>
        <v>13.844195282178411</v>
      </c>
      <c r="I41" s="234" t="str">
        <f t="shared" si="1"/>
        <v xml:space="preserve"> SWAN VALLEY</v>
      </c>
      <c r="J41" s="5">
        <f t="shared" si="2"/>
        <v>13.820179324333209</v>
      </c>
      <c r="M41" s="510"/>
    </row>
    <row r="42" spans="1:13" ht="14.1" customHeight="1" x14ac:dyDescent="0.2">
      <c r="A42" s="237" t="s">
        <v>140</v>
      </c>
      <c r="B42" s="151">
        <v>245282810</v>
      </c>
      <c r="C42" s="151">
        <v>242548280</v>
      </c>
      <c r="D42" s="151">
        <v>86852770</v>
      </c>
      <c r="E42" s="151">
        <f t="shared" si="0"/>
        <v>574683860</v>
      </c>
      <c r="F42" s="151">
        <f>'- 55 -'!C42</f>
        <v>7942234</v>
      </c>
      <c r="G42" s="238">
        <f t="shared" si="5"/>
        <v>13.820179324333209</v>
      </c>
      <c r="I42" s="234" t="str">
        <f t="shared" si="1"/>
        <v xml:space="preserve"> TURTLE MOUNTAIN</v>
      </c>
      <c r="J42" s="5">
        <f t="shared" si="2"/>
        <v>11.815484709837808</v>
      </c>
      <c r="M42" s="510"/>
    </row>
    <row r="43" spans="1:13" ht="14.1" customHeight="1" x14ac:dyDescent="0.2">
      <c r="A43" s="354" t="s">
        <v>141</v>
      </c>
      <c r="B43" s="352">
        <v>244736560</v>
      </c>
      <c r="C43" s="352">
        <v>310608920</v>
      </c>
      <c r="D43" s="352">
        <v>69596550</v>
      </c>
      <c r="E43" s="352">
        <f t="shared" si="0"/>
        <v>624942030</v>
      </c>
      <c r="F43" s="352">
        <f>'- 55 -'!C43</f>
        <v>7383993</v>
      </c>
      <c r="G43" s="353">
        <f t="shared" si="5"/>
        <v>11.815484709837808</v>
      </c>
      <c r="I43" s="234" t="str">
        <f t="shared" si="1"/>
        <v xml:space="preserve"> TURTLE RIVER</v>
      </c>
      <c r="J43" s="5">
        <f t="shared" si="2"/>
        <v>15.269744217659301</v>
      </c>
      <c r="M43" s="510"/>
    </row>
    <row r="44" spans="1:13" ht="14.1" customHeight="1" x14ac:dyDescent="0.2">
      <c r="A44" s="237" t="s">
        <v>142</v>
      </c>
      <c r="B44" s="151">
        <v>101388290</v>
      </c>
      <c r="C44" s="151">
        <v>117011220</v>
      </c>
      <c r="D44" s="151">
        <v>14785470</v>
      </c>
      <c r="E44" s="151">
        <f t="shared" si="0"/>
        <v>233184980</v>
      </c>
      <c r="F44" s="151">
        <f>'- 55 -'!C44</f>
        <v>3560675</v>
      </c>
      <c r="G44" s="238">
        <f t="shared" si="5"/>
        <v>15.269744217659301</v>
      </c>
      <c r="I44" s="234" t="str">
        <f t="shared" si="1"/>
        <v xml:space="preserve"> WESTERN</v>
      </c>
      <c r="J44" s="5">
        <f t="shared" si="2"/>
        <v>15.31993360361558</v>
      </c>
      <c r="M44" s="510"/>
    </row>
    <row r="45" spans="1:13" ht="14.1" customHeight="1" x14ac:dyDescent="0.2">
      <c r="A45" s="354" t="s">
        <v>143</v>
      </c>
      <c r="B45" s="352">
        <v>382883510</v>
      </c>
      <c r="C45" s="352">
        <v>112844130</v>
      </c>
      <c r="D45" s="352">
        <v>113805550</v>
      </c>
      <c r="E45" s="352">
        <f t="shared" si="0"/>
        <v>609533190</v>
      </c>
      <c r="F45" s="352">
        <f>'- 55 -'!C45</f>
        <v>9338008</v>
      </c>
      <c r="G45" s="353">
        <f t="shared" si="5"/>
        <v>15.31993360361558</v>
      </c>
      <c r="I45" s="234" t="str">
        <f>A46</f>
        <v xml:space="preserve"> WINNIPEG</v>
      </c>
      <c r="J45" s="5">
        <f>G46</f>
        <v>14.971629944486613</v>
      </c>
      <c r="M45" s="510"/>
    </row>
    <row r="46" spans="1:13" ht="14.1" customHeight="1" x14ac:dyDescent="0.2">
      <c r="A46" s="237" t="s">
        <v>144</v>
      </c>
      <c r="B46" s="151">
        <v>7662900310</v>
      </c>
      <c r="C46" s="151">
        <v>5964270</v>
      </c>
      <c r="D46" s="151">
        <v>5118029680</v>
      </c>
      <c r="E46" s="151">
        <f t="shared" si="0"/>
        <v>12786894260</v>
      </c>
      <c r="F46" s="151">
        <f>'- 55 -'!C46</f>
        <v>191440649</v>
      </c>
      <c r="G46" s="238">
        <f t="shared" si="5"/>
        <v>14.971629944486613</v>
      </c>
      <c r="M46" s="510"/>
    </row>
    <row r="47" spans="1:13" ht="5.0999999999999996" customHeight="1" x14ac:dyDescent="0.2">
      <c r="A47" s="130"/>
      <c r="B47" s="152"/>
      <c r="C47" s="152"/>
      <c r="D47" s="152"/>
      <c r="E47" s="152"/>
      <c r="F47" s="152"/>
      <c r="G47" s="240"/>
      <c r="M47" s="510"/>
    </row>
    <row r="48" spans="1:13" ht="14.1" customHeight="1" x14ac:dyDescent="0.2">
      <c r="A48" s="355" t="s">
        <v>228</v>
      </c>
      <c r="B48" s="356">
        <f>SUM(B11:B46)</f>
        <v>51238801710</v>
      </c>
      <c r="C48" s="356">
        <f>SUM(C11:C46)</f>
        <v>8524165840</v>
      </c>
      <c r="D48" s="356">
        <f>SUM(D11:D46)</f>
        <v>18384232950</v>
      </c>
      <c r="E48" s="356">
        <f>SUM(E11:E46)</f>
        <v>78147200500</v>
      </c>
      <c r="F48" s="356">
        <f>SUM(F11:F46)</f>
        <v>1075807908</v>
      </c>
      <c r="G48" s="357">
        <f>F48/E48*1000</f>
        <v>13.766429265754697</v>
      </c>
      <c r="M48" s="510"/>
    </row>
    <row r="49" spans="1:10" ht="5.0999999999999996" customHeight="1" x14ac:dyDescent="0.2">
      <c r="A49" s="130"/>
      <c r="B49" s="152"/>
      <c r="C49" s="152"/>
      <c r="D49" s="152"/>
      <c r="E49" s="152"/>
      <c r="F49" s="152"/>
      <c r="G49" s="152"/>
    </row>
    <row r="50" spans="1:10" ht="14.1" customHeight="1" x14ac:dyDescent="0.2">
      <c r="A50" s="237" t="s">
        <v>229</v>
      </c>
      <c r="B50" s="151">
        <v>67787430</v>
      </c>
      <c r="C50" s="151">
        <v>383760</v>
      </c>
      <c r="D50" s="151">
        <v>3733510</v>
      </c>
      <c r="E50" s="151">
        <f>SUM(B50:D50)</f>
        <v>71904700</v>
      </c>
      <c r="F50" s="152"/>
      <c r="G50" s="152"/>
    </row>
    <row r="51" spans="1:10" ht="14.1" customHeight="1" x14ac:dyDescent="0.2">
      <c r="A51" s="354" t="s">
        <v>230</v>
      </c>
      <c r="B51" s="352">
        <v>18754090</v>
      </c>
      <c r="C51" s="352">
        <v>16867990</v>
      </c>
      <c r="D51" s="352">
        <v>55181460</v>
      </c>
      <c r="E51" s="352">
        <f>SUM(B51:D51)</f>
        <v>90803540</v>
      </c>
      <c r="F51" s="152"/>
      <c r="G51" s="241"/>
    </row>
    <row r="52" spans="1:10" ht="5.0999999999999996" customHeight="1" x14ac:dyDescent="0.2">
      <c r="A52" s="130"/>
      <c r="B52" s="152"/>
      <c r="C52" s="152"/>
      <c r="D52" s="152"/>
      <c r="E52" s="152"/>
      <c r="F52" s="152"/>
      <c r="G52" s="152"/>
    </row>
    <row r="53" spans="1:10" ht="14.1" customHeight="1" x14ac:dyDescent="0.2">
      <c r="A53" s="355" t="s">
        <v>145</v>
      </c>
      <c r="B53" s="356">
        <f>SUM(B48,B50:B51)</f>
        <v>51325343230</v>
      </c>
      <c r="C53" s="356">
        <f>SUM(C48,C50:C51)</f>
        <v>8541417590</v>
      </c>
      <c r="D53" s="356">
        <f>SUM(D48,D50:D51)</f>
        <v>18443147920</v>
      </c>
      <c r="E53" s="356">
        <f>SUM(E48,E50:E51)</f>
        <v>78309908740</v>
      </c>
      <c r="F53" s="152"/>
      <c r="G53" s="241"/>
    </row>
    <row r="54" spans="1:10" ht="50.1" customHeight="1" x14ac:dyDescent="0.2">
      <c r="A54" s="23"/>
      <c r="B54" s="23"/>
      <c r="C54" s="23"/>
      <c r="D54" s="23"/>
      <c r="E54" s="23"/>
      <c r="F54" s="23"/>
      <c r="G54" s="23"/>
    </row>
    <row r="55" spans="1:10" ht="15" customHeight="1" x14ac:dyDescent="0.2">
      <c r="A55" s="625" t="s">
        <v>630</v>
      </c>
      <c r="B55" s="625"/>
      <c r="C55" s="625"/>
      <c r="D55" s="625"/>
      <c r="E55" s="625"/>
      <c r="F55" s="625"/>
      <c r="G55" s="625"/>
      <c r="H55" s="38"/>
      <c r="I55" s="38"/>
      <c r="J55" s="38"/>
    </row>
    <row r="56" spans="1:10" ht="12" customHeight="1" x14ac:dyDescent="0.2">
      <c r="A56" s="626"/>
      <c r="B56" s="626"/>
      <c r="C56" s="626"/>
      <c r="D56" s="626"/>
      <c r="E56" s="626"/>
      <c r="F56" s="626"/>
      <c r="G56" s="626"/>
      <c r="H56" s="38"/>
      <c r="I56" s="38"/>
      <c r="J56" s="38"/>
    </row>
    <row r="57" spans="1:10" ht="12" customHeight="1" x14ac:dyDescent="0.2">
      <c r="A57" s="2" t="s">
        <v>355</v>
      </c>
      <c r="B57" s="38"/>
      <c r="C57" s="38"/>
      <c r="D57" s="38"/>
      <c r="E57" s="38"/>
      <c r="F57" s="38"/>
      <c r="G57" s="38"/>
      <c r="H57" s="38"/>
      <c r="I57" s="38"/>
      <c r="J57" s="38"/>
    </row>
  </sheetData>
  <mergeCells count="5">
    <mergeCell ref="A55:G56"/>
    <mergeCell ref="F8:F9"/>
    <mergeCell ref="G7:G9"/>
    <mergeCell ref="C7:C9"/>
    <mergeCell ref="B7:B9"/>
  </mergeCells>
  <phoneticPr fontId="0" type="noConversion"/>
  <pageMargins left="0.51181102362204722" right="0.51181102362204722" top="0.59055118110236227" bottom="0.19685039370078741" header="0.31496062992125984" footer="0.51181102362204722"/>
  <pageSetup scale="86" orientation="portrait" r:id="rId1"/>
  <headerFooter alignWithMargins="0">
    <oddHeader>&amp;C&amp;"Arial,Regular"&amp;11&amp;A</oddHeader>
  </headerFooter>
  <legacy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F58"/>
  <sheetViews>
    <sheetView showGridLines="0" showZeros="0" workbookViewId="0"/>
  </sheetViews>
  <sheetFormatPr defaultColWidth="13.6640625" defaultRowHeight="12" x14ac:dyDescent="0.2"/>
  <cols>
    <col min="1" max="1" width="37.5" style="2" customWidth="1"/>
    <col min="2" max="2" width="22" style="2" customWidth="1"/>
    <col min="3" max="4" width="22.5" style="2" customWidth="1"/>
    <col min="5" max="5" width="14.33203125" style="2" customWidth="1"/>
    <col min="6" max="6" width="19.6640625" style="2" customWidth="1"/>
    <col min="7" max="16384" width="13.6640625" style="2"/>
  </cols>
  <sheetData>
    <row r="1" spans="1:6" ht="6.95" customHeight="1" x14ac:dyDescent="0.2">
      <c r="A1" s="509"/>
      <c r="B1" s="23"/>
      <c r="C1" s="23"/>
      <c r="D1" s="23"/>
      <c r="E1" s="23"/>
      <c r="F1" s="23"/>
    </row>
    <row r="2" spans="1:6" ht="15.95" customHeight="1" x14ac:dyDescent="0.2">
      <c r="A2" s="742" t="s">
        <v>328</v>
      </c>
      <c r="B2" s="742"/>
      <c r="C2" s="742"/>
      <c r="D2" s="742"/>
      <c r="E2" s="742"/>
      <c r="F2" s="742"/>
    </row>
    <row r="3" spans="1:6" ht="21" customHeight="1" x14ac:dyDescent="0.2">
      <c r="A3" s="233" t="str">
        <f>+'- 53 -'!A3</f>
        <v xml:space="preserve">FOR THE 2019 TAXATION YEAR </v>
      </c>
      <c r="B3" s="225"/>
      <c r="C3" s="225"/>
      <c r="D3" s="225"/>
      <c r="E3" s="235"/>
      <c r="F3" s="235"/>
    </row>
    <row r="4" spans="1:6" ht="14.25" customHeight="1" x14ac:dyDescent="0.2">
      <c r="B4" s="8"/>
      <c r="C4" s="8"/>
      <c r="D4" s="8"/>
    </row>
    <row r="5" spans="1:6" ht="15.95" customHeight="1" x14ac:dyDescent="0.2">
      <c r="B5" s="8"/>
      <c r="C5" s="8"/>
      <c r="D5" s="8"/>
    </row>
    <row r="6" spans="1:6" ht="15.95" customHeight="1" x14ac:dyDescent="0.2">
      <c r="B6" s="483"/>
      <c r="C6" s="483"/>
      <c r="D6" s="483"/>
    </row>
    <row r="7" spans="1:6" ht="15.95" customHeight="1" x14ac:dyDescent="0.2">
      <c r="B7" s="485"/>
      <c r="C7" s="486"/>
      <c r="D7" s="487"/>
    </row>
    <row r="8" spans="1:6" ht="15.95" customHeight="1" x14ac:dyDescent="0.2">
      <c r="A8" s="16"/>
      <c r="B8" s="791" t="s">
        <v>557</v>
      </c>
      <c r="C8" s="789" t="s">
        <v>556</v>
      </c>
      <c r="D8" s="789" t="s">
        <v>555</v>
      </c>
    </row>
    <row r="9" spans="1:6" ht="15.95" customHeight="1" x14ac:dyDescent="0.2">
      <c r="A9" s="17" t="s">
        <v>42</v>
      </c>
      <c r="B9" s="792"/>
      <c r="C9" s="790"/>
      <c r="D9" s="790"/>
    </row>
    <row r="10" spans="1:6" ht="5.0999999999999996" customHeight="1" x14ac:dyDescent="0.2">
      <c r="A10" s="18"/>
      <c r="B10" s="207"/>
      <c r="C10" s="207"/>
      <c r="D10" s="207"/>
    </row>
    <row r="11" spans="1:6" ht="14.1" customHeight="1" x14ac:dyDescent="0.2">
      <c r="A11" s="354" t="s">
        <v>110</v>
      </c>
      <c r="B11" s="352">
        <f>+Data!Y11</f>
        <v>9565500</v>
      </c>
      <c r="C11" s="352">
        <v>336221</v>
      </c>
      <c r="D11" s="352">
        <f>+Data!Z11</f>
        <v>9229279</v>
      </c>
    </row>
    <row r="12" spans="1:6" ht="14.1" customHeight="1" x14ac:dyDescent="0.2">
      <c r="A12" s="237" t="s">
        <v>111</v>
      </c>
      <c r="B12" s="151">
        <f>+Data!Y12</f>
        <v>17468500</v>
      </c>
      <c r="C12" s="151">
        <v>2628571</v>
      </c>
      <c r="D12" s="151">
        <f>+Data!Z12</f>
        <v>14839929</v>
      </c>
    </row>
    <row r="13" spans="1:6" ht="14.1" customHeight="1" x14ac:dyDescent="0.2">
      <c r="A13" s="354" t="s">
        <v>112</v>
      </c>
      <c r="B13" s="352">
        <f>+Data!Y13</f>
        <v>49688534</v>
      </c>
      <c r="C13" s="352">
        <v>1232009</v>
      </c>
      <c r="D13" s="352">
        <f>+Data!Z13</f>
        <v>48456525</v>
      </c>
    </row>
    <row r="14" spans="1:6" ht="14.1" customHeight="1" x14ac:dyDescent="0.2">
      <c r="A14" s="237" t="s">
        <v>358</v>
      </c>
      <c r="B14" s="151">
        <f>+Data!Y14</f>
        <v>0</v>
      </c>
      <c r="C14" s="151" t="s">
        <v>650</v>
      </c>
      <c r="D14" s="151">
        <f>+Data!Z14</f>
        <v>0</v>
      </c>
    </row>
    <row r="15" spans="1:6" ht="14.1" customHeight="1" x14ac:dyDescent="0.2">
      <c r="A15" s="354" t="s">
        <v>113</v>
      </c>
      <c r="B15" s="352">
        <f>+Data!Y15</f>
        <v>12777212</v>
      </c>
      <c r="C15" s="352">
        <v>1532142</v>
      </c>
      <c r="D15" s="352">
        <f>+Data!Z15</f>
        <v>11245070</v>
      </c>
    </row>
    <row r="16" spans="1:6" ht="14.1" customHeight="1" x14ac:dyDescent="0.2">
      <c r="A16" s="237" t="s">
        <v>114</v>
      </c>
      <c r="B16" s="151">
        <f>+Data!Y16</f>
        <v>5006312</v>
      </c>
      <c r="C16" s="151">
        <v>501809</v>
      </c>
      <c r="D16" s="151">
        <f>+Data!Z16</f>
        <v>4504503</v>
      </c>
    </row>
    <row r="17" spans="1:4" ht="14.1" customHeight="1" x14ac:dyDescent="0.2">
      <c r="A17" s="354" t="s">
        <v>115</v>
      </c>
      <c r="B17" s="352">
        <f>+Data!Y17</f>
        <v>9966977</v>
      </c>
      <c r="C17" s="352">
        <v>468469</v>
      </c>
      <c r="D17" s="352">
        <f>+Data!Z17</f>
        <v>9498508</v>
      </c>
    </row>
    <row r="18" spans="1:4" ht="14.1" customHeight="1" x14ac:dyDescent="0.2">
      <c r="A18" s="237" t="s">
        <v>116</v>
      </c>
      <c r="B18" s="151">
        <f>+Data!Y18</f>
        <v>3569486</v>
      </c>
      <c r="C18" s="151">
        <v>212316</v>
      </c>
      <c r="D18" s="151">
        <f>+Data!Z18</f>
        <v>3357170</v>
      </c>
    </row>
    <row r="19" spans="1:4" ht="14.1" customHeight="1" x14ac:dyDescent="0.2">
      <c r="A19" s="354" t="s">
        <v>117</v>
      </c>
      <c r="B19" s="352">
        <f>+Data!Y19</f>
        <v>20130368</v>
      </c>
      <c r="C19" s="352">
        <v>430782</v>
      </c>
      <c r="D19" s="352">
        <f>+Data!Z19</f>
        <v>19699586</v>
      </c>
    </row>
    <row r="20" spans="1:4" ht="14.1" customHeight="1" x14ac:dyDescent="0.2">
      <c r="A20" s="237" t="s">
        <v>118</v>
      </c>
      <c r="B20" s="151">
        <f>+Data!Y20</f>
        <v>35348579</v>
      </c>
      <c r="C20" s="151">
        <v>1005417</v>
      </c>
      <c r="D20" s="151">
        <f>+Data!Z20</f>
        <v>34343162</v>
      </c>
    </row>
    <row r="21" spans="1:4" ht="14.1" customHeight="1" x14ac:dyDescent="0.2">
      <c r="A21" s="354" t="s">
        <v>119</v>
      </c>
      <c r="B21" s="352">
        <f>+Data!Y21</f>
        <v>20336024</v>
      </c>
      <c r="C21" s="352">
        <v>859701</v>
      </c>
      <c r="D21" s="352">
        <f>+Data!Z21</f>
        <v>19476323</v>
      </c>
    </row>
    <row r="22" spans="1:4" ht="14.1" customHeight="1" x14ac:dyDescent="0.2">
      <c r="A22" s="237" t="s">
        <v>120</v>
      </c>
      <c r="B22" s="151">
        <f>+Data!Y22</f>
        <v>4721872</v>
      </c>
      <c r="C22" s="151">
        <v>206271</v>
      </c>
      <c r="D22" s="151">
        <f>+Data!Z22</f>
        <v>4515601</v>
      </c>
    </row>
    <row r="23" spans="1:4" ht="14.1" customHeight="1" x14ac:dyDescent="0.2">
      <c r="A23" s="354" t="s">
        <v>121</v>
      </c>
      <c r="B23" s="352">
        <f>+Data!Y23</f>
        <v>5350178</v>
      </c>
      <c r="C23" s="352">
        <v>422646</v>
      </c>
      <c r="D23" s="352">
        <f>+Data!Z23</f>
        <v>4927532</v>
      </c>
    </row>
    <row r="24" spans="1:4" ht="14.1" customHeight="1" x14ac:dyDescent="0.2">
      <c r="A24" s="237" t="s">
        <v>122</v>
      </c>
      <c r="B24" s="151">
        <f>+Data!Y24</f>
        <v>33387421</v>
      </c>
      <c r="C24" s="151">
        <v>2586264</v>
      </c>
      <c r="D24" s="151">
        <f>+Data!Z24</f>
        <v>30801157</v>
      </c>
    </row>
    <row r="25" spans="1:4" ht="14.1" customHeight="1" x14ac:dyDescent="0.2">
      <c r="A25" s="354" t="s">
        <v>123</v>
      </c>
      <c r="B25" s="352">
        <f>+Data!Y25</f>
        <v>114925992</v>
      </c>
      <c r="C25" s="352">
        <v>4360669</v>
      </c>
      <c r="D25" s="352">
        <f>+Data!Z25</f>
        <v>110565323</v>
      </c>
    </row>
    <row r="26" spans="1:4" ht="14.1" customHeight="1" x14ac:dyDescent="0.2">
      <c r="A26" s="237" t="s">
        <v>124</v>
      </c>
      <c r="B26" s="151">
        <f>+Data!Y26</f>
        <v>17452913</v>
      </c>
      <c r="C26" s="151">
        <v>460240</v>
      </c>
      <c r="D26" s="151">
        <f>+Data!Z26</f>
        <v>16992673</v>
      </c>
    </row>
    <row r="27" spans="1:4" ht="14.1" customHeight="1" x14ac:dyDescent="0.2">
      <c r="A27" s="354" t="s">
        <v>125</v>
      </c>
      <c r="B27" s="352">
        <f>+Data!Y27</f>
        <v>9384407</v>
      </c>
      <c r="C27" s="352">
        <v>724033</v>
      </c>
      <c r="D27" s="352">
        <f>+Data!Z27</f>
        <v>8660374</v>
      </c>
    </row>
    <row r="28" spans="1:4" ht="14.1" customHeight="1" x14ac:dyDescent="0.2">
      <c r="A28" s="237" t="s">
        <v>126</v>
      </c>
      <c r="B28" s="151">
        <f>+Data!Y28</f>
        <v>10905954</v>
      </c>
      <c r="C28" s="151">
        <v>784986</v>
      </c>
      <c r="D28" s="151">
        <f>+Data!Z28</f>
        <v>10120968</v>
      </c>
    </row>
    <row r="29" spans="1:4" ht="14.1" customHeight="1" x14ac:dyDescent="0.2">
      <c r="A29" s="354" t="s">
        <v>127</v>
      </c>
      <c r="B29" s="352">
        <f>+Data!Y29</f>
        <v>111171266</v>
      </c>
      <c r="C29" s="352">
        <v>3239793</v>
      </c>
      <c r="D29" s="352">
        <f>+Data!Z29</f>
        <v>107931473</v>
      </c>
    </row>
    <row r="30" spans="1:4" ht="14.1" customHeight="1" x14ac:dyDescent="0.2">
      <c r="A30" s="237" t="s">
        <v>128</v>
      </c>
      <c r="B30" s="151">
        <f>+Data!Y30</f>
        <v>7925641</v>
      </c>
      <c r="C30" s="151">
        <v>319059</v>
      </c>
      <c r="D30" s="151">
        <f>+Data!Z30</f>
        <v>7606582</v>
      </c>
    </row>
    <row r="31" spans="1:4" ht="14.1" customHeight="1" x14ac:dyDescent="0.2">
      <c r="A31" s="354" t="s">
        <v>129</v>
      </c>
      <c r="B31" s="352">
        <f>+Data!Y31</f>
        <v>19072109</v>
      </c>
      <c r="C31" s="352">
        <v>348691</v>
      </c>
      <c r="D31" s="352">
        <f>+Data!Z31</f>
        <v>18723418</v>
      </c>
    </row>
    <row r="32" spans="1:4" ht="14.1" customHeight="1" x14ac:dyDescent="0.2">
      <c r="A32" s="237" t="s">
        <v>130</v>
      </c>
      <c r="B32" s="151">
        <f>+Data!Y32</f>
        <v>18383881</v>
      </c>
      <c r="C32" s="151">
        <v>1107446</v>
      </c>
      <c r="D32" s="151">
        <f>+Data!Z32</f>
        <v>17276435</v>
      </c>
    </row>
    <row r="33" spans="1:4" ht="14.1" customHeight="1" x14ac:dyDescent="0.2">
      <c r="A33" s="354" t="s">
        <v>131</v>
      </c>
      <c r="B33" s="352">
        <f>+Data!Y33</f>
        <v>15697697</v>
      </c>
      <c r="C33" s="352">
        <v>858583</v>
      </c>
      <c r="D33" s="352">
        <f>+Data!Z33</f>
        <v>14839114</v>
      </c>
    </row>
    <row r="34" spans="1:4" ht="14.1" customHeight="1" x14ac:dyDescent="0.2">
      <c r="A34" s="237" t="s">
        <v>132</v>
      </c>
      <c r="B34" s="151">
        <f>+Data!Y34</f>
        <v>22175501</v>
      </c>
      <c r="C34" s="151">
        <v>835429</v>
      </c>
      <c r="D34" s="151">
        <f>+Data!Z34</f>
        <v>21340072</v>
      </c>
    </row>
    <row r="35" spans="1:4" ht="14.1" customHeight="1" x14ac:dyDescent="0.2">
      <c r="A35" s="354" t="s">
        <v>133</v>
      </c>
      <c r="B35" s="352">
        <f>+Data!Y35</f>
        <v>94204527</v>
      </c>
      <c r="C35" s="352">
        <v>993682</v>
      </c>
      <c r="D35" s="352">
        <f>+Data!Z35</f>
        <v>93210845</v>
      </c>
    </row>
    <row r="36" spans="1:4" ht="14.1" customHeight="1" x14ac:dyDescent="0.2">
      <c r="A36" s="237" t="s">
        <v>134</v>
      </c>
      <c r="B36" s="151">
        <f>+Data!Y36</f>
        <v>12927909</v>
      </c>
      <c r="C36" s="151">
        <v>733640</v>
      </c>
      <c r="D36" s="151">
        <f>+Data!Z36</f>
        <v>12194269</v>
      </c>
    </row>
    <row r="37" spans="1:4" ht="14.1" customHeight="1" x14ac:dyDescent="0.2">
      <c r="A37" s="354" t="s">
        <v>135</v>
      </c>
      <c r="B37" s="352">
        <f>+Data!Y37</f>
        <v>29509784</v>
      </c>
      <c r="C37" s="352">
        <v>1719396</v>
      </c>
      <c r="D37" s="352">
        <f>+Data!Z37</f>
        <v>27790388</v>
      </c>
    </row>
    <row r="38" spans="1:4" ht="14.1" customHeight="1" x14ac:dyDescent="0.2">
      <c r="A38" s="237" t="s">
        <v>136</v>
      </c>
      <c r="B38" s="151">
        <f>+Data!Y38</f>
        <v>62660310</v>
      </c>
      <c r="C38" s="151">
        <v>3575889</v>
      </c>
      <c r="D38" s="151">
        <f>+Data!Z38</f>
        <v>59084421</v>
      </c>
    </row>
    <row r="39" spans="1:4" ht="14.1" customHeight="1" x14ac:dyDescent="0.2">
      <c r="A39" s="354" t="s">
        <v>137</v>
      </c>
      <c r="B39" s="352">
        <f>+Data!Y39</f>
        <v>14096696</v>
      </c>
      <c r="C39" s="352">
        <v>728422</v>
      </c>
      <c r="D39" s="352">
        <f>+Data!Z39</f>
        <v>13368274</v>
      </c>
    </row>
    <row r="40" spans="1:4" ht="14.1" customHeight="1" x14ac:dyDescent="0.2">
      <c r="A40" s="237" t="s">
        <v>138</v>
      </c>
      <c r="B40" s="151">
        <f>+Data!Y40</f>
        <v>66786493</v>
      </c>
      <c r="C40" s="151">
        <v>2320349</v>
      </c>
      <c r="D40" s="151">
        <f>+Data!Z40</f>
        <v>64466144</v>
      </c>
    </row>
    <row r="41" spans="1:4" ht="14.1" customHeight="1" x14ac:dyDescent="0.2">
      <c r="A41" s="354" t="s">
        <v>139</v>
      </c>
      <c r="B41" s="352">
        <f>+Data!Y41</f>
        <v>39385339</v>
      </c>
      <c r="C41" s="352">
        <v>2308108</v>
      </c>
      <c r="D41" s="352">
        <f>+Data!Z41</f>
        <v>37077231</v>
      </c>
    </row>
    <row r="42" spans="1:4" ht="14.1" customHeight="1" x14ac:dyDescent="0.2">
      <c r="A42" s="237" t="s">
        <v>140</v>
      </c>
      <c r="B42" s="151">
        <f>+Data!Y42</f>
        <v>8956893</v>
      </c>
      <c r="C42" s="151">
        <v>1014659</v>
      </c>
      <c r="D42" s="151">
        <f>+Data!Z42</f>
        <v>7942234</v>
      </c>
    </row>
    <row r="43" spans="1:4" ht="14.1" customHeight="1" x14ac:dyDescent="0.2">
      <c r="A43" s="354" t="s">
        <v>141</v>
      </c>
      <c r="B43" s="352">
        <f>+Data!Y43</f>
        <v>7383993</v>
      </c>
      <c r="C43" s="352">
        <v>0</v>
      </c>
      <c r="D43" s="352">
        <f>+Data!Z43</f>
        <v>7383993</v>
      </c>
    </row>
    <row r="44" spans="1:4" ht="14.1" customHeight="1" x14ac:dyDescent="0.2">
      <c r="A44" s="237" t="s">
        <v>142</v>
      </c>
      <c r="B44" s="151">
        <f>+Data!Y44</f>
        <v>3873288</v>
      </c>
      <c r="C44" s="151">
        <v>312613</v>
      </c>
      <c r="D44" s="151">
        <f>+Data!Z44</f>
        <v>3560675</v>
      </c>
    </row>
    <row r="45" spans="1:4" ht="14.1" customHeight="1" x14ac:dyDescent="0.2">
      <c r="A45" s="354" t="s">
        <v>143</v>
      </c>
      <c r="B45" s="352">
        <f>+Data!Y45</f>
        <v>9338008</v>
      </c>
      <c r="C45" s="352">
        <v>0</v>
      </c>
      <c r="D45" s="352">
        <f>+Data!Z45</f>
        <v>9338008</v>
      </c>
    </row>
    <row r="46" spans="1:4" ht="14.1" customHeight="1" x14ac:dyDescent="0.2">
      <c r="A46" s="237" t="s">
        <v>144</v>
      </c>
      <c r="B46" s="151">
        <f>+Data!Y46</f>
        <v>197827580</v>
      </c>
      <c r="C46" s="151">
        <v>6386931</v>
      </c>
      <c r="D46" s="151">
        <f>+Data!Z46</f>
        <v>191440649</v>
      </c>
    </row>
    <row r="47" spans="1:4" ht="5.0999999999999996" customHeight="1" x14ac:dyDescent="0.2">
      <c r="A47" s="130"/>
      <c r="B47" s="152"/>
      <c r="C47" s="152"/>
      <c r="D47" s="152"/>
    </row>
    <row r="48" spans="1:4" ht="14.1" customHeight="1" x14ac:dyDescent="0.2">
      <c r="A48" s="355" t="s">
        <v>145</v>
      </c>
      <c r="B48" s="356">
        <f>SUM(B11:B47)</f>
        <v>1121363144</v>
      </c>
      <c r="C48" s="356">
        <f>SUM(C11:C47)</f>
        <v>45555236</v>
      </c>
      <c r="D48" s="356">
        <f>SUM(D11:D47)</f>
        <v>1075807908</v>
      </c>
    </row>
    <row r="49" spans="1:6" s="184" customFormat="1" ht="53.25" customHeight="1" x14ac:dyDescent="0.2">
      <c r="A49" s="484"/>
      <c r="B49" s="484"/>
      <c r="C49" s="484"/>
      <c r="D49" s="484"/>
      <c r="E49" s="23"/>
      <c r="F49" s="23"/>
    </row>
    <row r="50" spans="1:6" s="184" customFormat="1" ht="22.9" customHeight="1" x14ac:dyDescent="0.2">
      <c r="A50" s="672" t="s">
        <v>651</v>
      </c>
      <c r="B50" s="672"/>
      <c r="C50" s="672"/>
      <c r="D50" s="672"/>
      <c r="E50" s="672"/>
      <c r="F50" s="672"/>
    </row>
    <row r="51" spans="1:6" ht="19.149999999999999" customHeight="1" x14ac:dyDescent="0.2">
      <c r="A51" s="793"/>
      <c r="B51" s="793"/>
      <c r="C51" s="793"/>
      <c r="D51" s="793"/>
      <c r="E51" s="793"/>
      <c r="F51" s="793"/>
    </row>
    <row r="52" spans="1:6" ht="19.5" customHeight="1" x14ac:dyDescent="0.2">
      <c r="A52" s="793"/>
      <c r="B52" s="793"/>
      <c r="C52" s="793"/>
      <c r="D52" s="793"/>
      <c r="E52" s="793"/>
      <c r="F52" s="793"/>
    </row>
    <row r="53" spans="1:6" ht="14.45" customHeight="1" x14ac:dyDescent="0.2"/>
    <row r="54" spans="1:6" ht="14.45" customHeight="1" x14ac:dyDescent="0.2"/>
    <row r="55" spans="1:6" ht="14.45" customHeight="1" x14ac:dyDescent="0.2"/>
    <row r="56" spans="1:6" ht="14.45" customHeight="1" x14ac:dyDescent="0.2"/>
    <row r="57" spans="1:6" ht="14.45" customHeight="1" x14ac:dyDescent="0.2"/>
    <row r="58" spans="1:6" ht="14.45" customHeight="1" x14ac:dyDescent="0.2"/>
  </sheetData>
  <mergeCells count="5">
    <mergeCell ref="A2:F2"/>
    <mergeCell ref="D8:D9"/>
    <mergeCell ref="C8:C9"/>
    <mergeCell ref="B8:B9"/>
    <mergeCell ref="A50:F52"/>
  </mergeCells>
  <phoneticPr fontId="0" type="noConversion"/>
  <printOptions horizontalCentered="1"/>
  <pageMargins left="0.5" right="0.511811023622047" top="0.59055118110236204" bottom="0" header="0.31496062992126" footer="0"/>
  <pageSetup scale="85" orientation="portrait" r:id="rId1"/>
  <headerFooter alignWithMargins="0">
    <oddHeader>&amp;C&amp;"Arial,Regular"&amp;11 &amp;A</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F52"/>
  <sheetViews>
    <sheetView showGridLines="0" showZeros="0" workbookViewId="0"/>
  </sheetViews>
  <sheetFormatPr defaultColWidth="15.83203125" defaultRowHeight="12" x14ac:dyDescent="0.2"/>
  <cols>
    <col min="1" max="1" width="35.83203125" style="2" customWidth="1"/>
    <col min="2" max="3" width="21.83203125" style="2" customWidth="1"/>
    <col min="4" max="4" width="23.83203125" style="2" customWidth="1"/>
    <col min="5" max="5" width="2.83203125" style="2" customWidth="1"/>
    <col min="6" max="6" width="27.83203125" style="2" customWidth="1"/>
    <col min="7" max="19" width="15.83203125" style="2"/>
    <col min="20" max="20" width="21" style="2" bestFit="1" customWidth="1"/>
    <col min="21" max="21" width="15" style="2" bestFit="1" customWidth="1"/>
    <col min="22" max="16384" width="15.83203125" style="2"/>
  </cols>
  <sheetData>
    <row r="1" spans="1:6" ht="6.95" customHeight="1" x14ac:dyDescent="0.2">
      <c r="A1" s="7"/>
    </row>
    <row r="2" spans="1:6" ht="15.95" customHeight="1" x14ac:dyDescent="0.2">
      <c r="A2" s="399"/>
      <c r="B2" s="208" t="s">
        <v>225</v>
      </c>
      <c r="C2" s="209"/>
      <c r="D2" s="209"/>
      <c r="E2" s="210"/>
      <c r="F2" s="210"/>
    </row>
    <row r="3" spans="1:6" ht="15.95" customHeight="1" x14ac:dyDescent="0.2">
      <c r="A3" s="539"/>
      <c r="B3" s="391" t="str">
        <f>TAXYEAR</f>
        <v xml:space="preserve">FOR THE 2019 TAXATION YEAR </v>
      </c>
      <c r="C3" s="390"/>
      <c r="D3" s="390"/>
      <c r="E3" s="398"/>
      <c r="F3" s="398"/>
    </row>
    <row r="4" spans="1:6" ht="15.95" customHeight="1" x14ac:dyDescent="0.2">
      <c r="B4"/>
      <c r="C4" s="8"/>
      <c r="D4" s="8"/>
      <c r="E4" s="8"/>
      <c r="F4" s="8"/>
    </row>
    <row r="5" spans="1:6" ht="15.95" customHeight="1" x14ac:dyDescent="0.2">
      <c r="B5"/>
      <c r="C5" s="8"/>
      <c r="D5" s="8"/>
      <c r="E5" s="8"/>
      <c r="F5" s="8"/>
    </row>
    <row r="6" spans="1:6" ht="15.95" customHeight="1" x14ac:dyDescent="0.2">
      <c r="B6"/>
      <c r="C6" s="8"/>
      <c r="D6" s="8"/>
      <c r="E6" s="8"/>
      <c r="F6" s="8"/>
    </row>
    <row r="7" spans="1:6" ht="15.95" customHeight="1" x14ac:dyDescent="0.2">
      <c r="B7" s="769" t="s">
        <v>558</v>
      </c>
      <c r="C7" s="556"/>
      <c r="D7" s="358"/>
      <c r="E7" s="8"/>
      <c r="F7" s="640" t="s">
        <v>559</v>
      </c>
    </row>
    <row r="8" spans="1:6" ht="15.95" customHeight="1" x14ac:dyDescent="0.2">
      <c r="A8" s="566"/>
      <c r="B8" s="741"/>
      <c r="C8" s="565"/>
      <c r="D8" s="359"/>
      <c r="E8" s="8"/>
      <c r="F8" s="738"/>
    </row>
    <row r="9" spans="1:6" ht="15.95" customHeight="1" x14ac:dyDescent="0.2">
      <c r="A9" s="567" t="s">
        <v>42</v>
      </c>
      <c r="B9" s="646"/>
      <c r="C9" s="299" t="s">
        <v>69</v>
      </c>
      <c r="D9" s="307" t="s">
        <v>31</v>
      </c>
      <c r="E9" s="8"/>
      <c r="F9" s="739"/>
    </row>
    <row r="10" spans="1:6" ht="5.0999999999999996" customHeight="1" x14ac:dyDescent="0.2">
      <c r="A10" s="18"/>
      <c r="B10" s="207">
        <v>38577</v>
      </c>
      <c r="C10" s="207"/>
      <c r="D10" s="207"/>
      <c r="E10" s="207"/>
      <c r="F10" s="207"/>
    </row>
    <row r="11" spans="1:6" ht="14.1" customHeight="1" x14ac:dyDescent="0.2">
      <c r="A11" s="354" t="s">
        <v>110</v>
      </c>
      <c r="B11" s="588">
        <f>'- 51 -'!C11</f>
        <v>1538227.1960999998</v>
      </c>
      <c r="C11" s="588">
        <f>+Data!Z11</f>
        <v>9229279</v>
      </c>
      <c r="D11" s="588">
        <f t="shared" ref="D11:D46" si="0">SUM(B11,C11)</f>
        <v>10767506.1961</v>
      </c>
      <c r="E11" s="589"/>
      <c r="F11" s="588">
        <f>+Data!W11</f>
        <v>442823</v>
      </c>
    </row>
    <row r="12" spans="1:6" ht="14.1" customHeight="1" x14ac:dyDescent="0.2">
      <c r="A12" s="237" t="s">
        <v>111</v>
      </c>
      <c r="B12" s="590">
        <f>'- 51 -'!C12</f>
        <v>2075828.2850999997</v>
      </c>
      <c r="C12" s="590">
        <f>+Data!Z12</f>
        <v>14839929</v>
      </c>
      <c r="D12" s="590">
        <f t="shared" si="0"/>
        <v>16915757.285099998</v>
      </c>
      <c r="E12" s="589"/>
      <c r="F12" s="590">
        <f>+Data!W12</f>
        <v>476373</v>
      </c>
    </row>
    <row r="13" spans="1:6" ht="14.1" customHeight="1" x14ac:dyDescent="0.2">
      <c r="A13" s="354" t="s">
        <v>112</v>
      </c>
      <c r="B13" s="588">
        <f>'- 51 -'!C13</f>
        <v>9431636.0784999989</v>
      </c>
      <c r="C13" s="588">
        <f>+Data!Z13</f>
        <v>48456525</v>
      </c>
      <c r="D13" s="588">
        <f t="shared" si="0"/>
        <v>57888161.078500003</v>
      </c>
      <c r="E13" s="589"/>
      <c r="F13" s="588">
        <f>+Data!W13</f>
        <v>376546</v>
      </c>
    </row>
    <row r="14" spans="1:6" ht="14.1" customHeight="1" x14ac:dyDescent="0.2">
      <c r="A14" s="237" t="s">
        <v>358</v>
      </c>
      <c r="B14" s="590">
        <f>'- 51 -'!C14</f>
        <v>0</v>
      </c>
      <c r="C14" s="590">
        <f>+Data!Z14</f>
        <v>0</v>
      </c>
      <c r="D14" s="590">
        <f t="shared" si="0"/>
        <v>0</v>
      </c>
      <c r="E14" s="589"/>
      <c r="F14" s="590">
        <f>+Data!W14</f>
        <v>468154</v>
      </c>
    </row>
    <row r="15" spans="1:6" ht="14.1" customHeight="1" x14ac:dyDescent="0.2">
      <c r="A15" s="354" t="s">
        <v>113</v>
      </c>
      <c r="B15" s="588">
        <f>'- 51 -'!C15</f>
        <v>1271256.6702999999</v>
      </c>
      <c r="C15" s="588">
        <f>+Data!Z15</f>
        <v>11245070</v>
      </c>
      <c r="D15" s="588">
        <f t="shared" si="0"/>
        <v>12516326.670299999</v>
      </c>
      <c r="E15" s="589"/>
      <c r="F15" s="588">
        <f>+Data!W15</f>
        <v>726888</v>
      </c>
    </row>
    <row r="16" spans="1:6" ht="14.1" customHeight="1" x14ac:dyDescent="0.2">
      <c r="A16" s="237" t="s">
        <v>114</v>
      </c>
      <c r="B16" s="590">
        <f>'- 51 -'!C16</f>
        <v>351337.69989999995</v>
      </c>
      <c r="C16" s="590">
        <f>+Data!Z16</f>
        <v>4504503</v>
      </c>
      <c r="D16" s="590">
        <f t="shared" si="0"/>
        <v>4855840.6999000004</v>
      </c>
      <c r="E16" s="589"/>
      <c r="F16" s="590">
        <f>+Data!W16</f>
        <v>208296</v>
      </c>
    </row>
    <row r="17" spans="1:6" ht="14.1" customHeight="1" x14ac:dyDescent="0.2">
      <c r="A17" s="354" t="s">
        <v>115</v>
      </c>
      <c r="B17" s="588">
        <f>'- 51 -'!C17</f>
        <v>6048991.7425999995</v>
      </c>
      <c r="C17" s="588">
        <f>+Data!Z17</f>
        <v>9498508</v>
      </c>
      <c r="D17" s="588">
        <f t="shared" si="0"/>
        <v>15547499.7426</v>
      </c>
      <c r="E17" s="589"/>
      <c r="F17" s="588">
        <f>+Data!W17</f>
        <v>913210</v>
      </c>
    </row>
    <row r="18" spans="1:6" ht="14.1" customHeight="1" x14ac:dyDescent="0.2">
      <c r="A18" s="237" t="s">
        <v>116</v>
      </c>
      <c r="B18" s="590">
        <f>'- 51 -'!C18</f>
        <v>768644.68689999997</v>
      </c>
      <c r="C18" s="590">
        <f>+Data!Z18</f>
        <v>3357170</v>
      </c>
      <c r="D18" s="590">
        <f t="shared" si="0"/>
        <v>4125814.6869000001</v>
      </c>
      <c r="E18" s="589"/>
      <c r="F18" s="590">
        <f>+Data!W18</f>
        <v>114365</v>
      </c>
    </row>
    <row r="19" spans="1:6" ht="14.1" customHeight="1" x14ac:dyDescent="0.2">
      <c r="A19" s="354" t="s">
        <v>117</v>
      </c>
      <c r="B19" s="588">
        <f>'- 51 -'!C19</f>
        <v>3326001.7838999997</v>
      </c>
      <c r="C19" s="588">
        <f>+Data!Z19</f>
        <v>19699586</v>
      </c>
      <c r="D19" s="588">
        <f t="shared" si="0"/>
        <v>23025587.7839</v>
      </c>
      <c r="E19" s="589"/>
      <c r="F19" s="588">
        <f>+Data!W19</f>
        <v>300968</v>
      </c>
    </row>
    <row r="20" spans="1:6" ht="14.1" customHeight="1" x14ac:dyDescent="0.2">
      <c r="A20" s="237" t="s">
        <v>118</v>
      </c>
      <c r="B20" s="590">
        <f>'- 51 -'!C20</f>
        <v>4448031.6695999997</v>
      </c>
      <c r="C20" s="590">
        <f>+Data!Z20</f>
        <v>34343162</v>
      </c>
      <c r="D20" s="590">
        <f t="shared" si="0"/>
        <v>38791193.669600002</v>
      </c>
      <c r="E20" s="589"/>
      <c r="F20" s="590">
        <f>+Data!W20</f>
        <v>273984</v>
      </c>
    </row>
    <row r="21" spans="1:6" ht="14.1" customHeight="1" x14ac:dyDescent="0.2">
      <c r="A21" s="354" t="s">
        <v>119</v>
      </c>
      <c r="B21" s="588">
        <f>'- 51 -'!C21</f>
        <v>3179697.7924999995</v>
      </c>
      <c r="C21" s="588">
        <f>+Data!Z21</f>
        <v>19476323</v>
      </c>
      <c r="D21" s="588">
        <f t="shared" si="0"/>
        <v>22656020.7925</v>
      </c>
      <c r="E21" s="589"/>
      <c r="F21" s="588">
        <f>+Data!W21</f>
        <v>495401</v>
      </c>
    </row>
    <row r="22" spans="1:6" ht="14.1" customHeight="1" x14ac:dyDescent="0.2">
      <c r="A22" s="237" t="s">
        <v>120</v>
      </c>
      <c r="B22" s="590">
        <f>'- 51 -'!C22</f>
        <v>651140.99459999998</v>
      </c>
      <c r="C22" s="590">
        <f>+Data!Z22</f>
        <v>4515601</v>
      </c>
      <c r="D22" s="590">
        <f t="shared" si="0"/>
        <v>5166741.9945999999</v>
      </c>
      <c r="E22" s="589"/>
      <c r="F22" s="590">
        <f>+Data!W22</f>
        <v>174815</v>
      </c>
    </row>
    <row r="23" spans="1:6" ht="14.1" customHeight="1" x14ac:dyDescent="0.2">
      <c r="A23" s="354" t="s">
        <v>121</v>
      </c>
      <c r="B23" s="588">
        <f>'- 51 -'!C23</f>
        <v>361718.32489999995</v>
      </c>
      <c r="C23" s="588">
        <f>+Data!Z23</f>
        <v>4927532</v>
      </c>
      <c r="D23" s="588">
        <f t="shared" si="0"/>
        <v>5289250.3249000004</v>
      </c>
      <c r="E23" s="589"/>
      <c r="F23" s="588">
        <f>+Data!W23</f>
        <v>336160</v>
      </c>
    </row>
    <row r="24" spans="1:6" ht="14.1" customHeight="1" x14ac:dyDescent="0.2">
      <c r="A24" s="237" t="s">
        <v>122</v>
      </c>
      <c r="B24" s="590">
        <f>'- 51 -'!C24</f>
        <v>2612916.4490999999</v>
      </c>
      <c r="C24" s="590">
        <f>+Data!Z24</f>
        <v>30801157</v>
      </c>
      <c r="D24" s="590">
        <f t="shared" si="0"/>
        <v>33414073.449099999</v>
      </c>
      <c r="E24" s="589"/>
      <c r="F24" s="590">
        <f>+Data!W24</f>
        <v>540409</v>
      </c>
    </row>
    <row r="25" spans="1:6" ht="14.1" customHeight="1" x14ac:dyDescent="0.2">
      <c r="A25" s="354" t="s">
        <v>123</v>
      </c>
      <c r="B25" s="588">
        <f>'- 51 -'!C25</f>
        <v>14300169.622799998</v>
      </c>
      <c r="C25" s="588">
        <f>+Data!Z25</f>
        <v>110565323</v>
      </c>
      <c r="D25" s="588">
        <f t="shared" si="0"/>
        <v>124865492.62279999</v>
      </c>
      <c r="E25" s="589"/>
      <c r="F25" s="588">
        <f>+Data!W25</f>
        <v>488071</v>
      </c>
    </row>
    <row r="26" spans="1:6" ht="14.1" customHeight="1" x14ac:dyDescent="0.2">
      <c r="A26" s="237" t="s">
        <v>124</v>
      </c>
      <c r="B26" s="590">
        <f>'- 51 -'!C26</f>
        <v>1524625.6952</v>
      </c>
      <c r="C26" s="590">
        <f>+Data!Z26</f>
        <v>16992673</v>
      </c>
      <c r="D26" s="590">
        <f t="shared" si="0"/>
        <v>18517298.6952</v>
      </c>
      <c r="E26" s="589"/>
      <c r="F26" s="590">
        <f>+Data!W26</f>
        <v>384710</v>
      </c>
    </row>
    <row r="27" spans="1:6" ht="14.1" customHeight="1" x14ac:dyDescent="0.2">
      <c r="A27" s="354" t="s">
        <v>125</v>
      </c>
      <c r="B27" s="588">
        <f>'- 51 -'!C27</f>
        <v>1292863.6114999999</v>
      </c>
      <c r="C27" s="588">
        <f>+Data!Z27</f>
        <v>8660374</v>
      </c>
      <c r="D27" s="588">
        <f t="shared" si="0"/>
        <v>9953237.6115000006</v>
      </c>
      <c r="E27" s="589"/>
      <c r="F27" s="588">
        <f>+Data!W27</f>
        <v>155992</v>
      </c>
    </row>
    <row r="28" spans="1:6" ht="14.1" customHeight="1" x14ac:dyDescent="0.2">
      <c r="A28" s="237" t="s">
        <v>126</v>
      </c>
      <c r="B28" s="590">
        <f>'- 51 -'!C28</f>
        <v>1942250.3048999999</v>
      </c>
      <c r="C28" s="590">
        <f>+Data!Z28</f>
        <v>10120968</v>
      </c>
      <c r="D28" s="590">
        <f t="shared" si="0"/>
        <v>12063218.3049</v>
      </c>
      <c r="E28" s="589"/>
      <c r="F28" s="590">
        <f>+Data!W28</f>
        <v>624146</v>
      </c>
    </row>
    <row r="29" spans="1:6" ht="14.1" customHeight="1" x14ac:dyDescent="0.2">
      <c r="A29" s="354" t="s">
        <v>127</v>
      </c>
      <c r="B29" s="588">
        <f>'- 51 -'!C29</f>
        <v>16591094.032499999</v>
      </c>
      <c r="C29" s="588">
        <f>+Data!Z29</f>
        <v>107931473</v>
      </c>
      <c r="D29" s="588">
        <f t="shared" si="0"/>
        <v>124522567.0325</v>
      </c>
      <c r="E29" s="589"/>
      <c r="F29" s="588">
        <f>+Data!W29</f>
        <v>619867</v>
      </c>
    </row>
    <row r="30" spans="1:6" ht="14.1" customHeight="1" x14ac:dyDescent="0.2">
      <c r="A30" s="237" t="s">
        <v>128</v>
      </c>
      <c r="B30" s="590">
        <f>'- 51 -'!C30</f>
        <v>1070246.7363</v>
      </c>
      <c r="C30" s="590">
        <f>+Data!Z30</f>
        <v>7606582</v>
      </c>
      <c r="D30" s="590">
        <f t="shared" si="0"/>
        <v>8676828.7362999991</v>
      </c>
      <c r="E30" s="589"/>
      <c r="F30" s="590">
        <f>+Data!W30</f>
        <v>538429</v>
      </c>
    </row>
    <row r="31" spans="1:6" ht="14.1" customHeight="1" x14ac:dyDescent="0.2">
      <c r="A31" s="354" t="s">
        <v>129</v>
      </c>
      <c r="B31" s="588">
        <f>'- 51 -'!C31</f>
        <v>3519701.4130999995</v>
      </c>
      <c r="C31" s="588">
        <f>+Data!Z31</f>
        <v>18723418</v>
      </c>
      <c r="D31" s="588">
        <f t="shared" si="0"/>
        <v>22243119.4131</v>
      </c>
      <c r="E31" s="589"/>
      <c r="F31" s="588">
        <f>+Data!W31</f>
        <v>433714</v>
      </c>
    </row>
    <row r="32" spans="1:6" ht="14.1" customHeight="1" x14ac:dyDescent="0.2">
      <c r="A32" s="237" t="s">
        <v>130</v>
      </c>
      <c r="B32" s="590">
        <f>'- 51 -'!C32</f>
        <v>1557044.9</v>
      </c>
      <c r="C32" s="590">
        <f>+Data!Z32</f>
        <v>17276435</v>
      </c>
      <c r="D32" s="590">
        <f t="shared" si="0"/>
        <v>18833479.899999999</v>
      </c>
      <c r="E32" s="589"/>
      <c r="F32" s="590">
        <f>+Data!W32</f>
        <v>640500</v>
      </c>
    </row>
    <row r="33" spans="1:6" ht="14.1" customHeight="1" x14ac:dyDescent="0.2">
      <c r="A33" s="354" t="s">
        <v>131</v>
      </c>
      <c r="B33" s="588">
        <f>'- 51 -'!C33</f>
        <v>1815319.8326999999</v>
      </c>
      <c r="C33" s="588">
        <f>+Data!Z33</f>
        <v>14839114</v>
      </c>
      <c r="D33" s="588">
        <f t="shared" si="0"/>
        <v>16654433.832699999</v>
      </c>
      <c r="E33" s="589"/>
      <c r="F33" s="588">
        <f>+Data!W33</f>
        <v>681966</v>
      </c>
    </row>
    <row r="34" spans="1:6" ht="14.1" customHeight="1" x14ac:dyDescent="0.2">
      <c r="A34" s="237" t="s">
        <v>132</v>
      </c>
      <c r="B34" s="590">
        <f>'- 51 -'!C34</f>
        <v>3150189.1683999998</v>
      </c>
      <c r="C34" s="590">
        <f>+Data!Z34</f>
        <v>21340072</v>
      </c>
      <c r="D34" s="590">
        <f t="shared" si="0"/>
        <v>24490261.168400001</v>
      </c>
      <c r="E34" s="589"/>
      <c r="F34" s="590">
        <f>+Data!W34</f>
        <v>666588</v>
      </c>
    </row>
    <row r="35" spans="1:6" ht="14.1" customHeight="1" x14ac:dyDescent="0.2">
      <c r="A35" s="354" t="s">
        <v>133</v>
      </c>
      <c r="B35" s="588">
        <f>'- 51 -'!C35</f>
        <v>11022431.736599999</v>
      </c>
      <c r="C35" s="588">
        <f>+Data!Z35</f>
        <v>93210845</v>
      </c>
      <c r="D35" s="588">
        <f t="shared" si="0"/>
        <v>104233276.7366</v>
      </c>
      <c r="E35" s="589"/>
      <c r="F35" s="588">
        <f>+Data!W35</f>
        <v>426834</v>
      </c>
    </row>
    <row r="36" spans="1:6" ht="14.1" customHeight="1" x14ac:dyDescent="0.2">
      <c r="A36" s="237" t="s">
        <v>134</v>
      </c>
      <c r="B36" s="590">
        <f>'- 51 -'!C36</f>
        <v>1786782.9327999998</v>
      </c>
      <c r="C36" s="590">
        <f>+Data!Z36</f>
        <v>12194269</v>
      </c>
      <c r="D36" s="590">
        <f t="shared" si="0"/>
        <v>13981051.932800001</v>
      </c>
      <c r="E36" s="589"/>
      <c r="F36" s="590">
        <f>+Data!W36</f>
        <v>647693</v>
      </c>
    </row>
    <row r="37" spans="1:6" ht="14.1" customHeight="1" x14ac:dyDescent="0.2">
      <c r="A37" s="354" t="s">
        <v>135</v>
      </c>
      <c r="B37" s="588">
        <f>'- 51 -'!C37</f>
        <v>1981520.8198999998</v>
      </c>
      <c r="C37" s="588">
        <f>+Data!Z37</f>
        <v>27790388</v>
      </c>
      <c r="D37" s="588">
        <f t="shared" si="0"/>
        <v>29771908.819899999</v>
      </c>
      <c r="E37" s="589"/>
      <c r="F37" s="588">
        <f>+Data!W37</f>
        <v>336075</v>
      </c>
    </row>
    <row r="38" spans="1:6" ht="14.1" customHeight="1" x14ac:dyDescent="0.2">
      <c r="A38" s="237" t="s">
        <v>136</v>
      </c>
      <c r="B38" s="590">
        <f>'- 51 -'!C38</f>
        <v>4358719.0192</v>
      </c>
      <c r="C38" s="590">
        <f>+Data!Z38</f>
        <v>59084421</v>
      </c>
      <c r="D38" s="590">
        <f t="shared" si="0"/>
        <v>63443140.019199997</v>
      </c>
      <c r="E38" s="589"/>
      <c r="F38" s="590">
        <f>+Data!W38</f>
        <v>333857</v>
      </c>
    </row>
    <row r="39" spans="1:6" ht="14.1" customHeight="1" x14ac:dyDescent="0.2">
      <c r="A39" s="354" t="s">
        <v>137</v>
      </c>
      <c r="B39" s="588">
        <f>'- 51 -'!C39</f>
        <v>3596921.4413999999</v>
      </c>
      <c r="C39" s="588">
        <f>+Data!Z39</f>
        <v>13368274</v>
      </c>
      <c r="D39" s="588">
        <f t="shared" si="0"/>
        <v>16965195.441399999</v>
      </c>
      <c r="E39" s="589"/>
      <c r="F39" s="588">
        <f>+Data!W39</f>
        <v>828432</v>
      </c>
    </row>
    <row r="40" spans="1:6" ht="14.1" customHeight="1" x14ac:dyDescent="0.2">
      <c r="A40" s="237" t="s">
        <v>138</v>
      </c>
      <c r="B40" s="590">
        <f>'- 51 -'!C40</f>
        <v>16574244.299699999</v>
      </c>
      <c r="C40" s="590">
        <f>+Data!Z40</f>
        <v>64466144</v>
      </c>
      <c r="D40" s="590">
        <f t="shared" si="0"/>
        <v>81040388.299699992</v>
      </c>
      <c r="E40" s="589"/>
      <c r="F40" s="590">
        <f>+Data!W40</f>
        <v>596595</v>
      </c>
    </row>
    <row r="41" spans="1:6" ht="14.1" customHeight="1" x14ac:dyDescent="0.2">
      <c r="A41" s="354" t="s">
        <v>139</v>
      </c>
      <c r="B41" s="588">
        <f>'- 51 -'!C41</f>
        <v>4676406.8850999996</v>
      </c>
      <c r="C41" s="588">
        <f>+Data!Z41</f>
        <v>37077231</v>
      </c>
      <c r="D41" s="588">
        <f t="shared" si="0"/>
        <v>41753637.8851</v>
      </c>
      <c r="E41" s="589"/>
      <c r="F41" s="588">
        <f>+Data!W41</f>
        <v>566990</v>
      </c>
    </row>
    <row r="42" spans="1:6" ht="14.1" customHeight="1" x14ac:dyDescent="0.2">
      <c r="A42" s="237" t="s">
        <v>140</v>
      </c>
      <c r="B42" s="590">
        <f>'- 51 -'!C42</f>
        <v>848551.5628999999</v>
      </c>
      <c r="C42" s="590">
        <f>+Data!Z42</f>
        <v>7942234</v>
      </c>
      <c r="D42" s="590">
        <f t="shared" si="0"/>
        <v>8790785.5628999993</v>
      </c>
      <c r="E42" s="589"/>
      <c r="F42" s="590">
        <f>+Data!W42</f>
        <v>428070</v>
      </c>
    </row>
    <row r="43" spans="1:6" ht="14.1" customHeight="1" x14ac:dyDescent="0.2">
      <c r="A43" s="354" t="s">
        <v>141</v>
      </c>
      <c r="B43" s="588">
        <f>'- 51 -'!C43</f>
        <v>679958.29349999991</v>
      </c>
      <c r="C43" s="588">
        <f>+Data!Z43</f>
        <v>7383993</v>
      </c>
      <c r="D43" s="588">
        <f t="shared" si="0"/>
        <v>8063951.2934999997</v>
      </c>
      <c r="E43" s="589"/>
      <c r="F43" s="588">
        <f>+Data!W43</f>
        <v>636721</v>
      </c>
    </row>
    <row r="44" spans="1:6" ht="14.1" customHeight="1" x14ac:dyDescent="0.2">
      <c r="A44" s="237" t="s">
        <v>142</v>
      </c>
      <c r="B44" s="590">
        <f>'- 51 -'!C44</f>
        <v>144454.04189999998</v>
      </c>
      <c r="C44" s="590">
        <f>+Data!Z44</f>
        <v>3560675</v>
      </c>
      <c r="D44" s="590">
        <f t="shared" si="0"/>
        <v>3705129.0419000001</v>
      </c>
      <c r="E44" s="589"/>
      <c r="F44" s="590">
        <f>+Data!W44</f>
        <v>317474</v>
      </c>
    </row>
    <row r="45" spans="1:6" ht="14.1" customHeight="1" x14ac:dyDescent="0.2">
      <c r="A45" s="354" t="s">
        <v>143</v>
      </c>
      <c r="B45" s="588">
        <f>'- 51 -'!C45</f>
        <v>1111880.2234999998</v>
      </c>
      <c r="C45" s="588">
        <f>+Data!Z45</f>
        <v>9338008</v>
      </c>
      <c r="D45" s="588">
        <f t="shared" si="0"/>
        <v>10449888.2235</v>
      </c>
      <c r="E45" s="589"/>
      <c r="F45" s="588">
        <f>+Data!W45</f>
        <v>346680</v>
      </c>
    </row>
    <row r="46" spans="1:6" ht="14.1" customHeight="1" x14ac:dyDescent="0.2">
      <c r="A46" s="237" t="s">
        <v>144</v>
      </c>
      <c r="B46" s="590">
        <f>'- 51 -'!C46</f>
        <v>50003149.973599993</v>
      </c>
      <c r="C46" s="590">
        <f>+Data!Z46</f>
        <v>191440649</v>
      </c>
      <c r="D46" s="590">
        <f t="shared" si="0"/>
        <v>241443798.9736</v>
      </c>
      <c r="E46" s="589"/>
      <c r="F46" s="590">
        <f>+Data!W46</f>
        <v>440963</v>
      </c>
    </row>
    <row r="47" spans="1:6" ht="5.0999999999999996" customHeight="1" x14ac:dyDescent="0.2">
      <c r="A47" s="130"/>
      <c r="B47" s="591"/>
      <c r="C47" s="591"/>
      <c r="D47" s="591"/>
      <c r="E47" s="589"/>
      <c r="F47" s="591"/>
    </row>
    <row r="48" spans="1:6" ht="14.1" customHeight="1" x14ac:dyDescent="0.2">
      <c r="A48" s="355" t="s">
        <v>145</v>
      </c>
      <c r="B48" s="592">
        <f>SUM(B11:B46)</f>
        <v>179613955.92150003</v>
      </c>
      <c r="C48" s="592">
        <f>+Data!Z48</f>
        <v>1075807908</v>
      </c>
      <c r="D48" s="592">
        <f>SUM(D11:D46)</f>
        <v>1255421863.9215002</v>
      </c>
      <c r="E48" s="589"/>
      <c r="F48" s="592">
        <f>+Data!W48</f>
        <v>455805.06645406026</v>
      </c>
    </row>
    <row r="49" spans="1:6" ht="50.1" customHeight="1" x14ac:dyDescent="0.2">
      <c r="A49" s="244" t="s">
        <v>7</v>
      </c>
      <c r="B49" s="23"/>
      <c r="C49" s="23"/>
      <c r="D49" s="23"/>
      <c r="E49" s="23"/>
      <c r="F49" s="23"/>
    </row>
    <row r="50" spans="1:6" ht="19.899999999999999" customHeight="1" x14ac:dyDescent="0.2">
      <c r="A50" s="672" t="s">
        <v>631</v>
      </c>
      <c r="B50" s="672"/>
      <c r="C50" s="672"/>
      <c r="D50" s="672"/>
      <c r="E50" s="672"/>
      <c r="F50" s="672"/>
    </row>
    <row r="51" spans="1:6" ht="12" customHeight="1" x14ac:dyDescent="0.2">
      <c r="A51" s="793"/>
      <c r="B51" s="793"/>
      <c r="C51" s="793"/>
      <c r="D51" s="793"/>
      <c r="E51" s="793"/>
      <c r="F51" s="793"/>
    </row>
    <row r="52" spans="1:6" ht="12" customHeight="1" x14ac:dyDescent="0.2">
      <c r="A52" s="793"/>
      <c r="B52" s="793"/>
      <c r="C52" s="793"/>
      <c r="D52" s="793"/>
      <c r="E52" s="793"/>
      <c r="F52" s="793"/>
    </row>
  </sheetData>
  <mergeCells count="3">
    <mergeCell ref="B7:B9"/>
    <mergeCell ref="F7:F9"/>
    <mergeCell ref="A50:F52"/>
  </mergeCells>
  <phoneticPr fontId="0" type="noConversion"/>
  <pageMargins left="0.5" right="0.5" top="0.6" bottom="0.2" header="0.3" footer="0.5"/>
  <pageSetup scale="88" orientation="portrait" r:id="rId1"/>
  <headerFooter alignWithMargins="0">
    <oddHeader>&amp;C&amp;"Arial,Regular"&amp;11&amp;A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55"/>
  <sheetViews>
    <sheetView showGridLines="0" showZeros="0" workbookViewId="0"/>
  </sheetViews>
  <sheetFormatPr defaultColWidth="15.83203125" defaultRowHeight="12" x14ac:dyDescent="0.2"/>
  <cols>
    <col min="1" max="1" width="34.83203125" style="2" customWidth="1"/>
    <col min="2" max="3" width="18.83203125" style="2" customWidth="1"/>
    <col min="4" max="4" width="1.83203125" style="2" customWidth="1"/>
    <col min="5" max="6" width="18.83203125" style="2" customWidth="1"/>
    <col min="7" max="7" width="21.1640625" style="2" customWidth="1"/>
    <col min="8" max="16384" width="15.83203125" style="2"/>
  </cols>
  <sheetData>
    <row r="1" spans="1:7" ht="6.95" customHeight="1" x14ac:dyDescent="0.2">
      <c r="A1" s="7"/>
      <c r="B1" s="7"/>
      <c r="C1" s="7"/>
      <c r="D1" s="8"/>
      <c r="E1" s="8"/>
    </row>
    <row r="2" spans="1:7" ht="15.95" customHeight="1" x14ac:dyDescent="0.2">
      <c r="A2" s="63"/>
      <c r="B2" s="9" t="s">
        <v>10</v>
      </c>
      <c r="C2" s="10"/>
      <c r="D2" s="10"/>
      <c r="E2" s="73"/>
      <c r="F2" s="81"/>
      <c r="G2" s="81" t="s">
        <v>12</v>
      </c>
    </row>
    <row r="3" spans="1:7" ht="15.95" customHeight="1" x14ac:dyDescent="0.2">
      <c r="A3" s="542"/>
      <c r="B3" s="11" t="str">
        <f>STATDATE</f>
        <v>ACTUAL SEPTEMBER 30, 2019</v>
      </c>
      <c r="C3" s="12"/>
      <c r="D3" s="12"/>
      <c r="E3" s="75"/>
      <c r="F3" s="75"/>
      <c r="G3" s="75"/>
    </row>
    <row r="4" spans="1:7" ht="15.95" customHeight="1" x14ac:dyDescent="0.2">
      <c r="D4" s="8"/>
      <c r="E4" s="8"/>
    </row>
    <row r="5" spans="1:7" ht="15.95" customHeight="1" x14ac:dyDescent="0.2"/>
    <row r="6" spans="1:7" ht="15.95" customHeight="1" x14ac:dyDescent="0.2">
      <c r="B6" s="492"/>
      <c r="C6" s="585"/>
      <c r="D6" s="184"/>
      <c r="E6" s="412"/>
    </row>
    <row r="7" spans="1:7" ht="15.95" customHeight="1" x14ac:dyDescent="0.2">
      <c r="B7" s="493" t="s">
        <v>334</v>
      </c>
      <c r="C7" s="494"/>
      <c r="D7" s="184"/>
      <c r="E7" s="413" t="s">
        <v>31</v>
      </c>
    </row>
    <row r="8" spans="1:7" ht="15.95" customHeight="1" x14ac:dyDescent="0.2">
      <c r="A8" s="33"/>
      <c r="B8" s="624" t="s">
        <v>452</v>
      </c>
      <c r="C8" s="138"/>
      <c r="D8" s="15"/>
      <c r="E8" s="623" t="s">
        <v>451</v>
      </c>
    </row>
    <row r="9" spans="1:7" ht="15.95" customHeight="1" x14ac:dyDescent="0.2">
      <c r="A9" s="82" t="s">
        <v>42</v>
      </c>
      <c r="B9" s="609"/>
      <c r="C9" s="78" t="s">
        <v>31</v>
      </c>
      <c r="D9" s="84"/>
      <c r="E9" s="604"/>
    </row>
    <row r="10" spans="1:7" ht="5.0999999999999996" customHeight="1" x14ac:dyDescent="0.2">
      <c r="A10" s="6"/>
      <c r="B10" s="85"/>
      <c r="C10" s="6"/>
      <c r="D10" s="86"/>
    </row>
    <row r="11" spans="1:7" ht="14.1" customHeight="1" x14ac:dyDescent="0.2">
      <c r="A11" s="284" t="s">
        <v>110</v>
      </c>
      <c r="B11" s="291">
        <v>0</v>
      </c>
      <c r="C11" s="291">
        <f>SUM('- 6 -'!B11:H11,B11)</f>
        <v>1980</v>
      </c>
      <c r="D11" s="87"/>
      <c r="E11" s="291">
        <f>C11</f>
        <v>1980</v>
      </c>
      <c r="G11" s="131"/>
    </row>
    <row r="12" spans="1:7" ht="14.1" customHeight="1" x14ac:dyDescent="0.2">
      <c r="A12" s="19" t="s">
        <v>111</v>
      </c>
      <c r="B12" s="70">
        <v>167.2</v>
      </c>
      <c r="C12" s="70">
        <f>SUM('- 6 -'!B12:H12,B12)</f>
        <v>2175.36</v>
      </c>
      <c r="D12" s="87"/>
      <c r="E12" s="70">
        <f t="shared" ref="E12:E46" si="0">C12</f>
        <v>2175.36</v>
      </c>
      <c r="G12" s="131"/>
    </row>
    <row r="13" spans="1:7" ht="14.1" customHeight="1" x14ac:dyDescent="0.2">
      <c r="A13" s="284" t="s">
        <v>112</v>
      </c>
      <c r="B13" s="291">
        <v>391</v>
      </c>
      <c r="C13" s="291">
        <f>SUM('- 6 -'!B13:H13,B13)</f>
        <v>8660</v>
      </c>
      <c r="D13" s="87"/>
      <c r="E13" s="291">
        <f t="shared" si="0"/>
        <v>8660</v>
      </c>
      <c r="G13" s="131"/>
    </row>
    <row r="14" spans="1:7" ht="14.1" customHeight="1" x14ac:dyDescent="0.2">
      <c r="A14" s="19" t="s">
        <v>358</v>
      </c>
      <c r="B14" s="70">
        <v>19.82</v>
      </c>
      <c r="C14" s="70">
        <f>SUM('- 6 -'!B14:H14,B14)</f>
        <v>5534.5199999999995</v>
      </c>
      <c r="D14" s="87"/>
      <c r="E14" s="70">
        <f t="shared" si="0"/>
        <v>5534.5199999999995</v>
      </c>
      <c r="G14" s="131"/>
    </row>
    <row r="15" spans="1:7" ht="14.1" customHeight="1" x14ac:dyDescent="0.2">
      <c r="A15" s="284" t="s">
        <v>113</v>
      </c>
      <c r="B15" s="291">
        <v>20</v>
      </c>
      <c r="C15" s="291">
        <f>SUM('- 6 -'!B15:H15,B15)</f>
        <v>1455.5</v>
      </c>
      <c r="D15" s="87"/>
      <c r="E15" s="291">
        <f t="shared" si="0"/>
        <v>1455.5</v>
      </c>
      <c r="G15" s="131"/>
    </row>
    <row r="16" spans="1:7" ht="14.1" customHeight="1" x14ac:dyDescent="0.2">
      <c r="A16" s="19" t="s">
        <v>114</v>
      </c>
      <c r="B16" s="70">
        <v>0</v>
      </c>
      <c r="C16" s="70">
        <f>SUM('- 6 -'!B16:H16,B16)</f>
        <v>910.1</v>
      </c>
      <c r="D16" s="87"/>
      <c r="E16" s="70">
        <f t="shared" si="0"/>
        <v>910.1</v>
      </c>
      <c r="G16" s="131"/>
    </row>
    <row r="17" spans="1:7" ht="14.1" customHeight="1" x14ac:dyDescent="0.2">
      <c r="A17" s="284" t="s">
        <v>115</v>
      </c>
      <c r="B17" s="291">
        <v>21</v>
      </c>
      <c r="C17" s="291">
        <f>SUM('- 6 -'!B17:H17,B17)</f>
        <v>1429.5</v>
      </c>
      <c r="D17" s="87"/>
      <c r="E17" s="291">
        <f t="shared" si="0"/>
        <v>1429.5</v>
      </c>
      <c r="G17" s="131"/>
    </row>
    <row r="18" spans="1:7" ht="14.1" customHeight="1" x14ac:dyDescent="0.2">
      <c r="A18" s="19" t="s">
        <v>116</v>
      </c>
      <c r="B18" s="70">
        <v>40</v>
      </c>
      <c r="C18" s="70">
        <f>SUM('- 6 -'!B18:H18,B18)</f>
        <v>5956.5</v>
      </c>
      <c r="D18" s="87"/>
      <c r="E18" s="70">
        <f t="shared" si="0"/>
        <v>5956.5</v>
      </c>
      <c r="G18" s="131"/>
    </row>
    <row r="19" spans="1:7" ht="14.1" customHeight="1" x14ac:dyDescent="0.2">
      <c r="A19" s="284" t="s">
        <v>117</v>
      </c>
      <c r="B19" s="291">
        <v>111.4</v>
      </c>
      <c r="C19" s="291">
        <f>SUM('- 6 -'!B19:H19,B19)</f>
        <v>4404.3</v>
      </c>
      <c r="D19" s="87"/>
      <c r="E19" s="291">
        <f t="shared" si="0"/>
        <v>4404.3</v>
      </c>
      <c r="G19" s="131"/>
    </row>
    <row r="20" spans="1:7" ht="14.1" customHeight="1" x14ac:dyDescent="0.2">
      <c r="A20" s="19" t="s">
        <v>118</v>
      </c>
      <c r="B20" s="70">
        <v>457</v>
      </c>
      <c r="C20" s="70">
        <f>SUM('- 6 -'!B20:H20,B20)</f>
        <v>8020.5</v>
      </c>
      <c r="D20" s="87"/>
      <c r="E20" s="70">
        <f t="shared" si="0"/>
        <v>8020.5</v>
      </c>
      <c r="G20" s="131"/>
    </row>
    <row r="21" spans="1:7" ht="14.1" customHeight="1" x14ac:dyDescent="0.2">
      <c r="A21" s="284" t="s">
        <v>119</v>
      </c>
      <c r="B21" s="291">
        <v>0</v>
      </c>
      <c r="C21" s="291">
        <f>SUM('- 6 -'!B21:H21,B21)</f>
        <v>2823</v>
      </c>
      <c r="D21" s="87"/>
      <c r="E21" s="291">
        <f t="shared" si="0"/>
        <v>2823</v>
      </c>
      <c r="G21" s="131"/>
    </row>
    <row r="22" spans="1:7" ht="14.1" customHeight="1" x14ac:dyDescent="0.2">
      <c r="A22" s="19" t="s">
        <v>120</v>
      </c>
      <c r="B22" s="70">
        <v>0</v>
      </c>
      <c r="C22" s="70">
        <f>SUM('- 6 -'!B22:H22,B22)</f>
        <v>1535</v>
      </c>
      <c r="D22" s="87"/>
      <c r="E22" s="70">
        <f t="shared" si="0"/>
        <v>1535</v>
      </c>
      <c r="G22" s="131"/>
    </row>
    <row r="23" spans="1:7" ht="14.1" customHeight="1" x14ac:dyDescent="0.2">
      <c r="A23" s="284" t="s">
        <v>121</v>
      </c>
      <c r="B23" s="291">
        <v>13</v>
      </c>
      <c r="C23" s="291">
        <f>SUM('- 6 -'!B23:H23,B23)</f>
        <v>938.8</v>
      </c>
      <c r="D23" s="87"/>
      <c r="E23" s="291">
        <f t="shared" si="0"/>
        <v>938.8</v>
      </c>
      <c r="G23" s="131"/>
    </row>
    <row r="24" spans="1:7" ht="14.1" customHeight="1" x14ac:dyDescent="0.2">
      <c r="A24" s="19" t="s">
        <v>122</v>
      </c>
      <c r="B24" s="70">
        <v>204</v>
      </c>
      <c r="C24" s="70">
        <f>SUM('- 6 -'!B24:H24,B24)</f>
        <v>3744.5</v>
      </c>
      <c r="D24" s="87"/>
      <c r="E24" s="70">
        <f t="shared" si="0"/>
        <v>3744.5</v>
      </c>
      <c r="G24" s="131"/>
    </row>
    <row r="25" spans="1:7" ht="14.1" customHeight="1" x14ac:dyDescent="0.2">
      <c r="A25" s="284" t="s">
        <v>123</v>
      </c>
      <c r="B25" s="291">
        <v>107.8</v>
      </c>
      <c r="C25" s="291">
        <f>SUM('- 6 -'!B25:H25,B25)</f>
        <v>15011.099999999999</v>
      </c>
      <c r="D25" s="87"/>
      <c r="E25" s="291">
        <f t="shared" si="0"/>
        <v>15011.099999999999</v>
      </c>
      <c r="G25" s="131"/>
    </row>
    <row r="26" spans="1:7" ht="14.1" customHeight="1" x14ac:dyDescent="0.2">
      <c r="A26" s="19" t="s">
        <v>124</v>
      </c>
      <c r="B26" s="70">
        <v>131.71</v>
      </c>
      <c r="C26" s="70">
        <f>SUM('- 6 -'!B26:H26,B26)</f>
        <v>3062.5</v>
      </c>
      <c r="D26" s="87"/>
      <c r="E26" s="70">
        <f t="shared" si="0"/>
        <v>3062.5</v>
      </c>
      <c r="G26" s="131"/>
    </row>
    <row r="27" spans="1:7" ht="14.1" customHeight="1" x14ac:dyDescent="0.2">
      <c r="A27" s="284" t="s">
        <v>125</v>
      </c>
      <c r="B27" s="291">
        <v>153.86000000000001</v>
      </c>
      <c r="C27" s="291">
        <f>SUM('- 6 -'!B27:H27,B27)</f>
        <v>3022.66</v>
      </c>
      <c r="D27" s="87"/>
      <c r="E27" s="291">
        <f t="shared" si="0"/>
        <v>3022.66</v>
      </c>
      <c r="G27" s="131"/>
    </row>
    <row r="28" spans="1:7" ht="14.1" customHeight="1" x14ac:dyDescent="0.2">
      <c r="A28" s="19" t="s">
        <v>126</v>
      </c>
      <c r="B28" s="70">
        <v>0</v>
      </c>
      <c r="C28" s="70">
        <f>SUM('- 6 -'!B28:H28,B28)</f>
        <v>1988</v>
      </c>
      <c r="D28" s="87"/>
      <c r="E28" s="70">
        <f t="shared" si="0"/>
        <v>1988</v>
      </c>
      <c r="G28" s="131"/>
    </row>
    <row r="29" spans="1:7" ht="14.1" customHeight="1" x14ac:dyDescent="0.2">
      <c r="A29" s="284" t="s">
        <v>127</v>
      </c>
      <c r="B29" s="291">
        <v>0</v>
      </c>
      <c r="C29" s="291">
        <f>SUM('- 6 -'!B29:H29,B29)</f>
        <v>14315.5</v>
      </c>
      <c r="D29" s="87"/>
      <c r="E29" s="291">
        <f t="shared" si="0"/>
        <v>14315.5</v>
      </c>
      <c r="G29" s="131"/>
    </row>
    <row r="30" spans="1:7" ht="14.1" customHeight="1" x14ac:dyDescent="0.2">
      <c r="A30" s="19" t="s">
        <v>128</v>
      </c>
      <c r="B30" s="70">
        <v>0</v>
      </c>
      <c r="C30" s="70">
        <f>SUM('- 6 -'!B30:H30,B30)</f>
        <v>1025.5</v>
      </c>
      <c r="D30" s="87"/>
      <c r="E30" s="70">
        <f t="shared" si="0"/>
        <v>1025.5</v>
      </c>
      <c r="G30" s="131"/>
    </row>
    <row r="31" spans="1:7" ht="14.1" customHeight="1" x14ac:dyDescent="0.2">
      <c r="A31" s="284" t="s">
        <v>129</v>
      </c>
      <c r="B31" s="291">
        <v>96</v>
      </c>
      <c r="C31" s="291">
        <f>SUM('- 6 -'!B31:H31,B31)</f>
        <v>3334</v>
      </c>
      <c r="D31" s="87"/>
      <c r="E31" s="291">
        <f t="shared" si="0"/>
        <v>3334</v>
      </c>
      <c r="G31" s="131"/>
    </row>
    <row r="32" spans="1:7" ht="14.1" customHeight="1" x14ac:dyDescent="0.2">
      <c r="A32" s="19" t="s">
        <v>130</v>
      </c>
      <c r="B32" s="70">
        <v>0</v>
      </c>
      <c r="C32" s="70">
        <f>SUM('- 6 -'!B32:H32,B32)</f>
        <v>2276</v>
      </c>
      <c r="D32" s="87"/>
      <c r="E32" s="70">
        <f t="shared" si="0"/>
        <v>2276</v>
      </c>
      <c r="G32" s="131"/>
    </row>
    <row r="33" spans="1:7" ht="14.1" customHeight="1" x14ac:dyDescent="0.2">
      <c r="A33" s="284" t="s">
        <v>131</v>
      </c>
      <c r="B33" s="291">
        <v>0</v>
      </c>
      <c r="C33" s="291">
        <f>SUM('- 6 -'!B33:H33,B33)</f>
        <v>2053.1999999999998</v>
      </c>
      <c r="D33" s="87"/>
      <c r="E33" s="291">
        <f t="shared" si="0"/>
        <v>2053.1999999999998</v>
      </c>
      <c r="G33" s="131"/>
    </row>
    <row r="34" spans="1:7" ht="14.1" customHeight="1" x14ac:dyDescent="0.2">
      <c r="A34" s="19" t="s">
        <v>132</v>
      </c>
      <c r="B34" s="70">
        <v>25.72</v>
      </c>
      <c r="C34" s="70">
        <f>SUM('- 6 -'!B34:H34,B34)</f>
        <v>2223.7999999999997</v>
      </c>
      <c r="D34" s="87"/>
      <c r="E34" s="70">
        <f t="shared" si="0"/>
        <v>2223.7999999999997</v>
      </c>
      <c r="G34" s="131"/>
    </row>
    <row r="35" spans="1:7" ht="14.1" customHeight="1" x14ac:dyDescent="0.2">
      <c r="A35" s="284" t="s">
        <v>133</v>
      </c>
      <c r="B35" s="291">
        <v>638</v>
      </c>
      <c r="C35" s="291">
        <f>SUM('- 6 -'!B35:H35,B35)</f>
        <v>16214.5</v>
      </c>
      <c r="D35" s="87"/>
      <c r="E35" s="291">
        <f t="shared" si="0"/>
        <v>16214.5</v>
      </c>
      <c r="G35" s="131"/>
    </row>
    <row r="36" spans="1:7" ht="14.1" customHeight="1" x14ac:dyDescent="0.2">
      <c r="A36" s="19" t="s">
        <v>134</v>
      </c>
      <c r="B36" s="70">
        <v>9.6999999999999993</v>
      </c>
      <c r="C36" s="70">
        <f>SUM('- 6 -'!B36:H36,B36)</f>
        <v>1716.5</v>
      </c>
      <c r="D36" s="87"/>
      <c r="E36" s="70">
        <f t="shared" si="0"/>
        <v>1716.5</v>
      </c>
      <c r="G36" s="131"/>
    </row>
    <row r="37" spans="1:7" ht="14.1" customHeight="1" x14ac:dyDescent="0.2">
      <c r="A37" s="284" t="s">
        <v>135</v>
      </c>
      <c r="B37" s="291">
        <v>0</v>
      </c>
      <c r="C37" s="291">
        <f>SUM('- 6 -'!B37:H37,B37)</f>
        <v>4277.3999999999996</v>
      </c>
      <c r="D37" s="87"/>
      <c r="E37" s="291">
        <f t="shared" si="0"/>
        <v>4277.3999999999996</v>
      </c>
      <c r="G37" s="131"/>
    </row>
    <row r="38" spans="1:7" ht="14.1" customHeight="1" x14ac:dyDescent="0.2">
      <c r="A38" s="19" t="s">
        <v>136</v>
      </c>
      <c r="B38" s="70">
        <v>196.3</v>
      </c>
      <c r="C38" s="70">
        <f>SUM('- 6 -'!B38:H38,B38)</f>
        <v>11462</v>
      </c>
      <c r="D38" s="87"/>
      <c r="E38" s="70">
        <f t="shared" si="0"/>
        <v>11462</v>
      </c>
      <c r="G38" s="131"/>
    </row>
    <row r="39" spans="1:7" ht="14.1" customHeight="1" x14ac:dyDescent="0.2">
      <c r="A39" s="284" t="s">
        <v>137</v>
      </c>
      <c r="B39" s="291">
        <v>0</v>
      </c>
      <c r="C39" s="291">
        <f>SUM('- 6 -'!B39:H39,B39)</f>
        <v>1497</v>
      </c>
      <c r="D39" s="87"/>
      <c r="E39" s="291">
        <f t="shared" si="0"/>
        <v>1497</v>
      </c>
      <c r="G39" s="131"/>
    </row>
    <row r="40" spans="1:7" ht="14.1" customHeight="1" x14ac:dyDescent="0.2">
      <c r="A40" s="19" t="s">
        <v>138</v>
      </c>
      <c r="B40" s="70">
        <v>229.1</v>
      </c>
      <c r="C40" s="70">
        <f>SUM('- 6 -'!B40:H40,B40)</f>
        <v>8160.0700000000006</v>
      </c>
      <c r="D40" s="87"/>
      <c r="E40" s="70">
        <f t="shared" si="0"/>
        <v>8160.0700000000006</v>
      </c>
      <c r="G40" s="131"/>
    </row>
    <row r="41" spans="1:7" ht="14.1" customHeight="1" x14ac:dyDescent="0.2">
      <c r="A41" s="284" t="s">
        <v>139</v>
      </c>
      <c r="B41" s="291">
        <v>0</v>
      </c>
      <c r="C41" s="291">
        <f>SUM('- 6 -'!B41:H41,B41)</f>
        <v>4498</v>
      </c>
      <c r="D41" s="87"/>
      <c r="E41" s="291">
        <f t="shared" si="0"/>
        <v>4498</v>
      </c>
      <c r="G41" s="131"/>
    </row>
    <row r="42" spans="1:7" ht="14.1" customHeight="1" x14ac:dyDescent="0.2">
      <c r="A42" s="19" t="s">
        <v>140</v>
      </c>
      <c r="B42" s="70">
        <v>153.4</v>
      </c>
      <c r="C42" s="70">
        <f>SUM('- 6 -'!B42:H42,B42)</f>
        <v>1370.1000000000001</v>
      </c>
      <c r="D42" s="87"/>
      <c r="E42" s="70">
        <f t="shared" si="0"/>
        <v>1370.1000000000001</v>
      </c>
      <c r="G42" s="131"/>
    </row>
    <row r="43" spans="1:7" ht="14.1" customHeight="1" x14ac:dyDescent="0.2">
      <c r="A43" s="284" t="s">
        <v>141</v>
      </c>
      <c r="B43" s="291">
        <v>11.5</v>
      </c>
      <c r="C43" s="291">
        <f>SUM('- 6 -'!B43:H43,B43)</f>
        <v>1002.5</v>
      </c>
      <c r="D43" s="87"/>
      <c r="E43" s="291">
        <f t="shared" si="0"/>
        <v>1002.5</v>
      </c>
      <c r="G43" s="131"/>
    </row>
    <row r="44" spans="1:7" ht="14.1" customHeight="1" x14ac:dyDescent="0.2">
      <c r="A44" s="19" t="s">
        <v>142</v>
      </c>
      <c r="B44" s="70">
        <v>0</v>
      </c>
      <c r="C44" s="70">
        <f>SUM('- 6 -'!B44:H44,B44)</f>
        <v>692</v>
      </c>
      <c r="D44" s="87"/>
      <c r="E44" s="70">
        <f t="shared" si="0"/>
        <v>692</v>
      </c>
      <c r="G44" s="131"/>
    </row>
    <row r="45" spans="1:7" ht="14.1" customHeight="1" x14ac:dyDescent="0.2">
      <c r="A45" s="284" t="s">
        <v>143</v>
      </c>
      <c r="B45" s="291">
        <v>48</v>
      </c>
      <c r="C45" s="291">
        <f>SUM('- 6 -'!B45:H45,B45)</f>
        <v>1915</v>
      </c>
      <c r="D45" s="87"/>
      <c r="E45" s="291">
        <f t="shared" si="0"/>
        <v>1915</v>
      </c>
      <c r="G45" s="131"/>
    </row>
    <row r="46" spans="1:7" ht="14.1" customHeight="1" x14ac:dyDescent="0.2">
      <c r="A46" s="19" t="s">
        <v>144</v>
      </c>
      <c r="B46" s="70">
        <v>698</v>
      </c>
      <c r="C46" s="70">
        <f>SUM('- 6 -'!B46:H46,B46)</f>
        <v>29539.7</v>
      </c>
      <c r="D46" s="87"/>
      <c r="E46" s="70">
        <f t="shared" si="0"/>
        <v>29539.7</v>
      </c>
      <c r="G46" s="131"/>
    </row>
    <row r="47" spans="1:7" ht="5.0999999999999996" customHeight="1" x14ac:dyDescent="0.2">
      <c r="A47"/>
      <c r="B47"/>
      <c r="C47"/>
      <c r="D47"/>
      <c r="E47"/>
      <c r="F47"/>
      <c r="G47" s="131"/>
    </row>
    <row r="48" spans="1:7" ht="14.1" customHeight="1" x14ac:dyDescent="0.2">
      <c r="A48" s="286" t="s">
        <v>145</v>
      </c>
      <c r="B48" s="294">
        <f>SUM(B11:B46)</f>
        <v>3943.51</v>
      </c>
      <c r="C48" s="294">
        <f>SUM(C11:C46)</f>
        <v>180224.61000000002</v>
      </c>
      <c r="D48" s="88"/>
      <c r="E48" s="294">
        <f>SUM(E11:E46)</f>
        <v>180224.61000000002</v>
      </c>
      <c r="G48" s="131"/>
    </row>
    <row r="49" spans="1:7" ht="5.0999999999999996" customHeight="1" x14ac:dyDescent="0.2">
      <c r="A49" s="21" t="s">
        <v>7</v>
      </c>
      <c r="B49" s="71"/>
      <c r="C49" s="71"/>
      <c r="D49" s="86"/>
      <c r="E49" s="71"/>
      <c r="G49" s="131"/>
    </row>
    <row r="50" spans="1:7" ht="14.1" customHeight="1" x14ac:dyDescent="0.2">
      <c r="A50" s="19" t="s">
        <v>146</v>
      </c>
      <c r="B50" s="70">
        <v>0</v>
      </c>
      <c r="C50" s="70">
        <f>SUM('- 6 -'!B50:H50,B50)</f>
        <v>190</v>
      </c>
      <c r="D50" s="87"/>
      <c r="E50" s="70">
        <f>C50</f>
        <v>190</v>
      </c>
      <c r="G50" s="131"/>
    </row>
    <row r="51" spans="1:7" ht="14.1" customHeight="1" x14ac:dyDescent="0.2">
      <c r="A51" s="284" t="s">
        <v>599</v>
      </c>
      <c r="B51" s="291">
        <v>1129</v>
      </c>
      <c r="C51" s="291">
        <f>SUM('- 6 -'!B51:H51,B51)</f>
        <v>1234</v>
      </c>
      <c r="D51" s="87"/>
      <c r="E51" s="291">
        <f>C51</f>
        <v>1234</v>
      </c>
      <c r="G51" s="131"/>
    </row>
    <row r="52" spans="1:7" ht="50.1" customHeight="1" x14ac:dyDescent="0.2">
      <c r="A52" s="433"/>
      <c r="B52" s="433"/>
      <c r="C52" s="433"/>
      <c r="D52" s="433"/>
      <c r="E52" s="433"/>
      <c r="F52" s="433"/>
      <c r="G52" s="433"/>
    </row>
    <row r="53" spans="1:7" x14ac:dyDescent="0.2">
      <c r="A53" s="625" t="s">
        <v>453</v>
      </c>
      <c r="B53" s="625"/>
      <c r="C53" s="625"/>
      <c r="D53" s="625"/>
      <c r="E53" s="625"/>
      <c r="F53" s="625"/>
      <c r="G53" s="625"/>
    </row>
    <row r="54" spans="1:7" x14ac:dyDescent="0.2">
      <c r="A54" s="626"/>
      <c r="B54" s="626"/>
      <c r="C54" s="626"/>
      <c r="D54" s="626"/>
      <c r="E54" s="626"/>
      <c r="F54" s="626"/>
      <c r="G54" s="626"/>
    </row>
    <row r="55" spans="1:7" x14ac:dyDescent="0.2">
      <c r="A55" s="25"/>
    </row>
  </sheetData>
  <mergeCells count="3">
    <mergeCell ref="E8:E9"/>
    <mergeCell ref="B8:B9"/>
    <mergeCell ref="A53:G54"/>
  </mergeCells>
  <phoneticPr fontId="6" type="noConversion"/>
  <pageMargins left="0.51181102362204722" right="0.51181102362204722" top="0.59055118110236227" bottom="0.19685039370078741" header="0.31496062992125984" footer="0.51181102362204722"/>
  <pageSetup scale="88" orientation="portrait" r:id="rId1"/>
  <headerFooter alignWithMargins="0">
    <oddHeader>&amp;C&amp;"Arial,Regular"&amp;11&amp;A</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G54"/>
  <sheetViews>
    <sheetView showGridLines="0" showZeros="0" workbookViewId="0"/>
  </sheetViews>
  <sheetFormatPr defaultColWidth="19.83203125" defaultRowHeight="12" x14ac:dyDescent="0.2"/>
  <cols>
    <col min="1" max="1" width="32.83203125" style="2" customWidth="1"/>
    <col min="2" max="2" width="19" style="2" customWidth="1"/>
    <col min="3" max="3" width="19.33203125" style="2" customWidth="1"/>
    <col min="4" max="4" width="15" style="2" customWidth="1"/>
    <col min="5" max="5" width="16" style="2" customWidth="1"/>
    <col min="6" max="6" width="17.1640625" style="2" customWidth="1"/>
    <col min="7" max="7" width="15.6640625" style="2" customWidth="1"/>
    <col min="8" max="16384" width="19.83203125" style="2"/>
  </cols>
  <sheetData>
    <row r="1" spans="1:7" ht="6.95" customHeight="1" x14ac:dyDescent="0.2">
      <c r="A1" s="7"/>
      <c r="B1" s="7"/>
      <c r="C1" s="7"/>
      <c r="D1" s="7"/>
      <c r="E1" s="7"/>
      <c r="F1" s="7"/>
      <c r="G1" s="7"/>
    </row>
    <row r="2" spans="1:7" ht="15.95" customHeight="1" x14ac:dyDescent="0.2">
      <c r="A2" s="261"/>
      <c r="B2" s="266" t="str">
        <f>REVYEAR</f>
        <v>ANALYSIS OF OPERATING FUND REVENUE: 2019/2020 ACTUAL</v>
      </c>
      <c r="C2" s="266"/>
      <c r="D2" s="267"/>
      <c r="E2" s="264"/>
      <c r="F2" s="264"/>
      <c r="G2" s="215" t="s">
        <v>98</v>
      </c>
    </row>
    <row r="3" spans="1:7" ht="9.75" customHeight="1" x14ac:dyDescent="0.2">
      <c r="A3" s="537"/>
      <c r="B3" s="7"/>
      <c r="C3" s="7"/>
      <c r="D3" s="7"/>
      <c r="E3" s="7"/>
      <c r="F3" s="7"/>
      <c r="G3" s="7"/>
    </row>
    <row r="4" spans="1:7" ht="15.95" customHeight="1" x14ac:dyDescent="0.2">
      <c r="B4" s="797" t="s">
        <v>564</v>
      </c>
      <c r="C4" s="798"/>
      <c r="D4" s="798"/>
      <c r="E4" s="798"/>
      <c r="F4" s="798"/>
      <c r="G4" s="799"/>
    </row>
    <row r="5" spans="1:7" ht="15.95" customHeight="1" x14ac:dyDescent="0.2">
      <c r="B5" s="800"/>
      <c r="C5" s="801"/>
      <c r="D5" s="801"/>
      <c r="E5" s="801"/>
      <c r="F5" s="801"/>
      <c r="G5" s="802"/>
    </row>
    <row r="6" spans="1:7" ht="15.95" customHeight="1" x14ac:dyDescent="0.2">
      <c r="B6" s="794" t="s">
        <v>51</v>
      </c>
      <c r="C6" s="795"/>
      <c r="D6" s="795"/>
      <c r="E6" s="795"/>
      <c r="F6" s="795"/>
      <c r="G6" s="796"/>
    </row>
    <row r="7" spans="1:7" ht="15.95" customHeight="1" x14ac:dyDescent="0.2">
      <c r="B7" s="220"/>
      <c r="C7" s="803" t="s">
        <v>364</v>
      </c>
      <c r="D7" s="33"/>
      <c r="E7" s="33"/>
      <c r="F7" s="33"/>
      <c r="G7" s="33"/>
    </row>
    <row r="8" spans="1:7" ht="20.25" customHeight="1" x14ac:dyDescent="0.2">
      <c r="A8" s="67"/>
      <c r="B8" s="806" t="s">
        <v>560</v>
      </c>
      <c r="C8" s="804"/>
      <c r="D8" s="533"/>
      <c r="E8" s="808" t="s">
        <v>561</v>
      </c>
      <c r="F8" s="808" t="s">
        <v>562</v>
      </c>
      <c r="G8" s="808" t="s">
        <v>563</v>
      </c>
    </row>
    <row r="9" spans="1:7" ht="13.5" x14ac:dyDescent="0.2">
      <c r="A9" s="35" t="s">
        <v>42</v>
      </c>
      <c r="B9" s="807"/>
      <c r="C9" s="805"/>
      <c r="D9" s="534" t="s">
        <v>386</v>
      </c>
      <c r="E9" s="809"/>
      <c r="F9" s="809"/>
      <c r="G9" s="809"/>
    </row>
    <row r="10" spans="1:7" ht="5.0999999999999996" customHeight="1" x14ac:dyDescent="0.2">
      <c r="A10" s="6"/>
      <c r="E10" s="7"/>
      <c r="F10" s="7"/>
      <c r="G10" s="7"/>
    </row>
    <row r="11" spans="1:7" ht="14.1" customHeight="1" x14ac:dyDescent="0.2">
      <c r="A11" s="354" t="s">
        <v>110</v>
      </c>
      <c r="B11" s="352">
        <v>3493458</v>
      </c>
      <c r="C11" s="352">
        <v>92935</v>
      </c>
      <c r="D11" s="352">
        <v>199205</v>
      </c>
      <c r="E11" s="352">
        <v>108774</v>
      </c>
      <c r="F11" s="352">
        <v>112400</v>
      </c>
      <c r="G11" s="352">
        <v>166787</v>
      </c>
    </row>
    <row r="12" spans="1:7" ht="14.1" customHeight="1" x14ac:dyDescent="0.2">
      <c r="A12" s="237" t="s">
        <v>111</v>
      </c>
      <c r="B12" s="151">
        <v>3931658</v>
      </c>
      <c r="C12" s="151">
        <v>0</v>
      </c>
      <c r="D12" s="151">
        <v>393276</v>
      </c>
      <c r="E12" s="151">
        <v>122418</v>
      </c>
      <c r="F12" s="151">
        <v>126499</v>
      </c>
      <c r="G12" s="151">
        <v>187708</v>
      </c>
    </row>
    <row r="13" spans="1:7" ht="14.1" customHeight="1" x14ac:dyDescent="0.2">
      <c r="A13" s="354" t="s">
        <v>112</v>
      </c>
      <c r="B13" s="352">
        <v>16428446</v>
      </c>
      <c r="C13" s="352">
        <v>0</v>
      </c>
      <c r="D13" s="352">
        <v>125661</v>
      </c>
      <c r="E13" s="352">
        <v>511524</v>
      </c>
      <c r="F13" s="352">
        <v>528575</v>
      </c>
      <c r="G13" s="352">
        <v>784337</v>
      </c>
    </row>
    <row r="14" spans="1:7" ht="14.1" customHeight="1" x14ac:dyDescent="0.2">
      <c r="A14" s="237" t="s">
        <v>358</v>
      </c>
      <c r="B14" s="151">
        <v>10388650</v>
      </c>
      <c r="C14" s="151">
        <v>77327</v>
      </c>
      <c r="D14" s="151">
        <v>757668</v>
      </c>
      <c r="E14" s="151">
        <v>323466</v>
      </c>
      <c r="F14" s="151">
        <v>334248</v>
      </c>
      <c r="G14" s="151">
        <v>495981</v>
      </c>
    </row>
    <row r="15" spans="1:7" ht="14.1" customHeight="1" x14ac:dyDescent="0.2">
      <c r="A15" s="354" t="s">
        <v>113</v>
      </c>
      <c r="B15" s="352">
        <v>2698571</v>
      </c>
      <c r="C15" s="352">
        <v>0</v>
      </c>
      <c r="D15" s="352">
        <v>245847</v>
      </c>
      <c r="E15" s="352">
        <v>84024</v>
      </c>
      <c r="F15" s="352">
        <v>86825</v>
      </c>
      <c r="G15" s="352">
        <v>128837</v>
      </c>
    </row>
    <row r="16" spans="1:7" ht="14.1" customHeight="1" x14ac:dyDescent="0.2">
      <c r="A16" s="237" t="s">
        <v>114</v>
      </c>
      <c r="B16" s="151">
        <v>1741815</v>
      </c>
      <c r="C16" s="151">
        <v>0</v>
      </c>
      <c r="D16" s="151">
        <v>0</v>
      </c>
      <c r="E16" s="151">
        <v>54234</v>
      </c>
      <c r="F16" s="151">
        <v>56042</v>
      </c>
      <c r="G16" s="151">
        <v>83159</v>
      </c>
    </row>
    <row r="17" spans="1:7" ht="14.1" customHeight="1" x14ac:dyDescent="0.2">
      <c r="A17" s="354" t="s">
        <v>115</v>
      </c>
      <c r="B17" s="352">
        <v>2613976</v>
      </c>
      <c r="C17" s="352">
        <v>61542</v>
      </c>
      <c r="D17" s="352">
        <v>279809</v>
      </c>
      <c r="E17" s="352">
        <v>81390</v>
      </c>
      <c r="F17" s="352">
        <v>84103</v>
      </c>
      <c r="G17" s="352">
        <v>124798</v>
      </c>
    </row>
    <row r="18" spans="1:7" ht="14.1" customHeight="1" x14ac:dyDescent="0.2">
      <c r="A18" s="237" t="s">
        <v>116</v>
      </c>
      <c r="B18" s="151">
        <v>4108557</v>
      </c>
      <c r="C18" s="151">
        <v>0</v>
      </c>
      <c r="D18" s="151">
        <v>953057</v>
      </c>
      <c r="E18" s="151">
        <v>127926</v>
      </c>
      <c r="F18" s="151">
        <v>132190</v>
      </c>
      <c r="G18" s="151">
        <v>196153</v>
      </c>
    </row>
    <row r="19" spans="1:7" ht="14.1" customHeight="1" x14ac:dyDescent="0.2">
      <c r="A19" s="354" t="s">
        <v>117</v>
      </c>
      <c r="B19" s="352">
        <v>8422532</v>
      </c>
      <c r="C19" s="352">
        <v>2263</v>
      </c>
      <c r="D19" s="352">
        <v>197607</v>
      </c>
      <c r="E19" s="352">
        <v>262248</v>
      </c>
      <c r="F19" s="352">
        <v>270990</v>
      </c>
      <c r="G19" s="352">
        <v>402114</v>
      </c>
    </row>
    <row r="20" spans="1:7" ht="14.1" customHeight="1" x14ac:dyDescent="0.2">
      <c r="A20" s="237" t="s">
        <v>118</v>
      </c>
      <c r="B20" s="151">
        <v>15181484</v>
      </c>
      <c r="C20" s="151">
        <v>0</v>
      </c>
      <c r="D20" s="151">
        <v>240052</v>
      </c>
      <c r="E20" s="151">
        <v>472698</v>
      </c>
      <c r="F20" s="151">
        <v>488455</v>
      </c>
      <c r="G20" s="151">
        <v>724804</v>
      </c>
    </row>
    <row r="21" spans="1:7" ht="14.1" customHeight="1" x14ac:dyDescent="0.2">
      <c r="A21" s="354" t="s">
        <v>119</v>
      </c>
      <c r="B21" s="352">
        <v>5464587</v>
      </c>
      <c r="C21" s="352">
        <v>31434</v>
      </c>
      <c r="D21" s="352">
        <v>484124</v>
      </c>
      <c r="E21" s="352">
        <v>170148</v>
      </c>
      <c r="F21" s="352">
        <v>175820</v>
      </c>
      <c r="G21" s="352">
        <v>260894</v>
      </c>
    </row>
    <row r="22" spans="1:7" ht="14.1" customHeight="1" x14ac:dyDescent="0.2">
      <c r="A22" s="237" t="s">
        <v>120</v>
      </c>
      <c r="B22" s="151">
        <v>2829992</v>
      </c>
      <c r="C22" s="151">
        <v>0</v>
      </c>
      <c r="D22" s="151">
        <v>25643</v>
      </c>
      <c r="E22" s="151">
        <v>88116</v>
      </c>
      <c r="F22" s="151">
        <v>91053</v>
      </c>
      <c r="G22" s="151">
        <v>135111</v>
      </c>
    </row>
    <row r="23" spans="1:7" ht="14.1" customHeight="1" x14ac:dyDescent="0.2">
      <c r="A23" s="354" t="s">
        <v>121</v>
      </c>
      <c r="B23" s="352">
        <v>1808490</v>
      </c>
      <c r="C23" s="352">
        <v>17948</v>
      </c>
      <c r="D23" s="352">
        <v>355747</v>
      </c>
      <c r="E23" s="352">
        <v>56310</v>
      </c>
      <c r="F23" s="352">
        <v>58187</v>
      </c>
      <c r="G23" s="352">
        <v>86342</v>
      </c>
    </row>
    <row r="24" spans="1:7" ht="14.1" customHeight="1" x14ac:dyDescent="0.2">
      <c r="A24" s="237" t="s">
        <v>122</v>
      </c>
      <c r="B24" s="151">
        <v>7238005</v>
      </c>
      <c r="C24" s="151">
        <v>0</v>
      </c>
      <c r="D24" s="151">
        <v>342974</v>
      </c>
      <c r="E24" s="151">
        <v>225366</v>
      </c>
      <c r="F24" s="151">
        <v>232878</v>
      </c>
      <c r="G24" s="151">
        <v>345561</v>
      </c>
    </row>
    <row r="25" spans="1:7" ht="14.1" customHeight="1" x14ac:dyDescent="0.2">
      <c r="A25" s="354" t="s">
        <v>123</v>
      </c>
      <c r="B25" s="352">
        <v>28056542</v>
      </c>
      <c r="C25" s="352">
        <v>40790</v>
      </c>
      <c r="D25" s="352">
        <v>0</v>
      </c>
      <c r="E25" s="352">
        <v>873582</v>
      </c>
      <c r="F25" s="352">
        <v>902701</v>
      </c>
      <c r="G25" s="352">
        <v>1339492</v>
      </c>
    </row>
    <row r="26" spans="1:7" ht="14.1" customHeight="1" x14ac:dyDescent="0.2">
      <c r="A26" s="237" t="s">
        <v>124</v>
      </c>
      <c r="B26" s="151">
        <v>5552651</v>
      </c>
      <c r="C26" s="151">
        <v>18384</v>
      </c>
      <c r="D26" s="151">
        <v>533542</v>
      </c>
      <c r="E26" s="151">
        <v>172890</v>
      </c>
      <c r="F26" s="151">
        <v>178653</v>
      </c>
      <c r="G26" s="151">
        <v>265098</v>
      </c>
    </row>
    <row r="27" spans="1:7" ht="14.1" customHeight="1" x14ac:dyDescent="0.2">
      <c r="A27" s="354" t="s">
        <v>125</v>
      </c>
      <c r="B27" s="352">
        <v>5641100</v>
      </c>
      <c r="C27" s="352">
        <v>0</v>
      </c>
      <c r="D27" s="352">
        <v>0</v>
      </c>
      <c r="E27" s="352">
        <v>175644</v>
      </c>
      <c r="F27" s="352">
        <v>181499</v>
      </c>
      <c r="G27" s="352">
        <v>269321</v>
      </c>
    </row>
    <row r="28" spans="1:7" ht="14.1" customHeight="1" x14ac:dyDescent="0.2">
      <c r="A28" s="237" t="s">
        <v>126</v>
      </c>
      <c r="B28" s="151">
        <v>2859090</v>
      </c>
      <c r="C28" s="151">
        <v>77947</v>
      </c>
      <c r="D28" s="151">
        <v>508021</v>
      </c>
      <c r="E28" s="151">
        <v>89022</v>
      </c>
      <c r="F28" s="151">
        <v>91989</v>
      </c>
      <c r="G28" s="151">
        <v>136500</v>
      </c>
    </row>
    <row r="29" spans="1:7" ht="14.1" customHeight="1" x14ac:dyDescent="0.2">
      <c r="A29" s="354" t="s">
        <v>127</v>
      </c>
      <c r="B29" s="352">
        <v>26325132</v>
      </c>
      <c r="C29" s="352">
        <v>37321</v>
      </c>
      <c r="D29" s="352">
        <v>0</v>
      </c>
      <c r="E29" s="352">
        <v>819672</v>
      </c>
      <c r="F29" s="352">
        <v>846994</v>
      </c>
      <c r="G29" s="352">
        <v>1256830</v>
      </c>
    </row>
    <row r="30" spans="1:7" ht="14.1" customHeight="1" x14ac:dyDescent="0.2">
      <c r="A30" s="237" t="s">
        <v>128</v>
      </c>
      <c r="B30" s="151">
        <v>1972285</v>
      </c>
      <c r="C30" s="151">
        <v>42705</v>
      </c>
      <c r="D30" s="151">
        <v>332415</v>
      </c>
      <c r="E30" s="151">
        <v>61410</v>
      </c>
      <c r="F30" s="151">
        <v>63457</v>
      </c>
      <c r="G30" s="151">
        <v>94162</v>
      </c>
    </row>
    <row r="31" spans="1:7" ht="14.1" customHeight="1" x14ac:dyDescent="0.2">
      <c r="A31" s="354" t="s">
        <v>129</v>
      </c>
      <c r="B31" s="352">
        <v>5864246</v>
      </c>
      <c r="C31" s="352">
        <v>0</v>
      </c>
      <c r="D31" s="352">
        <v>207416</v>
      </c>
      <c r="E31" s="352">
        <v>145729</v>
      </c>
      <c r="F31" s="352">
        <v>188678</v>
      </c>
      <c r="G31" s="352">
        <v>279974</v>
      </c>
    </row>
    <row r="32" spans="1:7" ht="14.1" customHeight="1" x14ac:dyDescent="0.2">
      <c r="A32" s="237" t="s">
        <v>130</v>
      </c>
      <c r="B32" s="151">
        <v>4289502</v>
      </c>
      <c r="C32" s="151">
        <v>0</v>
      </c>
      <c r="D32" s="151">
        <v>636952</v>
      </c>
      <c r="E32" s="151">
        <v>133560</v>
      </c>
      <c r="F32" s="151">
        <v>138012</v>
      </c>
      <c r="G32" s="151">
        <v>204792</v>
      </c>
    </row>
    <row r="33" spans="1:7" ht="14.1" customHeight="1" x14ac:dyDescent="0.2">
      <c r="A33" s="354" t="s">
        <v>131</v>
      </c>
      <c r="B33" s="352">
        <v>3846870</v>
      </c>
      <c r="C33" s="352">
        <v>26686</v>
      </c>
      <c r="D33" s="352">
        <v>804964</v>
      </c>
      <c r="E33" s="352">
        <v>119778</v>
      </c>
      <c r="F33" s="352">
        <v>123771</v>
      </c>
      <c r="G33" s="352">
        <v>183660</v>
      </c>
    </row>
    <row r="34" spans="1:7" ht="14.1" customHeight="1" x14ac:dyDescent="0.2">
      <c r="A34" s="237" t="s">
        <v>132</v>
      </c>
      <c r="B34" s="151">
        <v>4202016</v>
      </c>
      <c r="C34" s="151">
        <v>102836</v>
      </c>
      <c r="D34" s="151">
        <v>599162</v>
      </c>
      <c r="E34" s="151">
        <v>124770</v>
      </c>
      <c r="F34" s="151">
        <v>135197</v>
      </c>
      <c r="G34" s="151">
        <v>200615</v>
      </c>
    </row>
    <row r="35" spans="1:7" ht="14.1" customHeight="1" x14ac:dyDescent="0.2">
      <c r="A35" s="354" t="s">
        <v>133</v>
      </c>
      <c r="B35" s="352">
        <v>30638337</v>
      </c>
      <c r="C35" s="352">
        <v>0</v>
      </c>
      <c r="D35" s="352">
        <v>0</v>
      </c>
      <c r="E35" s="352">
        <v>857498</v>
      </c>
      <c r="F35" s="352">
        <v>985769</v>
      </c>
      <c r="G35" s="352">
        <v>1462754</v>
      </c>
    </row>
    <row r="36" spans="1:7" ht="14.1" customHeight="1" x14ac:dyDescent="0.2">
      <c r="A36" s="237" t="s">
        <v>134</v>
      </c>
      <c r="B36" s="151">
        <v>3042155</v>
      </c>
      <c r="C36" s="151">
        <v>61828</v>
      </c>
      <c r="D36" s="151">
        <v>476711</v>
      </c>
      <c r="E36" s="151">
        <v>94722</v>
      </c>
      <c r="F36" s="151">
        <v>97879</v>
      </c>
      <c r="G36" s="151">
        <v>145240</v>
      </c>
    </row>
    <row r="37" spans="1:7" ht="14.1" customHeight="1" x14ac:dyDescent="0.2">
      <c r="A37" s="354" t="s">
        <v>135</v>
      </c>
      <c r="B37" s="352">
        <v>8342561</v>
      </c>
      <c r="C37" s="352">
        <v>0</v>
      </c>
      <c r="D37" s="352">
        <v>459639</v>
      </c>
      <c r="E37" s="352">
        <v>259758</v>
      </c>
      <c r="F37" s="352">
        <v>268417</v>
      </c>
      <c r="G37" s="352">
        <v>398296</v>
      </c>
    </row>
    <row r="38" spans="1:7" ht="14.1" customHeight="1" x14ac:dyDescent="0.2">
      <c r="A38" s="237" t="s">
        <v>136</v>
      </c>
      <c r="B38" s="151">
        <v>21445005</v>
      </c>
      <c r="C38" s="151">
        <v>0</v>
      </c>
      <c r="D38" s="151">
        <v>0</v>
      </c>
      <c r="E38" s="151">
        <v>667722</v>
      </c>
      <c r="F38" s="151">
        <v>689979</v>
      </c>
      <c r="G38" s="151">
        <v>1023840</v>
      </c>
    </row>
    <row r="39" spans="1:7" ht="14.1" customHeight="1" x14ac:dyDescent="0.2">
      <c r="A39" s="354" t="s">
        <v>137</v>
      </c>
      <c r="B39" s="352">
        <v>2862366</v>
      </c>
      <c r="C39" s="352">
        <v>0</v>
      </c>
      <c r="D39" s="352">
        <v>535253</v>
      </c>
      <c r="E39" s="352">
        <v>89124</v>
      </c>
      <c r="F39" s="352">
        <v>92095</v>
      </c>
      <c r="G39" s="352">
        <v>136657</v>
      </c>
    </row>
    <row r="40" spans="1:7" ht="14.1" customHeight="1" x14ac:dyDescent="0.2">
      <c r="A40" s="237" t="s">
        <v>138</v>
      </c>
      <c r="B40" s="151">
        <v>15533932</v>
      </c>
      <c r="C40" s="151">
        <v>0</v>
      </c>
      <c r="D40" s="151">
        <v>0</v>
      </c>
      <c r="E40" s="151">
        <v>483672</v>
      </c>
      <c r="F40" s="151">
        <v>499794</v>
      </c>
      <c r="G40" s="151">
        <v>741630</v>
      </c>
    </row>
    <row r="41" spans="1:7" ht="14.1" customHeight="1" x14ac:dyDescent="0.2">
      <c r="A41" s="354" t="s">
        <v>139</v>
      </c>
      <c r="B41" s="352">
        <v>8467246</v>
      </c>
      <c r="C41" s="352">
        <v>0</v>
      </c>
      <c r="D41" s="352">
        <v>482419</v>
      </c>
      <c r="E41" s="352">
        <v>263754</v>
      </c>
      <c r="F41" s="352">
        <v>272546</v>
      </c>
      <c r="G41" s="352">
        <v>404423</v>
      </c>
    </row>
    <row r="42" spans="1:7" ht="14.1" customHeight="1" x14ac:dyDescent="0.2">
      <c r="A42" s="237" t="s">
        <v>140</v>
      </c>
      <c r="B42" s="151">
        <v>2610122</v>
      </c>
      <c r="C42" s="151">
        <v>53291</v>
      </c>
      <c r="D42" s="151">
        <v>261394</v>
      </c>
      <c r="E42" s="151">
        <v>81270</v>
      </c>
      <c r="F42" s="151">
        <v>83979</v>
      </c>
      <c r="G42" s="151">
        <v>124614</v>
      </c>
    </row>
    <row r="43" spans="1:7" ht="14.1" customHeight="1" x14ac:dyDescent="0.2">
      <c r="A43" s="354" t="s">
        <v>141</v>
      </c>
      <c r="B43" s="352">
        <v>1910621</v>
      </c>
      <c r="C43" s="352">
        <v>36235</v>
      </c>
      <c r="D43" s="352">
        <v>240575</v>
      </c>
      <c r="E43" s="352">
        <v>59490</v>
      </c>
      <c r="F43" s="352">
        <v>61473</v>
      </c>
      <c r="G43" s="352">
        <v>91218</v>
      </c>
    </row>
    <row r="44" spans="1:7" ht="14.1" customHeight="1" x14ac:dyDescent="0.2">
      <c r="A44" s="237" t="s">
        <v>142</v>
      </c>
      <c r="B44" s="151">
        <v>1364701</v>
      </c>
      <c r="C44" s="151">
        <v>17172</v>
      </c>
      <c r="D44" s="151">
        <v>301859</v>
      </c>
      <c r="E44" s="151">
        <v>42492</v>
      </c>
      <c r="F44" s="151">
        <v>43908</v>
      </c>
      <c r="G44" s="151">
        <v>65154</v>
      </c>
    </row>
    <row r="45" spans="1:7" ht="14.1" customHeight="1" x14ac:dyDescent="0.2">
      <c r="A45" s="354" t="s">
        <v>143</v>
      </c>
      <c r="B45" s="352">
        <v>3428326</v>
      </c>
      <c r="C45" s="352">
        <v>0</v>
      </c>
      <c r="D45" s="352">
        <v>0</v>
      </c>
      <c r="E45" s="352">
        <v>106746</v>
      </c>
      <c r="F45" s="352">
        <v>110304</v>
      </c>
      <c r="G45" s="352">
        <v>163677</v>
      </c>
    </row>
    <row r="46" spans="1:7" ht="14.1" customHeight="1" x14ac:dyDescent="0.2">
      <c r="A46" s="237" t="s">
        <v>144</v>
      </c>
      <c r="B46" s="151">
        <v>56853011</v>
      </c>
      <c r="C46" s="151">
        <v>0</v>
      </c>
      <c r="D46" s="151">
        <v>0</v>
      </c>
      <c r="E46" s="151">
        <v>1648668</v>
      </c>
      <c r="F46" s="151">
        <v>1829236</v>
      </c>
      <c r="G46" s="151">
        <v>2714350</v>
      </c>
    </row>
    <row r="47" spans="1:7" ht="5.0999999999999996" customHeight="1" x14ac:dyDescent="0.2">
      <c r="A47" s="130"/>
      <c r="B47" s="152"/>
      <c r="C47" s="152"/>
      <c r="D47" s="152"/>
      <c r="E47" s="152"/>
      <c r="F47" s="152"/>
      <c r="G47" s="152"/>
    </row>
    <row r="48" spans="1:7" ht="14.1" customHeight="1" x14ac:dyDescent="0.2">
      <c r="A48" s="355" t="s">
        <v>145</v>
      </c>
      <c r="B48" s="356">
        <f t="shared" ref="B48:G48" si="0">SUM(B11:B46)</f>
        <v>331458038</v>
      </c>
      <c r="C48" s="356">
        <f t="shared" si="0"/>
        <v>798644</v>
      </c>
      <c r="D48" s="356">
        <f t="shared" si="0"/>
        <v>10980992</v>
      </c>
      <c r="E48" s="356">
        <f t="shared" si="0"/>
        <v>10059615</v>
      </c>
      <c r="F48" s="356">
        <f t="shared" si="0"/>
        <v>10664595</v>
      </c>
      <c r="G48" s="356">
        <f t="shared" si="0"/>
        <v>15824883</v>
      </c>
    </row>
    <row r="49" spans="1:7" ht="5.0999999999999996" customHeight="1" x14ac:dyDescent="0.2">
      <c r="A49" s="130" t="s">
        <v>7</v>
      </c>
      <c r="B49" s="152"/>
      <c r="C49" s="152"/>
      <c r="D49" s="152"/>
      <c r="E49" s="152"/>
      <c r="F49" s="152"/>
      <c r="G49" s="152"/>
    </row>
    <row r="50" spans="1:7" ht="14.1" customHeight="1" x14ac:dyDescent="0.2">
      <c r="A50" s="237" t="s">
        <v>146</v>
      </c>
      <c r="B50" s="151">
        <v>217098</v>
      </c>
      <c r="C50" s="151">
        <v>32902</v>
      </c>
      <c r="D50" s="151">
        <v>0</v>
      </c>
      <c r="E50" s="151">
        <v>10590</v>
      </c>
      <c r="F50" s="151">
        <v>10943</v>
      </c>
      <c r="G50" s="151">
        <v>16238</v>
      </c>
    </row>
    <row r="51" spans="1:7" ht="14.1" customHeight="1" x14ac:dyDescent="0.2">
      <c r="A51" s="354" t="s">
        <v>599</v>
      </c>
      <c r="B51" s="352">
        <v>0</v>
      </c>
      <c r="C51" s="352">
        <v>0</v>
      </c>
      <c r="D51" s="352">
        <v>0</v>
      </c>
      <c r="E51" s="352">
        <v>0</v>
      </c>
      <c r="F51" s="352">
        <v>0</v>
      </c>
      <c r="G51" s="352">
        <v>0</v>
      </c>
    </row>
    <row r="52" spans="1:7" ht="50.1" customHeight="1" x14ac:dyDescent="0.2">
      <c r="A52" s="23"/>
      <c r="B52" s="23"/>
      <c r="C52" s="23"/>
      <c r="D52" s="23"/>
      <c r="E52" s="23"/>
      <c r="F52" s="23"/>
      <c r="G52" s="23"/>
    </row>
    <row r="53" spans="1:7" ht="15" customHeight="1" x14ac:dyDescent="0.2">
      <c r="A53" s="38" t="str">
        <f>"(1)  Based on a grant per eligible pupil at "&amp;Data!C89&amp;" "&amp;Data!B89</f>
        <v>(1)  Based on a grant per eligible pupil at September 30, 2018</v>
      </c>
      <c r="D53" s="38"/>
      <c r="E53" s="38"/>
      <c r="F53" s="38"/>
      <c r="G53" s="38"/>
    </row>
    <row r="54" spans="1:7" ht="12" customHeight="1" x14ac:dyDescent="0.2">
      <c r="A54" s="38" t="s">
        <v>356</v>
      </c>
      <c r="D54" s="38"/>
      <c r="E54" s="38"/>
      <c r="F54" s="38"/>
      <c r="G54" s="38"/>
    </row>
  </sheetData>
  <mergeCells count="7">
    <mergeCell ref="B6:G6"/>
    <mergeCell ref="B4:G5"/>
    <mergeCell ref="C7:C9"/>
    <mergeCell ref="B8:B9"/>
    <mergeCell ref="E8:E9"/>
    <mergeCell ref="F8:F9"/>
    <mergeCell ref="G8:G9"/>
  </mergeCells>
  <phoneticPr fontId="6" type="noConversion"/>
  <pageMargins left="0.5" right="0.5" top="0.6" bottom="0.2" header="0.3" footer="0.5"/>
  <pageSetup scale="87" orientation="portrait" r:id="rId1"/>
  <headerFooter alignWithMargins="0">
    <oddHeader>&amp;C&amp;"Arial,Regular"&amp;11&amp;A</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1">
    <pageSetUpPr fitToPage="1"/>
  </sheetPr>
  <dimension ref="A1:G54"/>
  <sheetViews>
    <sheetView showGridLines="0" showZeros="0" workbookViewId="0"/>
  </sheetViews>
  <sheetFormatPr defaultColWidth="19.83203125" defaultRowHeight="12" x14ac:dyDescent="0.2"/>
  <cols>
    <col min="1" max="1" width="32.83203125" style="2" customWidth="1"/>
    <col min="2" max="2" width="16.33203125" style="2" customWidth="1"/>
    <col min="3" max="3" width="16.6640625" style="2" customWidth="1"/>
    <col min="4" max="4" width="18.33203125" style="2" customWidth="1"/>
    <col min="5" max="5" width="15.83203125" style="2" customWidth="1"/>
    <col min="6" max="6" width="15.1640625" style="2" customWidth="1"/>
    <col min="7" max="7" width="15.83203125" style="2" customWidth="1"/>
    <col min="8" max="16384" width="19.83203125" style="2"/>
  </cols>
  <sheetData>
    <row r="1" spans="1:7" ht="6.95" customHeight="1" x14ac:dyDescent="0.2">
      <c r="A1" s="7"/>
      <c r="B1" s="7"/>
      <c r="C1" s="7"/>
      <c r="D1" s="7"/>
      <c r="E1" s="7"/>
      <c r="F1" s="7"/>
      <c r="G1" s="7"/>
    </row>
    <row r="2" spans="1:7" ht="15.95" customHeight="1" x14ac:dyDescent="0.2">
      <c r="A2" s="261"/>
      <c r="B2" s="266" t="str">
        <f>REVYEAR</f>
        <v>ANALYSIS OF OPERATING FUND REVENUE: 2019/2020 ACTUAL</v>
      </c>
      <c r="C2" s="267"/>
      <c r="D2" s="264"/>
      <c r="E2" s="264"/>
      <c r="F2" s="268"/>
      <c r="G2" s="215" t="s">
        <v>99</v>
      </c>
    </row>
    <row r="3" spans="1:7" ht="15.95" customHeight="1" x14ac:dyDescent="0.2">
      <c r="A3" s="537"/>
      <c r="B3" s="205"/>
      <c r="C3" s="7"/>
      <c r="D3" s="7"/>
      <c r="E3" s="7"/>
      <c r="F3" s="7"/>
      <c r="G3" s="7"/>
    </row>
    <row r="4" spans="1:7" ht="15.95" customHeight="1" x14ac:dyDescent="0.2">
      <c r="B4" s="810" t="s">
        <v>569</v>
      </c>
      <c r="C4" s="798"/>
      <c r="D4" s="798"/>
      <c r="E4" s="798"/>
      <c r="F4" s="798"/>
      <c r="G4" s="799"/>
    </row>
    <row r="5" spans="1:7" ht="15.95" customHeight="1" x14ac:dyDescent="0.2">
      <c r="B5" s="800"/>
      <c r="C5" s="801"/>
      <c r="D5" s="801"/>
      <c r="E5" s="801"/>
      <c r="F5" s="801"/>
      <c r="G5" s="802"/>
    </row>
    <row r="6" spans="1:7" ht="15.95" customHeight="1" x14ac:dyDescent="0.2">
      <c r="B6" s="811" t="s">
        <v>51</v>
      </c>
      <c r="C6" s="812"/>
      <c r="D6" s="812"/>
      <c r="E6" s="812"/>
      <c r="F6" s="812"/>
      <c r="G6" s="813"/>
    </row>
    <row r="7" spans="1:7" ht="12.6" customHeight="1" x14ac:dyDescent="0.2">
      <c r="B7" s="220"/>
      <c r="C7" s="33"/>
      <c r="D7" s="33"/>
      <c r="E7" s="33"/>
      <c r="F7" s="33"/>
      <c r="G7" s="703" t="s">
        <v>568</v>
      </c>
    </row>
    <row r="8" spans="1:7" ht="18" customHeight="1" x14ac:dyDescent="0.2">
      <c r="A8" s="67"/>
      <c r="B8" s="806" t="s">
        <v>604</v>
      </c>
      <c r="C8" s="808" t="s">
        <v>565</v>
      </c>
      <c r="D8" s="808" t="s">
        <v>566</v>
      </c>
      <c r="E8" s="808" t="s">
        <v>567</v>
      </c>
      <c r="F8" s="269"/>
      <c r="G8" s="808"/>
    </row>
    <row r="9" spans="1:7" ht="15.95" customHeight="1" x14ac:dyDescent="0.2">
      <c r="A9" s="35" t="s">
        <v>42</v>
      </c>
      <c r="B9" s="807"/>
      <c r="C9" s="809"/>
      <c r="D9" s="809"/>
      <c r="E9" s="809"/>
      <c r="F9" s="83" t="s">
        <v>66</v>
      </c>
      <c r="G9" s="809"/>
    </row>
    <row r="10" spans="1:7" ht="5.0999999999999996" customHeight="1" x14ac:dyDescent="0.2">
      <c r="A10" s="6"/>
      <c r="B10" s="7"/>
      <c r="F10" s="7"/>
      <c r="G10" s="7"/>
    </row>
    <row r="11" spans="1:7" ht="14.1" customHeight="1" x14ac:dyDescent="0.2">
      <c r="A11" s="354" t="s">
        <v>110</v>
      </c>
      <c r="B11" s="352">
        <v>566245</v>
      </c>
      <c r="C11" s="352">
        <v>150471</v>
      </c>
      <c r="D11" s="352">
        <v>83393</v>
      </c>
      <c r="E11" s="352">
        <v>35750</v>
      </c>
      <c r="F11" s="352">
        <v>893475</v>
      </c>
      <c r="G11" s="352">
        <f>SUM('- 57 -'!$B11:G11,B11:F11)</f>
        <v>5902893</v>
      </c>
    </row>
    <row r="12" spans="1:7" ht="14.1" customHeight="1" x14ac:dyDescent="0.2">
      <c r="A12" s="237" t="s">
        <v>111</v>
      </c>
      <c r="B12" s="151">
        <v>683663</v>
      </c>
      <c r="C12" s="151">
        <v>169345</v>
      </c>
      <c r="D12" s="151">
        <v>93854</v>
      </c>
      <c r="E12" s="151">
        <v>41263</v>
      </c>
      <c r="F12" s="151">
        <v>1220940</v>
      </c>
      <c r="G12" s="151">
        <f>SUM('- 57 -'!$B12:G12,B12:F12)</f>
        <v>6970624</v>
      </c>
    </row>
    <row r="13" spans="1:7" ht="14.1" customHeight="1" x14ac:dyDescent="0.2">
      <c r="A13" s="354" t="s">
        <v>112</v>
      </c>
      <c r="B13" s="352">
        <v>2906566</v>
      </c>
      <c r="C13" s="352">
        <v>707608</v>
      </c>
      <c r="D13" s="352">
        <v>392168</v>
      </c>
      <c r="E13" s="352">
        <v>190375</v>
      </c>
      <c r="F13" s="352">
        <v>3009600</v>
      </c>
      <c r="G13" s="352">
        <f>SUM('- 57 -'!$B13:G13,B13:F13)</f>
        <v>25584860</v>
      </c>
    </row>
    <row r="14" spans="1:7" ht="14.1" customHeight="1" x14ac:dyDescent="0.2">
      <c r="A14" s="237" t="s">
        <v>358</v>
      </c>
      <c r="B14" s="151">
        <v>1716276</v>
      </c>
      <c r="C14" s="151">
        <v>447461</v>
      </c>
      <c r="D14" s="151">
        <v>210253</v>
      </c>
      <c r="E14" s="151">
        <v>81000</v>
      </c>
      <c r="F14" s="151">
        <v>2738565</v>
      </c>
      <c r="G14" s="151">
        <f>SUM('- 57 -'!$B14:G14,B14:F14)</f>
        <v>17570895</v>
      </c>
    </row>
    <row r="15" spans="1:7" ht="14.1" customHeight="1" x14ac:dyDescent="0.2">
      <c r="A15" s="354" t="s">
        <v>113</v>
      </c>
      <c r="B15" s="352">
        <v>480432</v>
      </c>
      <c r="C15" s="352">
        <v>116233</v>
      </c>
      <c r="D15" s="352">
        <v>54616</v>
      </c>
      <c r="E15" s="352">
        <v>35000</v>
      </c>
      <c r="F15" s="352">
        <v>846450</v>
      </c>
      <c r="G15" s="352">
        <f>SUM('- 57 -'!$B15:G15,B15:F15)</f>
        <v>4776835</v>
      </c>
    </row>
    <row r="16" spans="1:7" ht="14.1" customHeight="1" x14ac:dyDescent="0.2">
      <c r="A16" s="237" t="s">
        <v>114</v>
      </c>
      <c r="B16" s="151">
        <v>325443</v>
      </c>
      <c r="C16" s="151">
        <v>75024</v>
      </c>
      <c r="D16" s="151">
        <v>46099</v>
      </c>
      <c r="E16" s="151">
        <v>24000</v>
      </c>
      <c r="F16" s="151">
        <v>590805</v>
      </c>
      <c r="G16" s="151">
        <f>SUM('- 57 -'!$B16:G16,B16:F16)</f>
        <v>2996621</v>
      </c>
    </row>
    <row r="17" spans="1:7" ht="14.1" customHeight="1" x14ac:dyDescent="0.2">
      <c r="A17" s="354" t="s">
        <v>115</v>
      </c>
      <c r="B17" s="352">
        <v>435025</v>
      </c>
      <c r="C17" s="352">
        <v>112590</v>
      </c>
      <c r="D17" s="352">
        <v>46199</v>
      </c>
      <c r="E17" s="352">
        <v>24625</v>
      </c>
      <c r="F17" s="352">
        <v>846450</v>
      </c>
      <c r="G17" s="352">
        <f>SUM('- 57 -'!$B17:G17,B17:F17)</f>
        <v>4710507</v>
      </c>
    </row>
    <row r="18" spans="1:7" ht="14.1" customHeight="1" x14ac:dyDescent="0.2">
      <c r="A18" s="237" t="s">
        <v>116</v>
      </c>
      <c r="B18" s="151">
        <v>1312282</v>
      </c>
      <c r="C18" s="151">
        <v>176964</v>
      </c>
      <c r="D18" s="151">
        <v>83152</v>
      </c>
      <c r="E18" s="151">
        <v>28500</v>
      </c>
      <c r="F18" s="151">
        <v>4180095</v>
      </c>
      <c r="G18" s="151">
        <f>SUM('- 57 -'!$B18:G18,B18:F18)</f>
        <v>11298876</v>
      </c>
    </row>
    <row r="19" spans="1:7" ht="14.1" customHeight="1" x14ac:dyDescent="0.2">
      <c r="A19" s="354" t="s">
        <v>117</v>
      </c>
      <c r="B19" s="352">
        <v>1394924</v>
      </c>
      <c r="C19" s="352">
        <v>362776</v>
      </c>
      <c r="D19" s="352">
        <v>201057</v>
      </c>
      <c r="E19" s="352">
        <v>91963</v>
      </c>
      <c r="F19" s="352">
        <v>1676655</v>
      </c>
      <c r="G19" s="352">
        <f>SUM('- 57 -'!$B19:G19,B19:F19)</f>
        <v>13285129</v>
      </c>
    </row>
    <row r="20" spans="1:7" ht="14.1" customHeight="1" x14ac:dyDescent="0.2">
      <c r="A20" s="237" t="s">
        <v>118</v>
      </c>
      <c r="B20" s="151">
        <v>2595316</v>
      </c>
      <c r="C20" s="151">
        <v>653899</v>
      </c>
      <c r="D20" s="151">
        <v>307254</v>
      </c>
      <c r="E20" s="151">
        <v>144000</v>
      </c>
      <c r="F20" s="151">
        <v>2804400</v>
      </c>
      <c r="G20" s="151">
        <f>SUM('- 57 -'!$B20:G20,B20:F20)</f>
        <v>23612362</v>
      </c>
    </row>
    <row r="21" spans="1:7" ht="14.1" customHeight="1" x14ac:dyDescent="0.2">
      <c r="A21" s="354" t="s">
        <v>119</v>
      </c>
      <c r="B21" s="352">
        <v>894430</v>
      </c>
      <c r="C21" s="352">
        <v>235371</v>
      </c>
      <c r="D21" s="352">
        <v>110596</v>
      </c>
      <c r="E21" s="352">
        <v>57625</v>
      </c>
      <c r="F21" s="352">
        <v>1527885</v>
      </c>
      <c r="G21" s="352">
        <f>SUM('- 57 -'!$B21:G21,B21:F21)</f>
        <v>9412914</v>
      </c>
    </row>
    <row r="22" spans="1:7" ht="14.1" customHeight="1" x14ac:dyDescent="0.2">
      <c r="A22" s="237" t="s">
        <v>120</v>
      </c>
      <c r="B22" s="151">
        <v>498992</v>
      </c>
      <c r="C22" s="151">
        <v>121894</v>
      </c>
      <c r="D22" s="151">
        <v>74899</v>
      </c>
      <c r="E22" s="151">
        <v>27750</v>
      </c>
      <c r="F22" s="151">
        <v>918270</v>
      </c>
      <c r="G22" s="151">
        <f>SUM('- 57 -'!$B22:G22,B22:F22)</f>
        <v>4811720</v>
      </c>
    </row>
    <row r="23" spans="1:7" ht="14.1" customHeight="1" x14ac:dyDescent="0.2">
      <c r="A23" s="354" t="s">
        <v>121</v>
      </c>
      <c r="B23" s="352">
        <v>336842</v>
      </c>
      <c r="C23" s="352">
        <v>77896</v>
      </c>
      <c r="D23" s="352">
        <v>43171</v>
      </c>
      <c r="E23" s="352">
        <v>18875</v>
      </c>
      <c r="F23" s="352">
        <v>796005</v>
      </c>
      <c r="G23" s="352">
        <f>SUM('- 57 -'!$B23:G23,B23:F23)</f>
        <v>3655813</v>
      </c>
    </row>
    <row r="24" spans="1:7" ht="14.1" customHeight="1" x14ac:dyDescent="0.2">
      <c r="A24" s="237" t="s">
        <v>122</v>
      </c>
      <c r="B24" s="151">
        <v>1295768</v>
      </c>
      <c r="C24" s="151">
        <v>311756</v>
      </c>
      <c r="D24" s="151">
        <v>146488</v>
      </c>
      <c r="E24" s="151">
        <v>90125</v>
      </c>
      <c r="F24" s="151">
        <v>2004975</v>
      </c>
      <c r="G24" s="151">
        <f>SUM('- 57 -'!$B24:G24,B24:F24)</f>
        <v>12233896</v>
      </c>
    </row>
    <row r="25" spans="1:7" ht="14.1" customHeight="1" x14ac:dyDescent="0.2">
      <c r="A25" s="354" t="s">
        <v>123</v>
      </c>
      <c r="B25" s="352">
        <v>5051358</v>
      </c>
      <c r="C25" s="352">
        <v>1208455</v>
      </c>
      <c r="D25" s="352">
        <v>567828</v>
      </c>
      <c r="E25" s="352">
        <v>301625</v>
      </c>
      <c r="F25" s="352">
        <v>6473205</v>
      </c>
      <c r="G25" s="352">
        <f>SUM('- 57 -'!$B25:G25,B25:F25)</f>
        <v>44815578</v>
      </c>
    </row>
    <row r="26" spans="1:7" ht="14.1" customHeight="1" x14ac:dyDescent="0.2">
      <c r="A26" s="237" t="s">
        <v>124</v>
      </c>
      <c r="B26" s="151">
        <v>1008494</v>
      </c>
      <c r="C26" s="151">
        <v>239165</v>
      </c>
      <c r="D26" s="151">
        <v>132549</v>
      </c>
      <c r="E26" s="151">
        <v>62763</v>
      </c>
      <c r="F26" s="151">
        <v>2255490</v>
      </c>
      <c r="G26" s="151">
        <f>SUM('- 57 -'!$B26:G26,B26:F26)</f>
        <v>10419679</v>
      </c>
    </row>
    <row r="27" spans="1:7" ht="14.1" customHeight="1" x14ac:dyDescent="0.2">
      <c r="A27" s="354" t="s">
        <v>125</v>
      </c>
      <c r="B27" s="352">
        <v>1090626</v>
      </c>
      <c r="C27" s="352">
        <v>242974</v>
      </c>
      <c r="D27" s="352">
        <v>149297</v>
      </c>
      <c r="E27" s="352">
        <v>63125</v>
      </c>
      <c r="F27" s="352">
        <v>1284210</v>
      </c>
      <c r="G27" s="352">
        <f>SUM('- 57 -'!$B27:G27,B27:F27)</f>
        <v>9097796</v>
      </c>
    </row>
    <row r="28" spans="1:7" ht="14.1" customHeight="1" x14ac:dyDescent="0.2">
      <c r="A28" s="237" t="s">
        <v>126</v>
      </c>
      <c r="B28" s="151">
        <v>484035</v>
      </c>
      <c r="C28" s="151">
        <v>123147</v>
      </c>
      <c r="D28" s="151">
        <v>68250</v>
      </c>
      <c r="E28" s="151">
        <v>28000</v>
      </c>
      <c r="F28" s="151">
        <v>1274805</v>
      </c>
      <c r="G28" s="151">
        <f>SUM('- 57 -'!$B28:G28,B28:F28)</f>
        <v>5740806</v>
      </c>
    </row>
    <row r="29" spans="1:7" ht="14.1" customHeight="1" x14ac:dyDescent="0.2">
      <c r="A29" s="354" t="s">
        <v>127</v>
      </c>
      <c r="B29" s="352">
        <v>4430871</v>
      </c>
      <c r="C29" s="352">
        <v>1133880</v>
      </c>
      <c r="D29" s="352">
        <v>532787</v>
      </c>
      <c r="E29" s="352">
        <v>301750</v>
      </c>
      <c r="F29" s="352">
        <v>5129145</v>
      </c>
      <c r="G29" s="352">
        <f>SUM('- 57 -'!$B29:G29,B29:F29)</f>
        <v>40814382</v>
      </c>
    </row>
    <row r="30" spans="1:7" ht="14.1" customHeight="1" x14ac:dyDescent="0.2">
      <c r="A30" s="237" t="s">
        <v>128</v>
      </c>
      <c r="B30" s="151">
        <v>339367</v>
      </c>
      <c r="C30" s="151">
        <v>84951</v>
      </c>
      <c r="D30" s="151">
        <v>47081</v>
      </c>
      <c r="E30" s="151">
        <v>19000</v>
      </c>
      <c r="F30" s="151">
        <v>790020</v>
      </c>
      <c r="G30" s="151">
        <f>SUM('- 57 -'!$B30:G30,B30:F30)</f>
        <v>3846853</v>
      </c>
    </row>
    <row r="31" spans="1:7" ht="14.1" customHeight="1" x14ac:dyDescent="0.2">
      <c r="A31" s="354" t="s">
        <v>129</v>
      </c>
      <c r="B31" s="352">
        <v>1065192</v>
      </c>
      <c r="C31" s="352">
        <v>252586</v>
      </c>
      <c r="D31" s="352">
        <v>118685</v>
      </c>
      <c r="E31" s="352">
        <v>71000</v>
      </c>
      <c r="F31" s="352">
        <v>1792935</v>
      </c>
      <c r="G31" s="352">
        <f>SUM('- 57 -'!$B31:G31,B31:F31)</f>
        <v>9986441</v>
      </c>
    </row>
    <row r="32" spans="1:7" ht="14.1" customHeight="1" x14ac:dyDescent="0.2">
      <c r="A32" s="237" t="s">
        <v>130</v>
      </c>
      <c r="B32" s="151">
        <v>714715</v>
      </c>
      <c r="C32" s="151">
        <v>184758</v>
      </c>
      <c r="D32" s="151">
        <v>86814</v>
      </c>
      <c r="E32" s="151">
        <v>39000</v>
      </c>
      <c r="F32" s="151">
        <v>1407330</v>
      </c>
      <c r="G32" s="151">
        <f>SUM('- 57 -'!$B32:G32,B32:F32)</f>
        <v>7835435</v>
      </c>
    </row>
    <row r="33" spans="1:7" ht="14.1" customHeight="1" x14ac:dyDescent="0.2">
      <c r="A33" s="354" t="s">
        <v>131</v>
      </c>
      <c r="B33" s="352">
        <v>619546</v>
      </c>
      <c r="C33" s="352">
        <v>165693</v>
      </c>
      <c r="D33" s="352">
        <v>91830</v>
      </c>
      <c r="E33" s="352">
        <v>39750</v>
      </c>
      <c r="F33" s="352">
        <v>1742490</v>
      </c>
      <c r="G33" s="352">
        <f>SUM('- 57 -'!$B33:G33,B33:F33)</f>
        <v>7765038</v>
      </c>
    </row>
    <row r="34" spans="1:7" ht="14.1" customHeight="1" x14ac:dyDescent="0.2">
      <c r="A34" s="237" t="s">
        <v>132</v>
      </c>
      <c r="B34" s="151">
        <v>695291</v>
      </c>
      <c r="C34" s="151">
        <v>180990</v>
      </c>
      <c r="D34" s="151">
        <v>85043</v>
      </c>
      <c r="E34" s="151">
        <v>44375</v>
      </c>
      <c r="F34" s="151">
        <v>1179900</v>
      </c>
      <c r="G34" s="151">
        <f>SUM('- 57 -'!$B34:G34,B34:F34)</f>
        <v>7550195</v>
      </c>
    </row>
    <row r="35" spans="1:7" ht="14.1" customHeight="1" x14ac:dyDescent="0.2">
      <c r="A35" s="354" t="s">
        <v>133</v>
      </c>
      <c r="B35" s="352">
        <v>5341662</v>
      </c>
      <c r="C35" s="352">
        <v>1319659</v>
      </c>
      <c r="D35" s="352">
        <v>620081</v>
      </c>
      <c r="E35" s="352">
        <v>341688</v>
      </c>
      <c r="F35" s="352">
        <v>6882750</v>
      </c>
      <c r="G35" s="352">
        <f>SUM('- 57 -'!$B35:G35,B35:F35)</f>
        <v>48450198</v>
      </c>
    </row>
    <row r="36" spans="1:7" ht="14.1" customHeight="1" x14ac:dyDescent="0.2">
      <c r="A36" s="237" t="s">
        <v>134</v>
      </c>
      <c r="B36" s="151">
        <v>507807</v>
      </c>
      <c r="C36" s="151">
        <v>131032</v>
      </c>
      <c r="D36" s="151">
        <v>72620</v>
      </c>
      <c r="E36" s="151">
        <v>26875</v>
      </c>
      <c r="F36" s="151">
        <v>1158525</v>
      </c>
      <c r="G36" s="151">
        <f>SUM('- 57 -'!$B36:G36,B36:F36)</f>
        <v>5815394</v>
      </c>
    </row>
    <row r="37" spans="1:7" ht="14.1" customHeight="1" x14ac:dyDescent="0.2">
      <c r="A37" s="354" t="s">
        <v>135</v>
      </c>
      <c r="B37" s="352">
        <v>1422465</v>
      </c>
      <c r="C37" s="352">
        <v>359332</v>
      </c>
      <c r="D37" s="352">
        <v>168843</v>
      </c>
      <c r="E37" s="352">
        <v>83250</v>
      </c>
      <c r="F37" s="352">
        <v>1710000</v>
      </c>
      <c r="G37" s="352">
        <f>SUM('- 57 -'!$B37:G37,B37:F37)</f>
        <v>13472561</v>
      </c>
    </row>
    <row r="38" spans="1:7" ht="14.1" customHeight="1" x14ac:dyDescent="0.2">
      <c r="A38" s="237" t="s">
        <v>136</v>
      </c>
      <c r="B38" s="151">
        <v>3809389</v>
      </c>
      <c r="C38" s="151">
        <v>923682</v>
      </c>
      <c r="D38" s="151">
        <v>434019</v>
      </c>
      <c r="E38" s="151">
        <v>262750</v>
      </c>
      <c r="F38" s="151">
        <v>3732930</v>
      </c>
      <c r="G38" s="151">
        <f>SUM('- 57 -'!$B38:G38,B38:F38)</f>
        <v>32989316</v>
      </c>
    </row>
    <row r="39" spans="1:7" ht="14.1" customHeight="1" x14ac:dyDescent="0.2">
      <c r="A39" s="354" t="s">
        <v>137</v>
      </c>
      <c r="B39" s="352">
        <v>464730</v>
      </c>
      <c r="C39" s="352">
        <v>123288</v>
      </c>
      <c r="D39" s="352">
        <v>68328</v>
      </c>
      <c r="E39" s="352">
        <v>26638</v>
      </c>
      <c r="F39" s="352">
        <v>1031130</v>
      </c>
      <c r="G39" s="352">
        <f>SUM('- 57 -'!$B39:G39,B39:F39)</f>
        <v>5429609</v>
      </c>
    </row>
    <row r="40" spans="1:7" ht="14.1" customHeight="1" x14ac:dyDescent="0.2">
      <c r="A40" s="237" t="s">
        <v>138</v>
      </c>
      <c r="B40" s="151">
        <v>2760317</v>
      </c>
      <c r="C40" s="151">
        <v>669080</v>
      </c>
      <c r="D40" s="151">
        <v>314387</v>
      </c>
      <c r="E40" s="151">
        <v>174000</v>
      </c>
      <c r="F40" s="151">
        <v>4188645</v>
      </c>
      <c r="G40" s="151">
        <f>SUM('- 57 -'!$B40:G40,B40:F40)</f>
        <v>25365457</v>
      </c>
    </row>
    <row r="41" spans="1:7" ht="14.1" customHeight="1" x14ac:dyDescent="0.2">
      <c r="A41" s="354" t="s">
        <v>139</v>
      </c>
      <c r="B41" s="352">
        <v>1429206</v>
      </c>
      <c r="C41" s="352">
        <v>364860</v>
      </c>
      <c r="D41" s="352">
        <v>171440</v>
      </c>
      <c r="E41" s="352">
        <v>85250</v>
      </c>
      <c r="F41" s="352">
        <v>2107575</v>
      </c>
      <c r="G41" s="352">
        <f>SUM('- 57 -'!$B41:G41,B41:F41)</f>
        <v>14048719</v>
      </c>
    </row>
    <row r="42" spans="1:7" ht="14.1" customHeight="1" x14ac:dyDescent="0.2">
      <c r="A42" s="237" t="s">
        <v>140</v>
      </c>
      <c r="B42" s="151">
        <v>455657</v>
      </c>
      <c r="C42" s="151">
        <v>112424</v>
      </c>
      <c r="D42" s="151">
        <v>69080</v>
      </c>
      <c r="E42" s="151">
        <v>29750</v>
      </c>
      <c r="F42" s="151">
        <v>985815</v>
      </c>
      <c r="G42" s="151">
        <f>SUM('- 57 -'!$B42:G42,B42:F42)</f>
        <v>4867396</v>
      </c>
    </row>
    <row r="43" spans="1:7" ht="14.1" customHeight="1" x14ac:dyDescent="0.2">
      <c r="A43" s="354" t="s">
        <v>141</v>
      </c>
      <c r="B43" s="352">
        <v>312619</v>
      </c>
      <c r="C43" s="352">
        <v>82295</v>
      </c>
      <c r="D43" s="352">
        <v>45609</v>
      </c>
      <c r="E43" s="352">
        <v>17750</v>
      </c>
      <c r="F43" s="352">
        <v>585675</v>
      </c>
      <c r="G43" s="352">
        <f>SUM('- 57 -'!$B43:G43,B43:F43)</f>
        <v>3443560</v>
      </c>
    </row>
    <row r="44" spans="1:7" ht="14.1" customHeight="1" x14ac:dyDescent="0.2">
      <c r="A44" s="237" t="s">
        <v>142</v>
      </c>
      <c r="B44" s="151">
        <v>295682</v>
      </c>
      <c r="C44" s="151">
        <v>58781</v>
      </c>
      <c r="D44" s="151">
        <v>32577</v>
      </c>
      <c r="E44" s="151">
        <v>13625</v>
      </c>
      <c r="F44" s="151">
        <v>600210</v>
      </c>
      <c r="G44" s="151">
        <f>SUM('- 57 -'!$B44:G44,B44:F44)</f>
        <v>2836161</v>
      </c>
    </row>
    <row r="45" spans="1:7" ht="14.1" customHeight="1" x14ac:dyDescent="0.2">
      <c r="A45" s="354" t="s">
        <v>143</v>
      </c>
      <c r="B45" s="352">
        <v>569362</v>
      </c>
      <c r="C45" s="352">
        <v>147665</v>
      </c>
      <c r="D45" s="352">
        <v>81839</v>
      </c>
      <c r="E45" s="352">
        <v>34400</v>
      </c>
      <c r="F45" s="352">
        <v>602775</v>
      </c>
      <c r="G45" s="352">
        <f>SUM('- 57 -'!$B45:G45,B45:F45)</f>
        <v>5245094</v>
      </c>
    </row>
    <row r="46" spans="1:7" ht="14.1" customHeight="1" x14ac:dyDescent="0.2">
      <c r="A46" s="237" t="s">
        <v>144</v>
      </c>
      <c r="B46" s="151">
        <v>16336921</v>
      </c>
      <c r="C46" s="151">
        <v>2448815</v>
      </c>
      <c r="D46" s="151">
        <v>1150648</v>
      </c>
      <c r="E46" s="151">
        <v>738188</v>
      </c>
      <c r="F46" s="151">
        <v>14297310</v>
      </c>
      <c r="G46" s="151">
        <f>SUM('- 57 -'!$B46:G46,B46:F46)</f>
        <v>98017147</v>
      </c>
    </row>
    <row r="47" spans="1:7" ht="5.0999999999999996" customHeight="1" x14ac:dyDescent="0.2">
      <c r="A47" s="130"/>
      <c r="B47" s="152"/>
      <c r="C47" s="152"/>
      <c r="D47" s="152"/>
      <c r="E47" s="152"/>
      <c r="F47" s="152"/>
      <c r="G47" s="152"/>
    </row>
    <row r="48" spans="1:7" ht="14.1" customHeight="1" x14ac:dyDescent="0.2">
      <c r="A48" s="355" t="s">
        <v>145</v>
      </c>
      <c r="B48" s="356">
        <f t="shared" ref="B48:C48" si="0">SUM(B11:B46)</f>
        <v>64647516</v>
      </c>
      <c r="C48" s="356">
        <f t="shared" si="0"/>
        <v>14276800</v>
      </c>
      <c r="D48" s="356">
        <f t="shared" ref="D48:F48" si="1">SUM(D11:D46)</f>
        <v>7002834</v>
      </c>
      <c r="E48" s="356">
        <f t="shared" si="1"/>
        <v>3695403</v>
      </c>
      <c r="F48" s="356">
        <f t="shared" si="1"/>
        <v>85267440</v>
      </c>
      <c r="G48" s="356">
        <f t="shared" ref="G48" si="2">SUM(G11:G46)</f>
        <v>554676760</v>
      </c>
    </row>
    <row r="49" spans="1:7" ht="5.0999999999999996" customHeight="1" x14ac:dyDescent="0.2">
      <c r="A49" s="130" t="s">
        <v>7</v>
      </c>
      <c r="B49" s="152"/>
      <c r="C49" s="152"/>
      <c r="D49" s="152"/>
      <c r="E49" s="152"/>
      <c r="F49" s="152"/>
      <c r="G49" s="152"/>
    </row>
    <row r="50" spans="1:7" ht="14.1" customHeight="1" x14ac:dyDescent="0.2">
      <c r="A50" s="237" t="s">
        <v>146</v>
      </c>
      <c r="B50" s="151">
        <v>55216</v>
      </c>
      <c r="C50" s="151">
        <v>14650</v>
      </c>
      <c r="D50" s="151">
        <v>8119</v>
      </c>
      <c r="E50" s="151">
        <v>4625</v>
      </c>
      <c r="F50" s="151">
        <v>231705</v>
      </c>
      <c r="G50" s="151">
        <f>SUM('- 57 -'!$B50:G50,B50:F50)</f>
        <v>602086</v>
      </c>
    </row>
    <row r="51" spans="1:7" ht="14.1" customHeight="1" x14ac:dyDescent="0.2">
      <c r="A51" s="354" t="s">
        <v>599</v>
      </c>
      <c r="B51" s="352">
        <v>0</v>
      </c>
      <c r="C51" s="352">
        <v>0</v>
      </c>
      <c r="D51" s="352">
        <v>0</v>
      </c>
      <c r="E51" s="352">
        <v>0</v>
      </c>
      <c r="F51" s="352">
        <v>0</v>
      </c>
      <c r="G51" s="352">
        <f>SUM('- 57 -'!$B51:G51,B51:F51)</f>
        <v>0</v>
      </c>
    </row>
    <row r="52" spans="1:7" ht="50.1" customHeight="1" x14ac:dyDescent="0.2">
      <c r="A52" s="184"/>
      <c r="B52" s="184"/>
      <c r="C52" s="184"/>
      <c r="D52" s="184"/>
      <c r="E52" s="184"/>
      <c r="F52" s="184"/>
      <c r="G52" s="184"/>
    </row>
    <row r="53" spans="1:7" ht="15" customHeight="1" x14ac:dyDescent="0.2">
      <c r="A53" s="575"/>
      <c r="B53" s="575"/>
      <c r="C53" s="184"/>
      <c r="D53" s="575"/>
      <c r="E53" s="575"/>
      <c r="F53" s="575"/>
      <c r="G53" s="575"/>
    </row>
    <row r="54" spans="1:7" x14ac:dyDescent="0.2">
      <c r="A54" s="38"/>
    </row>
  </sheetData>
  <mergeCells count="7">
    <mergeCell ref="B4:G5"/>
    <mergeCell ref="B6:G6"/>
    <mergeCell ref="B8:B9"/>
    <mergeCell ref="C8:C9"/>
    <mergeCell ref="D8:D9"/>
    <mergeCell ref="E8:E9"/>
    <mergeCell ref="G7:G9"/>
  </mergeCells>
  <phoneticPr fontId="6" type="noConversion"/>
  <pageMargins left="0.5" right="0.5" top="0.6" bottom="0.2" header="0.3" footer="0.5"/>
  <pageSetup scale="90" orientation="portrait" r:id="rId1"/>
  <headerFooter alignWithMargins="0">
    <oddHeader>&amp;C&amp;"Arial,Regular"&amp;11&amp;A</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F56"/>
  <sheetViews>
    <sheetView showGridLines="0" showZeros="0" workbookViewId="0"/>
  </sheetViews>
  <sheetFormatPr defaultColWidth="19.83203125" defaultRowHeight="12" x14ac:dyDescent="0.2"/>
  <cols>
    <col min="1" max="1" width="29.1640625" style="2" customWidth="1"/>
    <col min="2" max="2" width="22.83203125" style="2" customWidth="1"/>
    <col min="3" max="3" width="17.6640625" style="2" customWidth="1"/>
    <col min="4" max="4" width="18.1640625" style="2" customWidth="1"/>
    <col min="5" max="5" width="20.6640625" style="2" customWidth="1"/>
    <col min="6" max="6" width="23.5" style="2" customWidth="1"/>
    <col min="7" max="7" width="14.83203125" style="2" customWidth="1"/>
    <col min="8" max="16384" width="19.83203125" style="2"/>
  </cols>
  <sheetData>
    <row r="1" spans="1:6" ht="6.95" customHeight="1" x14ac:dyDescent="0.2">
      <c r="A1" s="7"/>
      <c r="B1" s="7"/>
      <c r="C1" s="7"/>
      <c r="D1" s="7"/>
      <c r="E1" s="7"/>
      <c r="F1" s="7"/>
    </row>
    <row r="2" spans="1:6" ht="15.95" customHeight="1" x14ac:dyDescent="0.2">
      <c r="A2" s="261"/>
      <c r="B2" s="204" t="str">
        <f>REVYEAR</f>
        <v>ANALYSIS OF OPERATING FUND REVENUE: 2019/2020 ACTUAL</v>
      </c>
      <c r="C2" s="262"/>
      <c r="D2" s="264"/>
      <c r="E2" s="264"/>
      <c r="F2" s="215" t="s">
        <v>100</v>
      </c>
    </row>
    <row r="3" spans="1:6" ht="15.95" customHeight="1" x14ac:dyDescent="0.2">
      <c r="A3" s="537"/>
      <c r="B3" s="205"/>
      <c r="C3" s="7"/>
      <c r="D3" s="7"/>
      <c r="E3" s="7"/>
      <c r="F3" s="7"/>
    </row>
    <row r="4" spans="1:6" ht="15.95" customHeight="1" x14ac:dyDescent="0.2">
      <c r="B4" s="810" t="s">
        <v>569</v>
      </c>
      <c r="C4" s="798"/>
      <c r="D4" s="798"/>
      <c r="E4" s="798"/>
      <c r="F4" s="799"/>
    </row>
    <row r="5" spans="1:6" ht="15.95" customHeight="1" x14ac:dyDescent="0.2">
      <c r="B5" s="800"/>
      <c r="C5" s="801"/>
      <c r="D5" s="801"/>
      <c r="E5" s="801"/>
      <c r="F5" s="802"/>
    </row>
    <row r="6" spans="1:6" ht="15.95" customHeight="1" x14ac:dyDescent="0.2">
      <c r="B6" s="811" t="s">
        <v>52</v>
      </c>
      <c r="C6" s="812"/>
      <c r="D6" s="812"/>
      <c r="E6" s="812"/>
      <c r="F6" s="813"/>
    </row>
    <row r="7" spans="1:6" ht="15.95" customHeight="1" x14ac:dyDescent="0.2">
      <c r="B7" s="220"/>
      <c r="C7" s="220"/>
      <c r="D7" s="703" t="s">
        <v>571</v>
      </c>
      <c r="E7" s="703" t="s">
        <v>572</v>
      </c>
      <c r="F7" s="703" t="s">
        <v>573</v>
      </c>
    </row>
    <row r="8" spans="1:6" ht="15.95" customHeight="1" x14ac:dyDescent="0.2">
      <c r="A8" s="67"/>
      <c r="B8" s="815" t="s">
        <v>365</v>
      </c>
      <c r="C8" s="808" t="s">
        <v>570</v>
      </c>
      <c r="D8" s="808"/>
      <c r="E8" s="808"/>
      <c r="F8" s="808"/>
    </row>
    <row r="9" spans="1:6" ht="15.95" customHeight="1" x14ac:dyDescent="0.2">
      <c r="A9" s="35" t="s">
        <v>42</v>
      </c>
      <c r="B9" s="816"/>
      <c r="C9" s="809"/>
      <c r="D9" s="809"/>
      <c r="E9" s="809"/>
      <c r="F9" s="809"/>
    </row>
    <row r="10" spans="1:6" ht="5.0999999999999996" customHeight="1" x14ac:dyDescent="0.2">
      <c r="A10" s="6"/>
      <c r="B10" s="7"/>
      <c r="C10" s="7"/>
      <c r="D10" s="7"/>
      <c r="E10" s="7"/>
    </row>
    <row r="11" spans="1:6" ht="14.1" customHeight="1" x14ac:dyDescent="0.2">
      <c r="A11" s="354" t="s">
        <v>110</v>
      </c>
      <c r="B11" s="352">
        <v>664473</v>
      </c>
      <c r="C11" s="352">
        <f>SUM(Data!S11:U11)</f>
        <v>793975</v>
      </c>
      <c r="D11" s="352">
        <v>325000</v>
      </c>
      <c r="E11" s="352">
        <v>63800</v>
      </c>
      <c r="F11" s="352">
        <v>36000</v>
      </c>
    </row>
    <row r="12" spans="1:6" ht="14.1" customHeight="1" x14ac:dyDescent="0.2">
      <c r="A12" s="237" t="s">
        <v>111</v>
      </c>
      <c r="B12" s="151">
        <v>1260230</v>
      </c>
      <c r="C12" s="151">
        <f>SUM(Data!S12:U12)</f>
        <v>1123888</v>
      </c>
      <c r="D12" s="151">
        <v>197075</v>
      </c>
      <c r="E12" s="151">
        <v>148280</v>
      </c>
      <c r="F12" s="151">
        <v>54000</v>
      </c>
    </row>
    <row r="13" spans="1:6" ht="14.1" customHeight="1" x14ac:dyDescent="0.2">
      <c r="A13" s="354" t="s">
        <v>112</v>
      </c>
      <c r="B13" s="352">
        <v>1143568</v>
      </c>
      <c r="C13" s="352">
        <f>SUM(Data!S13:U13)</f>
        <v>3297485</v>
      </c>
      <c r="D13" s="352">
        <v>767775</v>
      </c>
      <c r="E13" s="352">
        <v>567655</v>
      </c>
      <c r="F13" s="352">
        <v>371000</v>
      </c>
    </row>
    <row r="14" spans="1:6" ht="14.1" customHeight="1" x14ac:dyDescent="0.2">
      <c r="A14" s="237" t="s">
        <v>358</v>
      </c>
      <c r="B14" s="151">
        <v>3509191</v>
      </c>
      <c r="C14" s="151">
        <f>SUM(Data!S14:U14)</f>
        <v>1188934</v>
      </c>
      <c r="D14" s="151">
        <v>187025</v>
      </c>
      <c r="E14" s="151">
        <v>98890</v>
      </c>
      <c r="F14" s="151">
        <v>530000</v>
      </c>
    </row>
    <row r="15" spans="1:6" ht="14.1" customHeight="1" x14ac:dyDescent="0.2">
      <c r="A15" s="354" t="s">
        <v>113</v>
      </c>
      <c r="B15" s="352">
        <v>842146</v>
      </c>
      <c r="C15" s="352">
        <f>SUM(Data!S15:U15)</f>
        <v>835057</v>
      </c>
      <c r="D15" s="352">
        <v>21350</v>
      </c>
      <c r="E15" s="352">
        <v>59621</v>
      </c>
      <c r="F15" s="352">
        <v>128000</v>
      </c>
    </row>
    <row r="16" spans="1:6" ht="14.1" customHeight="1" x14ac:dyDescent="0.2">
      <c r="A16" s="237" t="s">
        <v>114</v>
      </c>
      <c r="B16" s="151">
        <v>104011</v>
      </c>
      <c r="C16" s="151">
        <f>SUM(Data!S16:U16)</f>
        <v>470757</v>
      </c>
      <c r="D16" s="151">
        <v>750</v>
      </c>
      <c r="E16" s="151">
        <v>33991</v>
      </c>
      <c r="F16" s="151">
        <v>81500</v>
      </c>
    </row>
    <row r="17" spans="1:6" ht="14.1" customHeight="1" x14ac:dyDescent="0.2">
      <c r="A17" s="354" t="s">
        <v>115</v>
      </c>
      <c r="B17" s="352">
        <v>886354</v>
      </c>
      <c r="C17" s="352">
        <f>SUM(Data!S17:U17)</f>
        <v>592679</v>
      </c>
      <c r="D17" s="352">
        <v>21600</v>
      </c>
      <c r="E17" s="352">
        <v>59620</v>
      </c>
      <c r="F17" s="352">
        <v>18000</v>
      </c>
    </row>
    <row r="18" spans="1:6" ht="14.1" customHeight="1" x14ac:dyDescent="0.2">
      <c r="A18" s="237" t="s">
        <v>116</v>
      </c>
      <c r="B18" s="151">
        <v>1377556</v>
      </c>
      <c r="C18" s="151">
        <f>SUM(Data!S18:U18)</f>
        <v>1825034</v>
      </c>
      <c r="D18" s="151">
        <v>3000</v>
      </c>
      <c r="E18" s="151">
        <v>59125</v>
      </c>
      <c r="F18" s="151">
        <v>851750</v>
      </c>
    </row>
    <row r="19" spans="1:6" ht="14.1" customHeight="1" x14ac:dyDescent="0.2">
      <c r="A19" s="354" t="s">
        <v>117</v>
      </c>
      <c r="B19" s="352">
        <v>1553351</v>
      </c>
      <c r="C19" s="352">
        <f>SUM(Data!S19:U19)</f>
        <v>1942050</v>
      </c>
      <c r="D19" s="352">
        <v>536900</v>
      </c>
      <c r="E19" s="352">
        <v>275770</v>
      </c>
      <c r="F19" s="352">
        <v>27000</v>
      </c>
    </row>
    <row r="20" spans="1:6" ht="14.1" customHeight="1" x14ac:dyDescent="0.2">
      <c r="A20" s="237" t="s">
        <v>118</v>
      </c>
      <c r="B20" s="151">
        <v>2666351</v>
      </c>
      <c r="C20" s="151">
        <f>SUM(Data!S20:U20)</f>
        <v>3451384</v>
      </c>
      <c r="D20" s="151">
        <v>539450</v>
      </c>
      <c r="E20" s="151">
        <v>589600</v>
      </c>
      <c r="F20" s="151">
        <v>171000</v>
      </c>
    </row>
    <row r="21" spans="1:6" ht="14.1" customHeight="1" x14ac:dyDescent="0.2">
      <c r="A21" s="354" t="s">
        <v>119</v>
      </c>
      <c r="B21" s="352">
        <v>1154577</v>
      </c>
      <c r="C21" s="352">
        <f>SUM(Data!S21:U21)</f>
        <v>1334794</v>
      </c>
      <c r="D21" s="352">
        <v>49250</v>
      </c>
      <c r="E21" s="352">
        <v>93390</v>
      </c>
      <c r="F21" s="352">
        <v>135000</v>
      </c>
    </row>
    <row r="22" spans="1:6" ht="14.1" customHeight="1" x14ac:dyDescent="0.2">
      <c r="A22" s="237" t="s">
        <v>120</v>
      </c>
      <c r="B22" s="151">
        <v>279178</v>
      </c>
      <c r="C22" s="151">
        <f>SUM(Data!S22:U22)</f>
        <v>945369</v>
      </c>
      <c r="D22" s="151">
        <v>13600</v>
      </c>
      <c r="E22" s="151">
        <v>35365</v>
      </c>
      <c r="F22" s="151">
        <v>171000</v>
      </c>
    </row>
    <row r="23" spans="1:6" ht="14.1" customHeight="1" x14ac:dyDescent="0.2">
      <c r="A23" s="354" t="s">
        <v>121</v>
      </c>
      <c r="B23" s="352">
        <v>907081</v>
      </c>
      <c r="C23" s="352">
        <f>SUM(Data!S23:U23)</f>
        <v>649292</v>
      </c>
      <c r="D23" s="352">
        <v>12850</v>
      </c>
      <c r="E23" s="352">
        <v>42900</v>
      </c>
      <c r="F23" s="352">
        <v>99000</v>
      </c>
    </row>
    <row r="24" spans="1:6" ht="14.1" customHeight="1" x14ac:dyDescent="0.2">
      <c r="A24" s="237" t="s">
        <v>122</v>
      </c>
      <c r="B24" s="151">
        <v>1606114</v>
      </c>
      <c r="C24" s="151">
        <f>SUM(Data!S24:U24)</f>
        <v>1997470</v>
      </c>
      <c r="D24" s="151">
        <v>79350</v>
      </c>
      <c r="E24" s="151">
        <v>281215</v>
      </c>
      <c r="F24" s="151">
        <v>356500</v>
      </c>
    </row>
    <row r="25" spans="1:6" ht="14.1" customHeight="1" x14ac:dyDescent="0.2">
      <c r="A25" s="354" t="s">
        <v>123</v>
      </c>
      <c r="B25" s="352">
        <v>1273535</v>
      </c>
      <c r="C25" s="352">
        <f>SUM(Data!S25:U25)</f>
        <v>8688292</v>
      </c>
      <c r="D25" s="352">
        <v>1314625</v>
      </c>
      <c r="E25" s="352">
        <v>727816</v>
      </c>
      <c r="F25" s="352">
        <v>803000</v>
      </c>
    </row>
    <row r="26" spans="1:6" ht="14.1" customHeight="1" x14ac:dyDescent="0.2">
      <c r="A26" s="237" t="s">
        <v>124</v>
      </c>
      <c r="B26" s="151">
        <v>1543301</v>
      </c>
      <c r="C26" s="151">
        <f>SUM(Data!S26:U26)</f>
        <v>1169604</v>
      </c>
      <c r="D26" s="151">
        <v>32875</v>
      </c>
      <c r="E26" s="151">
        <v>227590</v>
      </c>
      <c r="F26" s="151">
        <v>245000</v>
      </c>
    </row>
    <row r="27" spans="1:6" ht="14.1" customHeight="1" x14ac:dyDescent="0.2">
      <c r="A27" s="354" t="s">
        <v>125</v>
      </c>
      <c r="B27" s="352">
        <v>73042</v>
      </c>
      <c r="C27" s="352">
        <f>SUM(Data!S27:U27)</f>
        <v>1967780</v>
      </c>
      <c r="D27" s="352">
        <v>57007</v>
      </c>
      <c r="E27" s="352">
        <v>173580</v>
      </c>
      <c r="F27" s="352">
        <v>269941</v>
      </c>
    </row>
    <row r="28" spans="1:6" ht="14.1" customHeight="1" x14ac:dyDescent="0.2">
      <c r="A28" s="237" t="s">
        <v>126</v>
      </c>
      <c r="B28" s="151">
        <v>1155438</v>
      </c>
      <c r="C28" s="151">
        <f>SUM(Data!S28:U28)</f>
        <v>595175</v>
      </c>
      <c r="D28" s="151">
        <v>53050</v>
      </c>
      <c r="E28" s="151">
        <v>47850</v>
      </c>
      <c r="F28" s="151">
        <v>90500</v>
      </c>
    </row>
    <row r="29" spans="1:6" ht="14.1" customHeight="1" x14ac:dyDescent="0.2">
      <c r="A29" s="354" t="s">
        <v>127</v>
      </c>
      <c r="B29" s="352">
        <v>1231734</v>
      </c>
      <c r="C29" s="352">
        <f>SUM(Data!S29:U29)</f>
        <v>7024485</v>
      </c>
      <c r="D29" s="352">
        <v>2333850</v>
      </c>
      <c r="E29" s="352">
        <v>498850</v>
      </c>
      <c r="F29" s="352">
        <v>333000</v>
      </c>
    </row>
    <row r="30" spans="1:6" ht="14.1" customHeight="1" x14ac:dyDescent="0.2">
      <c r="A30" s="237" t="s">
        <v>128</v>
      </c>
      <c r="B30" s="151">
        <v>671684</v>
      </c>
      <c r="C30" s="151">
        <f>SUM(Data!S30:U30)</f>
        <v>573975</v>
      </c>
      <c r="D30" s="151">
        <v>65000</v>
      </c>
      <c r="E30" s="151">
        <v>42680</v>
      </c>
      <c r="F30" s="151">
        <v>47000</v>
      </c>
    </row>
    <row r="31" spans="1:6" ht="14.1" customHeight="1" x14ac:dyDescent="0.2">
      <c r="A31" s="354" t="s">
        <v>129</v>
      </c>
      <c r="B31" s="352">
        <v>798818</v>
      </c>
      <c r="C31" s="352">
        <f>SUM(Data!S31:U31)</f>
        <v>1822281</v>
      </c>
      <c r="D31" s="352">
        <v>137775</v>
      </c>
      <c r="E31" s="352">
        <v>141625</v>
      </c>
      <c r="F31" s="352">
        <v>245000</v>
      </c>
    </row>
    <row r="32" spans="1:6" ht="14.1" customHeight="1" x14ac:dyDescent="0.2">
      <c r="A32" s="237" t="s">
        <v>130</v>
      </c>
      <c r="B32" s="151">
        <v>1351119</v>
      </c>
      <c r="C32" s="151">
        <f>SUM(Data!S32:U32)</f>
        <v>926192</v>
      </c>
      <c r="D32" s="151">
        <v>158150</v>
      </c>
      <c r="E32" s="151">
        <v>49225</v>
      </c>
      <c r="F32" s="151">
        <v>99000</v>
      </c>
    </row>
    <row r="33" spans="1:6" ht="14.1" customHeight="1" x14ac:dyDescent="0.2">
      <c r="A33" s="354" t="s">
        <v>131</v>
      </c>
      <c r="B33" s="352">
        <v>1407128</v>
      </c>
      <c r="C33" s="352">
        <f>SUM(Data!S33:U33)</f>
        <v>857681</v>
      </c>
      <c r="D33" s="352">
        <v>120625</v>
      </c>
      <c r="E33" s="352">
        <v>54973</v>
      </c>
      <c r="F33" s="352">
        <v>36000</v>
      </c>
    </row>
    <row r="34" spans="1:6" ht="14.1" customHeight="1" x14ac:dyDescent="0.2">
      <c r="A34" s="237" t="s">
        <v>132</v>
      </c>
      <c r="B34" s="151">
        <v>1473995</v>
      </c>
      <c r="C34" s="151">
        <f>SUM(Data!S34:U34)</f>
        <v>1293878</v>
      </c>
      <c r="D34" s="151">
        <v>83675</v>
      </c>
      <c r="E34" s="151">
        <v>79035</v>
      </c>
      <c r="F34" s="151">
        <v>108000</v>
      </c>
    </row>
    <row r="35" spans="1:6" ht="14.1" customHeight="1" x14ac:dyDescent="0.2">
      <c r="A35" s="354" t="s">
        <v>133</v>
      </c>
      <c r="B35" s="352">
        <v>1924282</v>
      </c>
      <c r="C35" s="352">
        <f>SUM(Data!S35:U35)</f>
        <v>9442629</v>
      </c>
      <c r="D35" s="352">
        <v>1085875</v>
      </c>
      <c r="E35" s="352">
        <v>779488</v>
      </c>
      <c r="F35" s="352">
        <v>864000</v>
      </c>
    </row>
    <row r="36" spans="1:6" ht="14.1" customHeight="1" x14ac:dyDescent="0.2">
      <c r="A36" s="237" t="s">
        <v>134</v>
      </c>
      <c r="B36" s="151">
        <v>890360</v>
      </c>
      <c r="C36" s="151">
        <f>SUM(Data!S36:U36)</f>
        <v>590201</v>
      </c>
      <c r="D36" s="151">
        <v>33500</v>
      </c>
      <c r="E36" s="151">
        <v>39545</v>
      </c>
      <c r="F36" s="151">
        <v>74000</v>
      </c>
    </row>
    <row r="37" spans="1:6" ht="14.1" customHeight="1" x14ac:dyDescent="0.2">
      <c r="A37" s="354" t="s">
        <v>135</v>
      </c>
      <c r="B37" s="352">
        <v>1736015</v>
      </c>
      <c r="C37" s="352">
        <f>SUM(Data!S37:U37)</f>
        <v>2617728</v>
      </c>
      <c r="D37" s="352">
        <v>153800</v>
      </c>
      <c r="E37" s="352">
        <v>154193</v>
      </c>
      <c r="F37" s="352">
        <v>396000</v>
      </c>
    </row>
    <row r="38" spans="1:6" ht="14.1" customHeight="1" x14ac:dyDescent="0.2">
      <c r="A38" s="237" t="s">
        <v>136</v>
      </c>
      <c r="B38" s="151">
        <v>1110263</v>
      </c>
      <c r="C38" s="151">
        <f>SUM(Data!S38:U38)</f>
        <v>6280468</v>
      </c>
      <c r="D38" s="151">
        <v>786700</v>
      </c>
      <c r="E38" s="151">
        <v>546095</v>
      </c>
      <c r="F38" s="151">
        <v>372600</v>
      </c>
    </row>
    <row r="39" spans="1:6" ht="14.1" customHeight="1" x14ac:dyDescent="0.2">
      <c r="A39" s="354" t="s">
        <v>137</v>
      </c>
      <c r="B39" s="352">
        <v>1034532</v>
      </c>
      <c r="C39" s="352">
        <f>SUM(Data!S39:U39)</f>
        <v>589273</v>
      </c>
      <c r="D39" s="352">
        <v>55700</v>
      </c>
      <c r="E39" s="352">
        <v>32505</v>
      </c>
      <c r="F39" s="352">
        <v>36000</v>
      </c>
    </row>
    <row r="40" spans="1:6" ht="14.1" customHeight="1" x14ac:dyDescent="0.2">
      <c r="A40" s="237" t="s">
        <v>138</v>
      </c>
      <c r="B40" s="151">
        <v>723353</v>
      </c>
      <c r="C40" s="151">
        <f>SUM(Data!S40:U40)</f>
        <v>4822565</v>
      </c>
      <c r="D40" s="151">
        <v>549150</v>
      </c>
      <c r="E40" s="151">
        <v>539990</v>
      </c>
      <c r="F40" s="151">
        <v>370000</v>
      </c>
    </row>
    <row r="41" spans="1:6" ht="14.1" customHeight="1" x14ac:dyDescent="0.2">
      <c r="A41" s="354" t="s">
        <v>139</v>
      </c>
      <c r="B41" s="352">
        <v>2853031</v>
      </c>
      <c r="C41" s="352">
        <f>SUM(Data!S41:U41)</f>
        <v>2589107</v>
      </c>
      <c r="D41" s="352">
        <v>118975</v>
      </c>
      <c r="E41" s="352">
        <v>164066</v>
      </c>
      <c r="F41" s="352">
        <v>254500</v>
      </c>
    </row>
    <row r="42" spans="1:6" ht="14.1" customHeight="1" x14ac:dyDescent="0.2">
      <c r="A42" s="237" t="s">
        <v>140</v>
      </c>
      <c r="B42" s="151">
        <v>1004211</v>
      </c>
      <c r="C42" s="151">
        <f>SUM(Data!S42:U42)</f>
        <v>723047</v>
      </c>
      <c r="D42" s="151">
        <v>2250</v>
      </c>
      <c r="E42" s="151">
        <v>180950</v>
      </c>
      <c r="F42" s="151">
        <v>146000</v>
      </c>
    </row>
    <row r="43" spans="1:6" ht="14.1" customHeight="1" x14ac:dyDescent="0.2">
      <c r="A43" s="354" t="s">
        <v>141</v>
      </c>
      <c r="B43" s="352">
        <v>559959</v>
      </c>
      <c r="C43" s="352">
        <f>SUM(Data!S43:U43)</f>
        <v>381373</v>
      </c>
      <c r="D43" s="352">
        <v>67450</v>
      </c>
      <c r="E43" s="352">
        <v>20075</v>
      </c>
      <c r="F43" s="352">
        <v>27000</v>
      </c>
    </row>
    <row r="44" spans="1:6" ht="14.1" customHeight="1" x14ac:dyDescent="0.2">
      <c r="A44" s="237" t="s">
        <v>142</v>
      </c>
      <c r="B44" s="151">
        <v>749629</v>
      </c>
      <c r="C44" s="151">
        <f>SUM(Data!S44:U44)</f>
        <v>423914</v>
      </c>
      <c r="D44" s="151">
        <v>12250</v>
      </c>
      <c r="E44" s="151">
        <v>18178</v>
      </c>
      <c r="F44" s="151">
        <v>99000</v>
      </c>
    </row>
    <row r="45" spans="1:6" ht="14.1" customHeight="1" x14ac:dyDescent="0.2">
      <c r="A45" s="354" t="s">
        <v>143</v>
      </c>
      <c r="B45" s="352">
        <v>524084</v>
      </c>
      <c r="C45" s="352">
        <f>SUM(Data!S45:U45)</f>
        <v>624851</v>
      </c>
      <c r="D45" s="352">
        <v>266700</v>
      </c>
      <c r="E45" s="352">
        <v>68365</v>
      </c>
      <c r="F45" s="352">
        <v>27000</v>
      </c>
    </row>
    <row r="46" spans="1:6" ht="14.1" customHeight="1" x14ac:dyDescent="0.2">
      <c r="A46" s="237" t="s">
        <v>144</v>
      </c>
      <c r="B46" s="151">
        <v>1415674</v>
      </c>
      <c r="C46" s="151">
        <f>SUM(Data!S46:U46)</f>
        <v>16568953</v>
      </c>
      <c r="D46" s="151">
        <v>2243190</v>
      </c>
      <c r="E46" s="151">
        <v>1589335</v>
      </c>
      <c r="F46" s="151">
        <v>2379400</v>
      </c>
    </row>
    <row r="47" spans="1:6" ht="5.0999999999999996" customHeight="1" x14ac:dyDescent="0.2">
      <c r="A47" s="130"/>
      <c r="B47" s="152"/>
      <c r="C47" s="152"/>
      <c r="D47" s="152"/>
      <c r="E47" s="152"/>
      <c r="F47" s="152"/>
    </row>
    <row r="48" spans="1:6" ht="14.1" customHeight="1" x14ac:dyDescent="0.2">
      <c r="A48" s="355" t="s">
        <v>145</v>
      </c>
      <c r="B48" s="356">
        <f t="shared" ref="B48:D48" si="0">SUM(B11:B46)</f>
        <v>43459368</v>
      </c>
      <c r="C48" s="356">
        <f>SUM(C11:C46)</f>
        <v>91021620</v>
      </c>
      <c r="D48" s="356">
        <f t="shared" si="0"/>
        <v>12487147</v>
      </c>
      <c r="E48" s="356">
        <f t="shared" ref="E48:F48" si="1">SUM(E11:E46)</f>
        <v>8585231</v>
      </c>
      <c r="F48" s="356">
        <f t="shared" si="1"/>
        <v>10351691</v>
      </c>
    </row>
    <row r="49" spans="1:6" ht="5.0999999999999996" customHeight="1" x14ac:dyDescent="0.2">
      <c r="A49" s="130" t="s">
        <v>7</v>
      </c>
      <c r="B49" s="152"/>
      <c r="C49" s="152"/>
      <c r="D49" s="152"/>
      <c r="E49" s="152"/>
      <c r="F49" s="152"/>
    </row>
    <row r="50" spans="1:6" ht="14.1" customHeight="1" x14ac:dyDescent="0.2">
      <c r="A50" s="237" t="s">
        <v>146</v>
      </c>
      <c r="B50" s="151">
        <v>1301</v>
      </c>
      <c r="C50" s="151">
        <f>SUM(Data!S50:U50)</f>
        <v>91261</v>
      </c>
      <c r="D50" s="151">
        <v>0</v>
      </c>
      <c r="E50" s="151">
        <v>3740</v>
      </c>
      <c r="F50" s="151">
        <v>0</v>
      </c>
    </row>
    <row r="51" spans="1:6" ht="14.1" customHeight="1" x14ac:dyDescent="0.2">
      <c r="A51" s="354" t="s">
        <v>599</v>
      </c>
      <c r="B51" s="352">
        <v>0</v>
      </c>
      <c r="C51" s="352">
        <f>SUM(Data!S51:U51)</f>
        <v>0</v>
      </c>
      <c r="D51" s="352">
        <v>0</v>
      </c>
      <c r="E51" s="352">
        <v>0</v>
      </c>
      <c r="F51" s="352">
        <v>0</v>
      </c>
    </row>
    <row r="52" spans="1:6" ht="50.1" customHeight="1" x14ac:dyDescent="0.2">
      <c r="A52" s="23"/>
      <c r="B52" s="23"/>
      <c r="C52" s="23"/>
      <c r="D52" s="23"/>
      <c r="E52" s="23"/>
      <c r="F52" s="23"/>
    </row>
    <row r="53" spans="1:6" ht="15" customHeight="1" x14ac:dyDescent="0.2">
      <c r="A53" s="38" t="s">
        <v>357</v>
      </c>
      <c r="B53" s="243"/>
      <c r="C53" s="38"/>
      <c r="D53" s="38"/>
      <c r="E53" s="38"/>
      <c r="F53" s="38"/>
    </row>
    <row r="54" spans="1:6" ht="12" customHeight="1" x14ac:dyDescent="0.2">
      <c r="A54" s="814" t="str">
        <f>"(2)  Includes support for coordinators, clinicians and level 2 and 3 pupils. Note: total special needs support is " &amp;TEXT(C48+'- 58 -'!B48,"$0,000,000")&amp; " (Student Services,
       page 58 and Special Needs)."</f>
        <v>(2)  Includes support for coordinators, clinicians and level 2 and 3 pupils. Note: total special needs support is $155,669,136 (Student Services,
       page 58 and Special Needs).</v>
      </c>
      <c r="B54" s="814"/>
      <c r="C54" s="814"/>
      <c r="D54" s="814"/>
      <c r="E54" s="814"/>
      <c r="F54" s="814"/>
    </row>
    <row r="55" spans="1:6" ht="12" customHeight="1" x14ac:dyDescent="0.2">
      <c r="A55" s="814"/>
      <c r="B55" s="814"/>
      <c r="C55" s="814"/>
      <c r="D55" s="814"/>
      <c r="E55" s="814"/>
      <c r="F55" s="814"/>
    </row>
    <row r="56" spans="1:6" ht="14.1" customHeight="1" x14ac:dyDescent="0.2">
      <c r="A56" s="38"/>
      <c r="B56" s="38"/>
      <c r="C56" s="265"/>
      <c r="D56" s="38"/>
      <c r="E56" s="38"/>
      <c r="F56" s="38"/>
    </row>
  </sheetData>
  <mergeCells count="8">
    <mergeCell ref="B4:F5"/>
    <mergeCell ref="B6:F6"/>
    <mergeCell ref="A54:F55"/>
    <mergeCell ref="C8:C9"/>
    <mergeCell ref="D7:D9"/>
    <mergeCell ref="E7:E9"/>
    <mergeCell ref="F7:F9"/>
    <mergeCell ref="B8:B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F53"/>
  <sheetViews>
    <sheetView showGridLines="0" showZeros="0" workbookViewId="0"/>
  </sheetViews>
  <sheetFormatPr defaultColWidth="19.83203125" defaultRowHeight="12" x14ac:dyDescent="0.2"/>
  <cols>
    <col min="1" max="1" width="34.1640625" style="2" customWidth="1"/>
    <col min="2" max="2" width="18.83203125" style="2" customWidth="1"/>
    <col min="3" max="3" width="19.83203125" style="2" customWidth="1"/>
    <col min="4" max="5" width="19.1640625" style="2" customWidth="1"/>
    <col min="6" max="6" width="17.83203125" style="2" customWidth="1"/>
    <col min="7" max="16384" width="19.83203125" style="2"/>
  </cols>
  <sheetData>
    <row r="1" spans="1:6" ht="6.95" customHeight="1" x14ac:dyDescent="0.2">
      <c r="A1" s="7"/>
      <c r="B1" s="7"/>
      <c r="C1" s="7"/>
      <c r="D1" s="7"/>
      <c r="E1" s="7"/>
      <c r="F1" s="7"/>
    </row>
    <row r="2" spans="1:6" ht="15.95" customHeight="1" x14ac:dyDescent="0.2">
      <c r="A2" s="261"/>
      <c r="B2" s="204" t="str">
        <f>REVYEAR</f>
        <v>ANALYSIS OF OPERATING FUND REVENUE: 2019/2020 ACTUAL</v>
      </c>
      <c r="C2" s="262"/>
      <c r="D2" s="262"/>
      <c r="E2" s="262"/>
      <c r="F2" s="215" t="s">
        <v>101</v>
      </c>
    </row>
    <row r="3" spans="1:6" ht="15.95" customHeight="1" x14ac:dyDescent="0.2">
      <c r="A3" s="537"/>
      <c r="B3" s="7"/>
      <c r="C3" s="7"/>
      <c r="D3" s="7"/>
      <c r="E3" s="7"/>
      <c r="F3" s="7"/>
    </row>
    <row r="4" spans="1:6" ht="15.95" customHeight="1" x14ac:dyDescent="0.2">
      <c r="B4" s="797" t="s">
        <v>569</v>
      </c>
      <c r="C4" s="798"/>
      <c r="D4" s="798"/>
      <c r="E4" s="798"/>
      <c r="F4" s="799"/>
    </row>
    <row r="5" spans="1:6" ht="15.95" customHeight="1" x14ac:dyDescent="0.2">
      <c r="B5" s="800"/>
      <c r="C5" s="801"/>
      <c r="D5" s="801"/>
      <c r="E5" s="801"/>
      <c r="F5" s="802"/>
    </row>
    <row r="6" spans="1:6" ht="15.95" customHeight="1" x14ac:dyDescent="0.2">
      <c r="B6" s="820" t="s">
        <v>52</v>
      </c>
      <c r="C6" s="821"/>
      <c r="D6" s="821"/>
      <c r="E6" s="821"/>
      <c r="F6" s="822"/>
    </row>
    <row r="7" spans="1:6" ht="15.95" customHeight="1" x14ac:dyDescent="0.2">
      <c r="B7" s="732" t="s">
        <v>574</v>
      </c>
      <c r="C7" s="819" t="s">
        <v>575</v>
      </c>
      <c r="D7" s="703" t="s">
        <v>576</v>
      </c>
      <c r="E7" s="33"/>
      <c r="F7" s="703" t="s">
        <v>578</v>
      </c>
    </row>
    <row r="8" spans="1:6" ht="15.95" customHeight="1" x14ac:dyDescent="0.2">
      <c r="A8" s="403"/>
      <c r="B8" s="817"/>
      <c r="C8" s="806"/>
      <c r="D8" s="808"/>
      <c r="E8" s="808" t="s">
        <v>577</v>
      </c>
      <c r="F8" s="808"/>
    </row>
    <row r="9" spans="1:6" ht="15.95" customHeight="1" x14ac:dyDescent="0.2">
      <c r="A9" s="404" t="s">
        <v>42</v>
      </c>
      <c r="B9" s="818"/>
      <c r="C9" s="807"/>
      <c r="D9" s="809"/>
      <c r="E9" s="809"/>
      <c r="F9" s="809"/>
    </row>
    <row r="10" spans="1:6" ht="5.0999999999999996" customHeight="1" x14ac:dyDescent="0.2">
      <c r="A10" s="6"/>
      <c r="B10" s="7"/>
      <c r="C10" s="7"/>
      <c r="D10" s="7"/>
      <c r="E10" s="7"/>
      <c r="F10" s="7"/>
    </row>
    <row r="11" spans="1:6" ht="14.1" customHeight="1" x14ac:dyDescent="0.2">
      <c r="A11" s="354" t="s">
        <v>110</v>
      </c>
      <c r="B11" s="352">
        <v>4056</v>
      </c>
      <c r="C11" s="352">
        <v>25330</v>
      </c>
      <c r="D11" s="352">
        <v>145032</v>
      </c>
      <c r="E11" s="352">
        <f>Data!R11-SUM('- 59 -'!$B11:F11,B11:D11)</f>
        <v>492705</v>
      </c>
      <c r="F11" s="352">
        <f>SUM('- 59 -'!$B11:F11,B11:E11)</f>
        <v>2550371</v>
      </c>
    </row>
    <row r="12" spans="1:6" ht="14.1" customHeight="1" x14ac:dyDescent="0.2">
      <c r="A12" s="237" t="s">
        <v>111</v>
      </c>
      <c r="B12" s="151">
        <v>35904</v>
      </c>
      <c r="C12" s="151">
        <v>28413</v>
      </c>
      <c r="D12" s="151">
        <v>163224</v>
      </c>
      <c r="E12" s="151">
        <f>Data!R12-SUM('- 59 -'!$B12:F12,B12:D12)</f>
        <v>286993</v>
      </c>
      <c r="F12" s="151">
        <f>SUM('- 59 -'!$B12:F12,B12:E12)</f>
        <v>3298007</v>
      </c>
    </row>
    <row r="13" spans="1:6" ht="14.1" customHeight="1" x14ac:dyDescent="0.2">
      <c r="A13" s="354" t="s">
        <v>112</v>
      </c>
      <c r="B13" s="352">
        <v>203237</v>
      </c>
      <c r="C13" s="352">
        <v>156667</v>
      </c>
      <c r="D13" s="352">
        <v>742032</v>
      </c>
      <c r="E13" s="352">
        <f>Data!R13-SUM('- 59 -'!$B13:F13,B13:D13)</f>
        <v>287113</v>
      </c>
      <c r="F13" s="352">
        <f>SUM('- 59 -'!$B13:F13,B13:E13)</f>
        <v>7536532</v>
      </c>
    </row>
    <row r="14" spans="1:6" ht="14.1" customHeight="1" x14ac:dyDescent="0.2">
      <c r="A14" s="237" t="s">
        <v>358</v>
      </c>
      <c r="B14" s="151">
        <v>1632700</v>
      </c>
      <c r="C14" s="151">
        <v>93573</v>
      </c>
      <c r="D14" s="151">
        <v>431288</v>
      </c>
      <c r="E14" s="151">
        <f>Data!R14-SUM('- 59 -'!$B14:F14,B14:D14)</f>
        <v>561309</v>
      </c>
      <c r="F14" s="151">
        <f>SUM('- 59 -'!$B14:F14,B14:E14)</f>
        <v>8232910</v>
      </c>
    </row>
    <row r="15" spans="1:6" ht="14.1" customHeight="1" x14ac:dyDescent="0.2">
      <c r="A15" s="354" t="s">
        <v>113</v>
      </c>
      <c r="B15" s="352">
        <v>4206</v>
      </c>
      <c r="C15" s="352">
        <v>19550</v>
      </c>
      <c r="D15" s="352">
        <v>112032</v>
      </c>
      <c r="E15" s="352">
        <f>Data!R15-SUM('- 59 -'!$B15:F15,B15:D15)</f>
        <v>57653</v>
      </c>
      <c r="F15" s="352">
        <f>SUM('- 59 -'!$B15:F15,B15:E15)</f>
        <v>2079615</v>
      </c>
    </row>
    <row r="16" spans="1:6" ht="14.1" customHeight="1" x14ac:dyDescent="0.2">
      <c r="A16" s="237" t="s">
        <v>114</v>
      </c>
      <c r="B16" s="151">
        <v>31523</v>
      </c>
      <c r="C16" s="151">
        <v>13940</v>
      </c>
      <c r="D16" s="151">
        <v>72312</v>
      </c>
      <c r="E16" s="151">
        <f>Data!R16-SUM('- 59 -'!$B16:F16,B16:D16)</f>
        <v>642695</v>
      </c>
      <c r="F16" s="151">
        <f>SUM('- 59 -'!$B16:F16,B16:E16)</f>
        <v>1451479</v>
      </c>
    </row>
    <row r="17" spans="1:6" ht="14.1" customHeight="1" x14ac:dyDescent="0.2">
      <c r="A17" s="354" t="s">
        <v>115</v>
      </c>
      <c r="B17" s="352">
        <v>1899</v>
      </c>
      <c r="C17" s="352">
        <v>16660</v>
      </c>
      <c r="D17" s="352">
        <v>108520</v>
      </c>
      <c r="E17" s="352">
        <f>Data!R17-SUM('- 59 -'!$B17:F17,B17:D17)</f>
        <v>69553</v>
      </c>
      <c r="F17" s="352">
        <f>SUM('- 59 -'!$B17:F17,B17:E17)</f>
        <v>1774885</v>
      </c>
    </row>
    <row r="18" spans="1:6" ht="14.1" customHeight="1" x14ac:dyDescent="0.2">
      <c r="A18" s="237" t="s">
        <v>116</v>
      </c>
      <c r="B18" s="151">
        <v>0</v>
      </c>
      <c r="C18" s="151">
        <v>38959</v>
      </c>
      <c r="D18" s="151">
        <v>175068</v>
      </c>
      <c r="E18" s="151">
        <f>Data!R18-SUM('- 59 -'!$B18:F18,B18:D18)</f>
        <v>2305560</v>
      </c>
      <c r="F18" s="151">
        <f>SUM('- 59 -'!$B18:F18,B18:E18)</f>
        <v>6636052</v>
      </c>
    </row>
    <row r="19" spans="1:6" ht="14.1" customHeight="1" x14ac:dyDescent="0.2">
      <c r="A19" s="354" t="s">
        <v>117</v>
      </c>
      <c r="B19" s="352">
        <v>4351</v>
      </c>
      <c r="C19" s="352">
        <v>56605</v>
      </c>
      <c r="D19" s="352">
        <v>349664</v>
      </c>
      <c r="E19" s="352">
        <f>Data!R19-SUM('- 59 -'!$B19:F19,B19:D19)</f>
        <v>89901</v>
      </c>
      <c r="F19" s="352">
        <f>SUM('- 59 -'!$B19:F19,B19:E19)</f>
        <v>4835592</v>
      </c>
    </row>
    <row r="20" spans="1:6" ht="14.1" customHeight="1" x14ac:dyDescent="0.2">
      <c r="A20" s="237" t="s">
        <v>118</v>
      </c>
      <c r="B20" s="151">
        <v>23884</v>
      </c>
      <c r="C20" s="151">
        <v>115945</v>
      </c>
      <c r="D20" s="151">
        <v>630264</v>
      </c>
      <c r="E20" s="151">
        <f>Data!R20-SUM('- 59 -'!$B20:F20,B20:D20)</f>
        <v>418683</v>
      </c>
      <c r="F20" s="151">
        <f>SUM('- 59 -'!$B20:F20,B20:E20)</f>
        <v>8606561</v>
      </c>
    </row>
    <row r="21" spans="1:6" ht="14.1" customHeight="1" x14ac:dyDescent="0.2">
      <c r="A21" s="354" t="s">
        <v>119</v>
      </c>
      <c r="B21" s="352">
        <v>74351</v>
      </c>
      <c r="C21" s="352">
        <v>38643</v>
      </c>
      <c r="D21" s="352">
        <v>226864</v>
      </c>
      <c r="E21" s="352">
        <f>Data!R21-SUM('- 59 -'!$B21:F21,B21:D21)</f>
        <v>160242</v>
      </c>
      <c r="F21" s="352">
        <f>SUM('- 59 -'!$B21:F21,B21:E21)</f>
        <v>3267111</v>
      </c>
    </row>
    <row r="22" spans="1:6" ht="14.1" customHeight="1" x14ac:dyDescent="0.2">
      <c r="A22" s="237" t="s">
        <v>120</v>
      </c>
      <c r="B22" s="151">
        <v>45354</v>
      </c>
      <c r="C22" s="151">
        <v>25993</v>
      </c>
      <c r="D22" s="151">
        <v>117488</v>
      </c>
      <c r="E22" s="151">
        <f>Data!R22-SUM('- 59 -'!$B22:F22,B22:D22)</f>
        <v>1067776</v>
      </c>
      <c r="F22" s="151">
        <f>SUM('- 59 -'!$B22:F22,B22:E22)</f>
        <v>2701123</v>
      </c>
    </row>
    <row r="23" spans="1:6" ht="14.1" customHeight="1" x14ac:dyDescent="0.2">
      <c r="A23" s="354" t="s">
        <v>121</v>
      </c>
      <c r="B23" s="352">
        <v>2798</v>
      </c>
      <c r="C23" s="352">
        <v>14942</v>
      </c>
      <c r="D23" s="352">
        <v>75080</v>
      </c>
      <c r="E23" s="352">
        <f>Data!R23-SUM('- 59 -'!$B23:F23,B23:D23)</f>
        <v>167374</v>
      </c>
      <c r="F23" s="352">
        <f>SUM('- 59 -'!$B23:F23,B23:E23)</f>
        <v>1971317</v>
      </c>
    </row>
    <row r="24" spans="1:6" ht="14.1" customHeight="1" x14ac:dyDescent="0.2">
      <c r="A24" s="237" t="s">
        <v>122</v>
      </c>
      <c r="B24" s="151">
        <v>97124</v>
      </c>
      <c r="C24" s="151">
        <v>54529</v>
      </c>
      <c r="D24" s="151">
        <v>358488</v>
      </c>
      <c r="E24" s="151">
        <f>Data!R24-SUM('- 59 -'!$B24:F24,B24:D24)</f>
        <v>242811</v>
      </c>
      <c r="F24" s="151">
        <f>SUM('- 59 -'!$B24:F24,B24:E24)</f>
        <v>5073601</v>
      </c>
    </row>
    <row r="25" spans="1:6" ht="14.1" customHeight="1" x14ac:dyDescent="0.2">
      <c r="A25" s="354" t="s">
        <v>123</v>
      </c>
      <c r="B25" s="352">
        <v>1324309</v>
      </c>
      <c r="C25" s="352">
        <v>199221</v>
      </c>
      <c r="D25" s="352">
        <v>1164776</v>
      </c>
      <c r="E25" s="352">
        <f>Data!R25-SUM('- 59 -'!$B25:F25,B25:D25)</f>
        <v>438909</v>
      </c>
      <c r="F25" s="352">
        <f>SUM('- 59 -'!$B25:F25,B25:E25)</f>
        <v>15934483</v>
      </c>
    </row>
    <row r="26" spans="1:6" ht="14.1" customHeight="1" x14ac:dyDescent="0.2">
      <c r="A26" s="237" t="s">
        <v>124</v>
      </c>
      <c r="B26" s="151">
        <v>83140</v>
      </c>
      <c r="C26" s="151">
        <v>36485</v>
      </c>
      <c r="D26" s="151">
        <v>291520</v>
      </c>
      <c r="E26" s="151">
        <f>Data!R26-SUM('- 59 -'!$B26:F26,B26:D26)</f>
        <v>371030</v>
      </c>
      <c r="F26" s="151">
        <f>SUM('- 59 -'!$B26:F26,B26:E26)</f>
        <v>4000545</v>
      </c>
    </row>
    <row r="27" spans="1:6" ht="14.1" customHeight="1" x14ac:dyDescent="0.2">
      <c r="A27" s="354" t="s">
        <v>125</v>
      </c>
      <c r="B27" s="352">
        <v>65284</v>
      </c>
      <c r="C27" s="352">
        <v>50886</v>
      </c>
      <c r="D27" s="352">
        <v>234192</v>
      </c>
      <c r="E27" s="352">
        <f>Data!R27-SUM('- 59 -'!$B27:F27,B27:D27)</f>
        <v>2144809</v>
      </c>
      <c r="F27" s="352">
        <f>SUM('- 59 -'!$B27:F27,B27:E27)</f>
        <v>5036521</v>
      </c>
    </row>
    <row r="28" spans="1:6" ht="14.1" customHeight="1" x14ac:dyDescent="0.2">
      <c r="A28" s="237" t="s">
        <v>126</v>
      </c>
      <c r="B28" s="151">
        <v>3552</v>
      </c>
      <c r="C28" s="151">
        <v>21749</v>
      </c>
      <c r="D28" s="151">
        <v>118696</v>
      </c>
      <c r="E28" s="151">
        <f>Data!R28-SUM('- 59 -'!$B28:F28,B28:D28)</f>
        <v>173132</v>
      </c>
      <c r="F28" s="151">
        <f>SUM('- 59 -'!$B28:F28,B28:E28)</f>
        <v>2259142</v>
      </c>
    </row>
    <row r="29" spans="1:6" ht="14.1" customHeight="1" x14ac:dyDescent="0.2">
      <c r="A29" s="354" t="s">
        <v>127</v>
      </c>
      <c r="B29" s="352">
        <v>806571</v>
      </c>
      <c r="C29" s="352">
        <v>189868</v>
      </c>
      <c r="D29" s="352">
        <v>1095896</v>
      </c>
      <c r="E29" s="352">
        <f>Data!R29-SUM('- 59 -'!$B29:F29,B29:D29)</f>
        <v>1283783</v>
      </c>
      <c r="F29" s="352">
        <f>SUM('- 59 -'!$B29:F29,B29:E29)</f>
        <v>14798037</v>
      </c>
    </row>
    <row r="30" spans="1:6" ht="14.1" customHeight="1" x14ac:dyDescent="0.2">
      <c r="A30" s="237" t="s">
        <v>128</v>
      </c>
      <c r="B30" s="151">
        <v>2146</v>
      </c>
      <c r="C30" s="151">
        <v>14790</v>
      </c>
      <c r="D30" s="151">
        <v>81880</v>
      </c>
      <c r="E30" s="151">
        <f>Data!R30-SUM('- 59 -'!$B30:F30,B30:D30)</f>
        <v>123832</v>
      </c>
      <c r="F30" s="151">
        <f>SUM('- 59 -'!$B30:F30,B30:E30)</f>
        <v>1622987</v>
      </c>
    </row>
    <row r="31" spans="1:6" ht="14.1" customHeight="1" x14ac:dyDescent="0.2">
      <c r="A31" s="354" t="s">
        <v>129</v>
      </c>
      <c r="B31" s="352">
        <v>83785</v>
      </c>
      <c r="C31" s="352">
        <v>44530</v>
      </c>
      <c r="D31" s="352">
        <v>243456</v>
      </c>
      <c r="E31" s="352">
        <f>Data!R31-SUM('- 59 -'!$B31:F31,B31:D31)</f>
        <v>282385</v>
      </c>
      <c r="F31" s="352">
        <f>SUM('- 59 -'!$B31:F31,B31:E31)</f>
        <v>3799655</v>
      </c>
    </row>
    <row r="32" spans="1:6" ht="14.1" customHeight="1" x14ac:dyDescent="0.2">
      <c r="A32" s="237" t="s">
        <v>130</v>
      </c>
      <c r="B32" s="151">
        <v>55753</v>
      </c>
      <c r="C32" s="151">
        <v>32640</v>
      </c>
      <c r="D32" s="151">
        <v>178080</v>
      </c>
      <c r="E32" s="151">
        <f>Data!R32-SUM('- 59 -'!$B32:F32,B32:D32)</f>
        <v>386745</v>
      </c>
      <c r="F32" s="151">
        <f>SUM('- 59 -'!$B32:F32,B32:E32)</f>
        <v>3236904</v>
      </c>
    </row>
    <row r="33" spans="1:6" ht="14.1" customHeight="1" x14ac:dyDescent="0.2">
      <c r="A33" s="354" t="s">
        <v>131</v>
      </c>
      <c r="B33" s="352">
        <v>33858</v>
      </c>
      <c r="C33" s="352">
        <v>32282</v>
      </c>
      <c r="D33" s="352">
        <v>159704</v>
      </c>
      <c r="E33" s="352">
        <f>Data!R33-SUM('- 59 -'!$B33:F33,B33:D33)</f>
        <v>497010</v>
      </c>
      <c r="F33" s="352">
        <f>SUM('- 59 -'!$B33:F33,B33:E33)</f>
        <v>3199261</v>
      </c>
    </row>
    <row r="34" spans="1:6" ht="14.1" customHeight="1" x14ac:dyDescent="0.2">
      <c r="A34" s="237" t="s">
        <v>132</v>
      </c>
      <c r="B34" s="151">
        <v>111099</v>
      </c>
      <c r="C34" s="151">
        <v>27049</v>
      </c>
      <c r="D34" s="151">
        <v>174448</v>
      </c>
      <c r="E34" s="151">
        <f>Data!R34-SUM('- 59 -'!$B34:F34,B34:D34)</f>
        <v>245880</v>
      </c>
      <c r="F34" s="151">
        <f>SUM('- 59 -'!$B34:F34,B34:E34)</f>
        <v>3597059</v>
      </c>
    </row>
    <row r="35" spans="1:6" ht="14.1" customHeight="1" x14ac:dyDescent="0.2">
      <c r="A35" s="354" t="s">
        <v>133</v>
      </c>
      <c r="B35" s="352">
        <v>802261</v>
      </c>
      <c r="C35" s="352">
        <v>225059</v>
      </c>
      <c r="D35" s="352">
        <v>1398460</v>
      </c>
      <c r="E35" s="352">
        <f>Data!R35-SUM('- 59 -'!$B35:F35,B35:D35)</f>
        <v>482217</v>
      </c>
      <c r="F35" s="352">
        <f>SUM('- 59 -'!$B35:F35,B35:E35)</f>
        <v>17004271</v>
      </c>
    </row>
    <row r="36" spans="1:6" ht="14.1" customHeight="1" x14ac:dyDescent="0.2">
      <c r="A36" s="237" t="s">
        <v>134</v>
      </c>
      <c r="B36" s="151">
        <v>4621</v>
      </c>
      <c r="C36" s="151">
        <v>25367</v>
      </c>
      <c r="D36" s="151">
        <v>126296</v>
      </c>
      <c r="E36" s="151">
        <f>Data!R36-SUM('- 59 -'!$B36:F36,B36:D36)</f>
        <v>289632</v>
      </c>
      <c r="F36" s="151">
        <f>SUM('- 59 -'!$B36:F36,B36:E36)</f>
        <v>2073522</v>
      </c>
    </row>
    <row r="37" spans="1:6" ht="14.1" customHeight="1" x14ac:dyDescent="0.2">
      <c r="A37" s="354" t="s">
        <v>135</v>
      </c>
      <c r="B37" s="352">
        <v>365810</v>
      </c>
      <c r="C37" s="352">
        <v>64529</v>
      </c>
      <c r="D37" s="352">
        <v>346344</v>
      </c>
      <c r="E37" s="352">
        <f>Data!R37-SUM('- 59 -'!$B37:F37,B37:D37)</f>
        <v>17528</v>
      </c>
      <c r="F37" s="352">
        <f>SUM('- 59 -'!$B37:F37,B37:E37)</f>
        <v>5851947</v>
      </c>
    </row>
    <row r="38" spans="1:6" ht="14.1" customHeight="1" x14ac:dyDescent="0.2">
      <c r="A38" s="237" t="s">
        <v>136</v>
      </c>
      <c r="B38" s="151">
        <v>529577</v>
      </c>
      <c r="C38" s="151">
        <v>159429</v>
      </c>
      <c r="D38" s="151">
        <v>890296</v>
      </c>
      <c r="E38" s="151">
        <f>Data!R38-SUM('- 59 -'!$B38:F38,B38:D38)</f>
        <v>409553</v>
      </c>
      <c r="F38" s="151">
        <f>SUM('- 59 -'!$B38:F38,B38:E38)</f>
        <v>11084981</v>
      </c>
    </row>
    <row r="39" spans="1:6" ht="14.1" customHeight="1" x14ac:dyDescent="0.2">
      <c r="A39" s="354" t="s">
        <v>137</v>
      </c>
      <c r="B39" s="352">
        <v>405</v>
      </c>
      <c r="C39" s="352">
        <v>18360</v>
      </c>
      <c r="D39" s="352">
        <v>118832</v>
      </c>
      <c r="E39" s="352">
        <f>Data!R39-SUM('- 59 -'!$B39:F39,B39:D39)</f>
        <v>251541</v>
      </c>
      <c r="F39" s="352">
        <f>SUM('- 59 -'!$B39:F39,B39:E39)</f>
        <v>2137148</v>
      </c>
    </row>
    <row r="40" spans="1:6" ht="14.1" customHeight="1" x14ac:dyDescent="0.2">
      <c r="A40" s="237" t="s">
        <v>138</v>
      </c>
      <c r="B40" s="151">
        <v>409230</v>
      </c>
      <c r="C40" s="151">
        <v>119376</v>
      </c>
      <c r="D40" s="151">
        <v>764396</v>
      </c>
      <c r="E40" s="151">
        <f>Data!R40-SUM('- 59 -'!$B40:F40,B40:D40)</f>
        <v>19530</v>
      </c>
      <c r="F40" s="151">
        <f>SUM('- 59 -'!$B40:F40,B40:E40)</f>
        <v>8317590</v>
      </c>
    </row>
    <row r="41" spans="1:6" ht="14.1" customHeight="1" x14ac:dyDescent="0.2">
      <c r="A41" s="354" t="s">
        <v>139</v>
      </c>
      <c r="B41" s="352">
        <v>183767</v>
      </c>
      <c r="C41" s="352">
        <v>61954</v>
      </c>
      <c r="D41" s="352">
        <v>351672</v>
      </c>
      <c r="E41" s="352">
        <f>Data!R41-SUM('- 59 -'!$B41:F41,B41:D41)</f>
        <v>350864</v>
      </c>
      <c r="F41" s="352">
        <f>SUM('- 59 -'!$B41:F41,B41:E41)</f>
        <v>6927936</v>
      </c>
    </row>
    <row r="42" spans="1:6" ht="14.1" customHeight="1" x14ac:dyDescent="0.2">
      <c r="A42" s="237" t="s">
        <v>140</v>
      </c>
      <c r="B42" s="151">
        <v>18819</v>
      </c>
      <c r="C42" s="151">
        <v>20173</v>
      </c>
      <c r="D42" s="151">
        <v>108360</v>
      </c>
      <c r="E42" s="151">
        <f>Data!R42-SUM('- 59 -'!$B42:F42,B42:D42)</f>
        <v>79794</v>
      </c>
      <c r="F42" s="151">
        <f>SUM('- 59 -'!$B42:F42,B42:E42)</f>
        <v>2283604</v>
      </c>
    </row>
    <row r="43" spans="1:6" ht="14.1" customHeight="1" x14ac:dyDescent="0.2">
      <c r="A43" s="354" t="s">
        <v>141</v>
      </c>
      <c r="B43" s="352">
        <v>548</v>
      </c>
      <c r="C43" s="352">
        <v>13090</v>
      </c>
      <c r="D43" s="352">
        <v>79320</v>
      </c>
      <c r="E43" s="352">
        <f>Data!R43-SUM('- 59 -'!$B43:F43,B43:D43)</f>
        <v>113340</v>
      </c>
      <c r="F43" s="352">
        <f>SUM('- 59 -'!$B43:F43,B43:E43)</f>
        <v>1262155</v>
      </c>
    </row>
    <row r="44" spans="1:6" ht="14.1" customHeight="1" x14ac:dyDescent="0.2">
      <c r="A44" s="237" t="s">
        <v>142</v>
      </c>
      <c r="B44" s="151">
        <v>12848</v>
      </c>
      <c r="C44" s="151">
        <v>10200</v>
      </c>
      <c r="D44" s="151">
        <v>56656</v>
      </c>
      <c r="E44" s="151">
        <f>Data!R44-SUM('- 59 -'!$B44:F44,B44:D44)</f>
        <v>98210</v>
      </c>
      <c r="F44" s="151">
        <f>SUM('- 59 -'!$B44:F44,B44:E44)</f>
        <v>1480885</v>
      </c>
    </row>
    <row r="45" spans="1:6" ht="14.1" customHeight="1" x14ac:dyDescent="0.2">
      <c r="A45" s="354" t="s">
        <v>143</v>
      </c>
      <c r="B45" s="352">
        <v>82042</v>
      </c>
      <c r="C45" s="352">
        <v>26520</v>
      </c>
      <c r="D45" s="352">
        <v>142328</v>
      </c>
      <c r="E45" s="352">
        <f>Data!R45-SUM('- 59 -'!$B45:F45,B45:D45)</f>
        <v>366234</v>
      </c>
      <c r="F45" s="352">
        <f>SUM('- 59 -'!$B45:F45,B45:E45)</f>
        <v>2128124</v>
      </c>
    </row>
    <row r="46" spans="1:6" ht="14.1" customHeight="1" x14ac:dyDescent="0.2">
      <c r="A46" s="237" t="s">
        <v>144</v>
      </c>
      <c r="B46" s="151">
        <v>1045011</v>
      </c>
      <c r="C46" s="151">
        <v>501043</v>
      </c>
      <c r="D46" s="151">
        <v>2477804</v>
      </c>
      <c r="E46" s="151">
        <f>Data!R46-SUM('- 59 -'!$B46:F46,B46:D46)</f>
        <v>584069</v>
      </c>
      <c r="F46" s="151">
        <f>SUM('- 59 -'!$B46:F46,B46:E46)</f>
        <v>28804479</v>
      </c>
    </row>
    <row r="47" spans="1:6" ht="5.0999999999999996" customHeight="1" x14ac:dyDescent="0.2">
      <c r="A47" s="130"/>
      <c r="B47" s="152"/>
      <c r="C47" s="152"/>
      <c r="D47" s="152"/>
      <c r="E47" s="152"/>
      <c r="F47" s="152"/>
    </row>
    <row r="48" spans="1:6" ht="14.1" customHeight="1" x14ac:dyDescent="0.2">
      <c r="A48" s="355" t="s">
        <v>145</v>
      </c>
      <c r="B48" s="356">
        <f t="shared" ref="B48:D48" si="0">SUM(B11:B46)</f>
        <v>8185823</v>
      </c>
      <c r="C48" s="356">
        <f t="shared" si="0"/>
        <v>2594349</v>
      </c>
      <c r="D48" s="356">
        <f t="shared" si="0"/>
        <v>14310768</v>
      </c>
      <c r="E48" s="356">
        <f>SUM(E11:E46)</f>
        <v>15860395</v>
      </c>
      <c r="F48" s="356">
        <f>SUM(F11:F46)</f>
        <v>206856392</v>
      </c>
    </row>
    <row r="49" spans="1:6" ht="5.0999999999999996" customHeight="1" x14ac:dyDescent="0.2">
      <c r="A49" s="130" t="s">
        <v>7</v>
      </c>
      <c r="B49" s="152"/>
      <c r="C49" s="152"/>
      <c r="D49" s="152"/>
      <c r="E49" s="152"/>
      <c r="F49" s="152"/>
    </row>
    <row r="50" spans="1:6" ht="14.1" customHeight="1" x14ac:dyDescent="0.2">
      <c r="A50" s="237" t="s">
        <v>146</v>
      </c>
      <c r="B50" s="151">
        <v>681</v>
      </c>
      <c r="C50" s="151">
        <v>5555</v>
      </c>
      <c r="D50" s="151">
        <v>14120</v>
      </c>
      <c r="E50" s="151">
        <f>Data!R50-SUM('- 59 -'!$B50:F50,B50:D50)</f>
        <v>42227</v>
      </c>
      <c r="F50" s="151">
        <f>SUM('- 59 -'!$B50:F50,B50:E50)</f>
        <v>158885</v>
      </c>
    </row>
    <row r="51" spans="1:6" ht="14.1" customHeight="1" x14ac:dyDescent="0.2">
      <c r="A51" s="354" t="s">
        <v>599</v>
      </c>
      <c r="B51" s="352">
        <v>0</v>
      </c>
      <c r="C51" s="352">
        <v>0</v>
      </c>
      <c r="D51" s="352">
        <v>0</v>
      </c>
      <c r="E51" s="352">
        <f>Data!R51-SUM('- 59 -'!$B51:F51,B51:D51)</f>
        <v>0</v>
      </c>
      <c r="F51" s="352">
        <f>SUM('- 59 -'!$B51:F51,B51:E51)</f>
        <v>0</v>
      </c>
    </row>
    <row r="52" spans="1:6" ht="50.1" customHeight="1" x14ac:dyDescent="0.2">
      <c r="A52" s="23"/>
      <c r="B52" s="23"/>
      <c r="C52" s="23"/>
      <c r="D52" s="23"/>
      <c r="E52" s="23"/>
      <c r="F52" s="23"/>
    </row>
    <row r="53" spans="1:6" ht="15" customHeight="1" x14ac:dyDescent="0.2">
      <c r="A53" s="133" t="s">
        <v>387</v>
      </c>
      <c r="E53" s="38"/>
      <c r="F53" s="38"/>
    </row>
  </sheetData>
  <mergeCells count="7">
    <mergeCell ref="B4:F5"/>
    <mergeCell ref="B7:B9"/>
    <mergeCell ref="C7:C9"/>
    <mergeCell ref="D7:D9"/>
    <mergeCell ref="E8:E9"/>
    <mergeCell ref="F7:F9"/>
    <mergeCell ref="B6:F6"/>
  </mergeCells>
  <phoneticPr fontId="6" type="noConversion"/>
  <pageMargins left="0.5" right="0.5" top="0.6" bottom="0.2" header="0.3" footer="0.5"/>
  <pageSetup scale="91" orientation="portrait" r:id="rId1"/>
  <headerFooter alignWithMargins="0">
    <oddHeader>&amp;C&amp;"Arial,Regular"&amp;11&amp;A</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F59"/>
  <sheetViews>
    <sheetView showGridLines="0" showZeros="0" workbookViewId="0"/>
  </sheetViews>
  <sheetFormatPr defaultColWidth="23.83203125" defaultRowHeight="12" x14ac:dyDescent="0.2"/>
  <cols>
    <col min="1" max="1" width="30.1640625" style="2" customWidth="1"/>
    <col min="2" max="2" width="18" style="2" customWidth="1"/>
    <col min="3" max="3" width="18.6640625" style="2" customWidth="1"/>
    <col min="4" max="4" width="18.33203125" style="2" customWidth="1"/>
    <col min="5" max="5" width="18" style="2" customWidth="1"/>
    <col min="6" max="6" width="21.6640625" style="2" customWidth="1"/>
    <col min="7" max="16384" width="23.83203125" style="2"/>
  </cols>
  <sheetData>
    <row r="1" spans="1:6" ht="6.95" customHeight="1" x14ac:dyDescent="0.2">
      <c r="A1" s="7"/>
      <c r="B1" s="7"/>
      <c r="C1" s="7"/>
      <c r="D1" s="7"/>
      <c r="E1" s="7"/>
      <c r="F1" s="7"/>
    </row>
    <row r="2" spans="1:6" ht="15.95" customHeight="1" x14ac:dyDescent="0.2">
      <c r="A2" s="261"/>
      <c r="B2" s="204" t="str">
        <f>REVYEAR</f>
        <v>ANALYSIS OF OPERATING FUND REVENUE: 2019/2020 ACTUAL</v>
      </c>
      <c r="C2" s="204"/>
      <c r="D2" s="204"/>
      <c r="E2" s="262"/>
      <c r="F2" s="215" t="s">
        <v>102</v>
      </c>
    </row>
    <row r="3" spans="1:6" ht="15.95" customHeight="1" x14ac:dyDescent="0.2">
      <c r="A3" s="537"/>
      <c r="B3" s="263"/>
      <c r="C3" s="263"/>
      <c r="D3" s="263"/>
      <c r="E3" s="263"/>
      <c r="F3" s="263"/>
    </row>
    <row r="4" spans="1:6" ht="15.95" customHeight="1" x14ac:dyDescent="0.2"/>
    <row r="5" spans="1:6" ht="15.95" customHeight="1" x14ac:dyDescent="0.2">
      <c r="B5" s="797" t="s">
        <v>569</v>
      </c>
      <c r="C5" s="798"/>
      <c r="D5" s="798"/>
      <c r="E5" s="798"/>
      <c r="F5" s="799"/>
    </row>
    <row r="6" spans="1:6" ht="15.95" customHeight="1" x14ac:dyDescent="0.2">
      <c r="B6" s="800"/>
      <c r="C6" s="801"/>
      <c r="D6" s="801"/>
      <c r="E6" s="801"/>
      <c r="F6" s="802"/>
    </row>
    <row r="7" spans="1:6" ht="15.95" customHeight="1" x14ac:dyDescent="0.2">
      <c r="B7" s="220"/>
      <c r="C7" s="703" t="s">
        <v>580</v>
      </c>
      <c r="D7" s="220"/>
      <c r="E7" s="703" t="s">
        <v>582</v>
      </c>
      <c r="F7" s="703" t="s">
        <v>583</v>
      </c>
    </row>
    <row r="8" spans="1:6" ht="15.95" customHeight="1" x14ac:dyDescent="0.2">
      <c r="A8" s="33"/>
      <c r="B8" s="808" t="s">
        <v>579</v>
      </c>
      <c r="C8" s="808"/>
      <c r="D8" s="808" t="s">
        <v>581</v>
      </c>
      <c r="E8" s="808"/>
      <c r="F8" s="825"/>
    </row>
    <row r="9" spans="1:6" ht="15.95" customHeight="1" x14ac:dyDescent="0.2">
      <c r="A9" s="82" t="s">
        <v>42</v>
      </c>
      <c r="B9" s="809"/>
      <c r="C9" s="809"/>
      <c r="D9" s="809"/>
      <c r="E9" s="809"/>
      <c r="F9" s="704"/>
    </row>
    <row r="10" spans="1:6" ht="5.0999999999999996" customHeight="1" x14ac:dyDescent="0.2">
      <c r="A10" s="6"/>
      <c r="B10" s="7"/>
      <c r="C10" s="7"/>
      <c r="D10" s="7"/>
      <c r="E10" s="7"/>
      <c r="F10" s="7"/>
    </row>
    <row r="11" spans="1:6" ht="14.1" customHeight="1" x14ac:dyDescent="0.2">
      <c r="A11" s="354" t="s">
        <v>110</v>
      </c>
      <c r="B11" s="352">
        <v>2485162</v>
      </c>
      <c r="C11" s="352">
        <v>0</v>
      </c>
      <c r="D11" s="352">
        <v>0</v>
      </c>
      <c r="E11" s="352">
        <v>121468</v>
      </c>
      <c r="F11" s="352">
        <f>SUM('- 58 -'!$G11,'- 60 -'!$F11,B11:E11)+Data!Q11</f>
        <v>11059894</v>
      </c>
    </row>
    <row r="12" spans="1:6" ht="14.1" customHeight="1" x14ac:dyDescent="0.2">
      <c r="A12" s="237" t="s">
        <v>111</v>
      </c>
      <c r="B12" s="151">
        <v>3629087</v>
      </c>
      <c r="C12" s="151">
        <v>1575</v>
      </c>
      <c r="D12" s="151">
        <v>447361</v>
      </c>
      <c r="E12" s="151">
        <v>145340</v>
      </c>
      <c r="F12" s="151">
        <f>SUM('- 58 -'!$G12,'- 60 -'!$F12,B12:E12)+Data!Q12</f>
        <v>14491994</v>
      </c>
    </row>
    <row r="13" spans="1:6" ht="14.1" customHeight="1" x14ac:dyDescent="0.2">
      <c r="A13" s="354" t="s">
        <v>112</v>
      </c>
      <c r="B13" s="352">
        <v>17981138</v>
      </c>
      <c r="C13" s="352">
        <v>0</v>
      </c>
      <c r="D13" s="352">
        <v>0</v>
      </c>
      <c r="E13" s="352">
        <v>429579</v>
      </c>
      <c r="F13" s="352">
        <f>SUM('- 58 -'!$G13,'- 60 -'!$F13,B13:E13)+Data!Q13</f>
        <v>51532109</v>
      </c>
    </row>
    <row r="14" spans="1:6" ht="14.1" customHeight="1" x14ac:dyDescent="0.2">
      <c r="A14" s="237" t="s">
        <v>358</v>
      </c>
      <c r="B14" s="151">
        <v>11480027</v>
      </c>
      <c r="C14" s="151">
        <v>0</v>
      </c>
      <c r="D14" s="151">
        <v>0</v>
      </c>
      <c r="E14" s="151">
        <v>243480</v>
      </c>
      <c r="F14" s="151">
        <f>SUM('- 58 -'!$G14,'- 60 -'!$F14,B14:E14)+Data!Q14</f>
        <v>37527312</v>
      </c>
    </row>
    <row r="15" spans="1:6" ht="14.1" customHeight="1" x14ac:dyDescent="0.2">
      <c r="A15" s="354" t="s">
        <v>113</v>
      </c>
      <c r="B15" s="352">
        <v>0</v>
      </c>
      <c r="C15" s="352">
        <v>0</v>
      </c>
      <c r="D15" s="352">
        <v>878827</v>
      </c>
      <c r="E15" s="352">
        <v>83960</v>
      </c>
      <c r="F15" s="352">
        <f>SUM('- 58 -'!$G15,'- 60 -'!$F15,B15:E15)+Data!Q15</f>
        <v>7819237</v>
      </c>
    </row>
    <row r="16" spans="1:6" ht="14.1" customHeight="1" x14ac:dyDescent="0.2">
      <c r="A16" s="237" t="s">
        <v>114</v>
      </c>
      <c r="B16" s="151">
        <v>4188109</v>
      </c>
      <c r="C16" s="151">
        <v>208582</v>
      </c>
      <c r="D16" s="151">
        <v>0</v>
      </c>
      <c r="E16" s="151">
        <v>60800</v>
      </c>
      <c r="F16" s="151">
        <f>SUM('- 58 -'!$G16,'- 60 -'!$F16,B16:E16)+Data!Q16</f>
        <v>8905591</v>
      </c>
    </row>
    <row r="17" spans="1:6" ht="14.1" customHeight="1" x14ac:dyDescent="0.2">
      <c r="A17" s="354" t="s">
        <v>115</v>
      </c>
      <c r="B17" s="352">
        <v>0</v>
      </c>
      <c r="C17" s="352">
        <v>0</v>
      </c>
      <c r="D17" s="352">
        <v>433124</v>
      </c>
      <c r="E17" s="352">
        <v>128711</v>
      </c>
      <c r="F17" s="352">
        <f>SUM('- 58 -'!$G17,'- 60 -'!$F17,B17:E17)+Data!Q17</f>
        <v>7047227</v>
      </c>
    </row>
    <row r="18" spans="1:6" ht="14.1" customHeight="1" x14ac:dyDescent="0.2">
      <c r="A18" s="237" t="s">
        <v>116</v>
      </c>
      <c r="B18" s="151">
        <v>14062458</v>
      </c>
      <c r="C18" s="151">
        <v>4758592</v>
      </c>
      <c r="D18" s="151">
        <v>0</v>
      </c>
      <c r="E18" s="151">
        <v>381320</v>
      </c>
      <c r="F18" s="151">
        <f>SUM('- 58 -'!$G18,'- 60 -'!$F18,B18:E18)+Data!Q18</f>
        <v>37137298</v>
      </c>
    </row>
    <row r="19" spans="1:6" ht="14.1" customHeight="1" x14ac:dyDescent="0.2">
      <c r="A19" s="354" t="s">
        <v>117</v>
      </c>
      <c r="B19" s="352">
        <v>10961261</v>
      </c>
      <c r="C19" s="352">
        <v>0</v>
      </c>
      <c r="D19" s="352">
        <v>0</v>
      </c>
      <c r="E19" s="352">
        <v>170024</v>
      </c>
      <c r="F19" s="352">
        <f>SUM('- 58 -'!$G19,'- 60 -'!$F19,B19:E19)+Data!Q19</f>
        <v>29252006</v>
      </c>
    </row>
    <row r="20" spans="1:6" ht="14.1" customHeight="1" x14ac:dyDescent="0.2">
      <c r="A20" s="237" t="s">
        <v>118</v>
      </c>
      <c r="B20" s="151">
        <v>21041269</v>
      </c>
      <c r="C20" s="151">
        <v>0</v>
      </c>
      <c r="D20" s="151">
        <v>0</v>
      </c>
      <c r="E20" s="151">
        <v>305831</v>
      </c>
      <c r="F20" s="151">
        <f>SUM('- 58 -'!$G20,'- 60 -'!$F20,B20:E20)+Data!Q20</f>
        <v>53566023</v>
      </c>
    </row>
    <row r="21" spans="1:6" ht="14.1" customHeight="1" x14ac:dyDescent="0.2">
      <c r="A21" s="354" t="s">
        <v>119</v>
      </c>
      <c r="B21" s="352">
        <v>3906834</v>
      </c>
      <c r="C21" s="352">
        <v>0</v>
      </c>
      <c r="D21" s="352">
        <v>0</v>
      </c>
      <c r="E21" s="352">
        <v>-23755</v>
      </c>
      <c r="F21" s="352">
        <f>SUM('- 58 -'!$G21,'- 60 -'!$F21,B21:E21)+Data!Q21</f>
        <v>16563104</v>
      </c>
    </row>
    <row r="22" spans="1:6" ht="14.1" customHeight="1" x14ac:dyDescent="0.2">
      <c r="A22" s="237" t="s">
        <v>120</v>
      </c>
      <c r="B22" s="151">
        <v>5611821</v>
      </c>
      <c r="C22" s="151">
        <v>970692</v>
      </c>
      <c r="D22" s="151">
        <v>0</v>
      </c>
      <c r="E22" s="151">
        <v>78040</v>
      </c>
      <c r="F22" s="151">
        <f>SUM('- 58 -'!$G22,'- 60 -'!$F22,B22:E22)+Data!Q22</f>
        <v>14173396</v>
      </c>
    </row>
    <row r="23" spans="1:6" ht="14.1" customHeight="1" x14ac:dyDescent="0.2">
      <c r="A23" s="354" t="s">
        <v>121</v>
      </c>
      <c r="B23" s="352">
        <v>2752414</v>
      </c>
      <c r="C23" s="352">
        <v>419953</v>
      </c>
      <c r="D23" s="352">
        <v>279740</v>
      </c>
      <c r="E23" s="352">
        <v>101040</v>
      </c>
      <c r="F23" s="352">
        <f>SUM('- 58 -'!$G23,'- 60 -'!$F23,B23:E23)+Data!Q23</f>
        <v>9180277</v>
      </c>
    </row>
    <row r="24" spans="1:6" ht="14.1" customHeight="1" x14ac:dyDescent="0.2">
      <c r="A24" s="237" t="s">
        <v>122</v>
      </c>
      <c r="B24" s="151">
        <v>4351525</v>
      </c>
      <c r="C24" s="151">
        <v>0</v>
      </c>
      <c r="D24" s="151">
        <v>802870</v>
      </c>
      <c r="E24" s="151">
        <v>332267</v>
      </c>
      <c r="F24" s="151">
        <f>SUM('- 58 -'!$G24,'- 60 -'!$F24,B24:E24)+Data!Q24</f>
        <v>22794159</v>
      </c>
    </row>
    <row r="25" spans="1:6" ht="14.1" customHeight="1" x14ac:dyDescent="0.2">
      <c r="A25" s="354" t="s">
        <v>123</v>
      </c>
      <c r="B25" s="352">
        <v>19822523</v>
      </c>
      <c r="C25" s="352">
        <v>0</v>
      </c>
      <c r="D25" s="352">
        <v>0</v>
      </c>
      <c r="E25" s="352">
        <v>641226</v>
      </c>
      <c r="F25" s="352">
        <f>SUM('- 58 -'!$G25,'- 60 -'!$F25,B25:E25)+Data!Q25</f>
        <v>81213810</v>
      </c>
    </row>
    <row r="26" spans="1:6" ht="14.1" customHeight="1" x14ac:dyDescent="0.2">
      <c r="A26" s="237" t="s">
        <v>124</v>
      </c>
      <c r="B26" s="151">
        <v>6614618</v>
      </c>
      <c r="C26" s="151">
        <v>719357</v>
      </c>
      <c r="D26" s="151">
        <v>0</v>
      </c>
      <c r="E26" s="151">
        <v>363754</v>
      </c>
      <c r="F26" s="151">
        <f>SUM('- 58 -'!$G26,'- 60 -'!$F26,B26:E26)+Data!Q26</f>
        <v>22117953</v>
      </c>
    </row>
    <row r="27" spans="1:6" ht="14.1" customHeight="1" x14ac:dyDescent="0.2">
      <c r="A27" s="354" t="s">
        <v>125</v>
      </c>
      <c r="B27" s="352">
        <v>12702244</v>
      </c>
      <c r="C27" s="352">
        <v>3841201</v>
      </c>
      <c r="D27" s="352">
        <v>0</v>
      </c>
      <c r="E27" s="352">
        <v>192536</v>
      </c>
      <c r="F27" s="352">
        <f>SUM('- 58 -'!$G27,'- 60 -'!$F27,B27:E27)+Data!Q27</f>
        <v>30870298</v>
      </c>
    </row>
    <row r="28" spans="1:6" ht="14.1" customHeight="1" x14ac:dyDescent="0.2">
      <c r="A28" s="237" t="s">
        <v>126</v>
      </c>
      <c r="B28" s="151">
        <v>336295</v>
      </c>
      <c r="C28" s="151">
        <v>0</v>
      </c>
      <c r="D28" s="151">
        <v>1645361</v>
      </c>
      <c r="E28" s="151">
        <v>137800</v>
      </c>
      <c r="F28" s="151">
        <f>SUM('- 58 -'!$G28,'- 60 -'!$F28,B28:E28)+Data!Q28</f>
        <v>10119404</v>
      </c>
    </row>
    <row r="29" spans="1:6" ht="14.1" customHeight="1" x14ac:dyDescent="0.2">
      <c r="A29" s="354" t="s">
        <v>127</v>
      </c>
      <c r="B29" s="352">
        <v>3626483</v>
      </c>
      <c r="C29" s="352">
        <v>0</v>
      </c>
      <c r="D29" s="352">
        <v>0</v>
      </c>
      <c r="E29" s="352">
        <v>423620</v>
      </c>
      <c r="F29" s="352">
        <f>SUM('- 58 -'!$G29,'- 60 -'!$F29,B29:E29)+Data!Q29</f>
        <v>59662522</v>
      </c>
    </row>
    <row r="30" spans="1:6" ht="14.1" customHeight="1" x14ac:dyDescent="0.2">
      <c r="A30" s="237" t="s">
        <v>128</v>
      </c>
      <c r="B30" s="151">
        <v>1024610</v>
      </c>
      <c r="C30" s="151">
        <v>0</v>
      </c>
      <c r="D30" s="151">
        <v>543998</v>
      </c>
      <c r="E30" s="151">
        <v>91144</v>
      </c>
      <c r="F30" s="151">
        <f>SUM('- 58 -'!$G30,'- 60 -'!$F30,B30:E30)+Data!Q30</f>
        <v>7129592</v>
      </c>
    </row>
    <row r="31" spans="1:6" ht="14.1" customHeight="1" x14ac:dyDescent="0.2">
      <c r="A31" s="354" t="s">
        <v>129</v>
      </c>
      <c r="B31" s="352">
        <v>4908231</v>
      </c>
      <c r="C31" s="352">
        <v>0</v>
      </c>
      <c r="D31" s="352">
        <v>0</v>
      </c>
      <c r="E31" s="352">
        <v>274501</v>
      </c>
      <c r="F31" s="352">
        <f>SUM('- 58 -'!$G31,'- 60 -'!$F31,B31:E31)+Data!Q31</f>
        <v>18968828</v>
      </c>
    </row>
    <row r="32" spans="1:6" ht="14.1" customHeight="1" x14ac:dyDescent="0.2">
      <c r="A32" s="237" t="s">
        <v>130</v>
      </c>
      <c r="B32" s="151">
        <v>240688</v>
      </c>
      <c r="C32" s="151">
        <v>0</v>
      </c>
      <c r="D32" s="151">
        <v>737847</v>
      </c>
      <c r="E32" s="151">
        <v>160180</v>
      </c>
      <c r="F32" s="151">
        <f>SUM('- 58 -'!$G32,'- 60 -'!$F32,B32:E32)+Data!Q32</f>
        <v>12211054</v>
      </c>
    </row>
    <row r="33" spans="1:6" ht="14.1" customHeight="1" x14ac:dyDescent="0.2">
      <c r="A33" s="354" t="s">
        <v>131</v>
      </c>
      <c r="B33" s="352">
        <v>0</v>
      </c>
      <c r="C33" s="352">
        <v>0</v>
      </c>
      <c r="D33" s="352">
        <v>2162950</v>
      </c>
      <c r="E33" s="352">
        <v>231527</v>
      </c>
      <c r="F33" s="352">
        <f>SUM('- 58 -'!$G33,'- 60 -'!$F33,B33:E33)+Data!Q33</f>
        <v>13358776</v>
      </c>
    </row>
    <row r="34" spans="1:6" ht="14.1" customHeight="1" x14ac:dyDescent="0.2">
      <c r="A34" s="237" t="s">
        <v>132</v>
      </c>
      <c r="B34" s="151">
        <v>0</v>
      </c>
      <c r="C34" s="151">
        <v>0</v>
      </c>
      <c r="D34" s="151">
        <v>582487</v>
      </c>
      <c r="E34" s="151">
        <v>149274</v>
      </c>
      <c r="F34" s="151">
        <f>SUM('- 58 -'!$G34,'- 60 -'!$F34,B34:E34)+Data!Q34</f>
        <v>11879015</v>
      </c>
    </row>
    <row r="35" spans="1:6" ht="14.1" customHeight="1" x14ac:dyDescent="0.2">
      <c r="A35" s="354" t="s">
        <v>133</v>
      </c>
      <c r="B35" s="352">
        <v>27206722</v>
      </c>
      <c r="C35" s="352">
        <v>3036165</v>
      </c>
      <c r="D35" s="352">
        <v>0</v>
      </c>
      <c r="E35" s="352">
        <v>722558</v>
      </c>
      <c r="F35" s="352">
        <f>SUM('- 58 -'!$G35,'- 60 -'!$F35,B35:E35)+Data!Q35</f>
        <v>96419914</v>
      </c>
    </row>
    <row r="36" spans="1:6" ht="14.1" customHeight="1" x14ac:dyDescent="0.2">
      <c r="A36" s="237" t="s">
        <v>134</v>
      </c>
      <c r="B36" s="151">
        <v>83278</v>
      </c>
      <c r="C36" s="151">
        <v>0</v>
      </c>
      <c r="D36" s="151">
        <v>1499398</v>
      </c>
      <c r="E36" s="151">
        <v>133020</v>
      </c>
      <c r="F36" s="151">
        <f>SUM('- 58 -'!$G36,'- 60 -'!$F36,B36:E36)+Data!Q36</f>
        <v>9604612</v>
      </c>
    </row>
    <row r="37" spans="1:6" ht="14.1" customHeight="1" x14ac:dyDescent="0.2">
      <c r="A37" s="354" t="s">
        <v>135</v>
      </c>
      <c r="B37" s="352">
        <v>10540543</v>
      </c>
      <c r="C37" s="352">
        <v>0</v>
      </c>
      <c r="D37" s="352">
        <v>0</v>
      </c>
      <c r="E37" s="352">
        <v>146325</v>
      </c>
      <c r="F37" s="352">
        <f>SUM('- 58 -'!$G37,'- 60 -'!$F37,B37:E37)+Data!Q37</f>
        <v>30011376</v>
      </c>
    </row>
    <row r="38" spans="1:6" ht="14.1" customHeight="1" x14ac:dyDescent="0.2">
      <c r="A38" s="237" t="s">
        <v>136</v>
      </c>
      <c r="B38" s="151">
        <v>28900023</v>
      </c>
      <c r="C38" s="151">
        <v>4111702</v>
      </c>
      <c r="D38" s="151">
        <v>0</v>
      </c>
      <c r="E38" s="151">
        <v>475101</v>
      </c>
      <c r="F38" s="151">
        <f>SUM('- 58 -'!$G38,'- 60 -'!$F38,B38:E38)+Data!Q38</f>
        <v>77561123</v>
      </c>
    </row>
    <row r="39" spans="1:6" ht="14.1" customHeight="1" x14ac:dyDescent="0.2">
      <c r="A39" s="354" t="s">
        <v>137</v>
      </c>
      <c r="B39" s="352">
        <v>0</v>
      </c>
      <c r="C39" s="352">
        <v>0</v>
      </c>
      <c r="D39" s="352">
        <v>960915</v>
      </c>
      <c r="E39" s="352">
        <v>109800</v>
      </c>
      <c r="F39" s="352">
        <f>SUM('- 58 -'!$G39,'- 60 -'!$F39,B39:E39)+Data!Q39</f>
        <v>8637472</v>
      </c>
    </row>
    <row r="40" spans="1:6" ht="14.1" customHeight="1" x14ac:dyDescent="0.2">
      <c r="A40" s="237" t="s">
        <v>138</v>
      </c>
      <c r="B40" s="151">
        <v>4025232</v>
      </c>
      <c r="C40" s="151">
        <v>0</v>
      </c>
      <c r="D40" s="151">
        <v>0</v>
      </c>
      <c r="E40" s="151">
        <v>489900</v>
      </c>
      <c r="F40" s="151">
        <f>SUM('- 58 -'!$G40,'- 60 -'!$F40,B40:E40)+Data!Q40</f>
        <v>38198179</v>
      </c>
    </row>
    <row r="41" spans="1:6" ht="14.1" customHeight="1" x14ac:dyDescent="0.2">
      <c r="A41" s="354" t="s">
        <v>139</v>
      </c>
      <c r="B41" s="352">
        <v>3707840</v>
      </c>
      <c r="C41" s="352">
        <v>0</v>
      </c>
      <c r="D41" s="352">
        <v>0</v>
      </c>
      <c r="E41" s="352">
        <v>215220</v>
      </c>
      <c r="F41" s="352">
        <f>SUM('- 58 -'!$G41,'- 60 -'!$F41,B41:E41)+Data!Q41</f>
        <v>24899715</v>
      </c>
    </row>
    <row r="42" spans="1:6" ht="14.1" customHeight="1" x14ac:dyDescent="0.2">
      <c r="A42" s="237" t="s">
        <v>140</v>
      </c>
      <c r="B42" s="151">
        <v>2793277</v>
      </c>
      <c r="C42" s="151">
        <v>557431</v>
      </c>
      <c r="D42" s="151">
        <v>448724</v>
      </c>
      <c r="E42" s="151">
        <v>155400</v>
      </c>
      <c r="F42" s="151">
        <f>SUM('- 58 -'!$G42,'- 60 -'!$F42,B42:E42)+Data!Q42</f>
        <v>11105832</v>
      </c>
    </row>
    <row r="43" spans="1:6" ht="14.1" customHeight="1" x14ac:dyDescent="0.2">
      <c r="A43" s="354" t="s">
        <v>141</v>
      </c>
      <c r="B43" s="352">
        <v>135030</v>
      </c>
      <c r="C43" s="352">
        <v>0</v>
      </c>
      <c r="D43" s="352">
        <v>807789</v>
      </c>
      <c r="E43" s="352">
        <v>61080</v>
      </c>
      <c r="F43" s="352">
        <f>SUM('- 58 -'!$G43,'- 60 -'!$F43,B43:E43)+Data!Q43</f>
        <v>5709614</v>
      </c>
    </row>
    <row r="44" spans="1:6" ht="14.1" customHeight="1" x14ac:dyDescent="0.2">
      <c r="A44" s="237" t="s">
        <v>142</v>
      </c>
      <c r="B44" s="151">
        <v>2230408</v>
      </c>
      <c r="C44" s="151">
        <v>434059</v>
      </c>
      <c r="D44" s="151">
        <v>0</v>
      </c>
      <c r="E44" s="151">
        <v>130428</v>
      </c>
      <c r="F44" s="151">
        <f>SUM('- 58 -'!$G44,'- 60 -'!$F44,B44:E44)+Data!Q44</f>
        <v>7111941</v>
      </c>
    </row>
    <row r="45" spans="1:6" ht="14.1" customHeight="1" x14ac:dyDescent="0.2">
      <c r="A45" s="354" t="s">
        <v>143</v>
      </c>
      <c r="B45" s="352">
        <v>3908105</v>
      </c>
      <c r="C45" s="352">
        <v>0</v>
      </c>
      <c r="D45" s="352">
        <v>0</v>
      </c>
      <c r="E45" s="352">
        <v>87123</v>
      </c>
      <c r="F45" s="352">
        <f>SUM('- 58 -'!$G45,'- 60 -'!$F45,B45:E45)+Data!Q45</f>
        <v>11368446</v>
      </c>
    </row>
    <row r="46" spans="1:6" ht="14.1" customHeight="1" x14ac:dyDescent="0.2">
      <c r="A46" s="237" t="s">
        <v>144</v>
      </c>
      <c r="B46" s="151">
        <v>53015289</v>
      </c>
      <c r="C46" s="151">
        <v>4863665</v>
      </c>
      <c r="D46" s="151">
        <v>0</v>
      </c>
      <c r="E46" s="151">
        <v>1808456</v>
      </c>
      <c r="F46" s="151">
        <f>SUM('- 58 -'!$G46,'- 60 -'!$F46,B46:E46)+Data!Q46</f>
        <v>186509036</v>
      </c>
    </row>
    <row r="47" spans="1:6" ht="5.0999999999999996" customHeight="1" x14ac:dyDescent="0.2">
      <c r="A47" s="130"/>
      <c r="B47" s="152"/>
      <c r="C47" s="152"/>
      <c r="D47" s="152"/>
      <c r="E47" s="152"/>
      <c r="F47" s="152"/>
    </row>
    <row r="48" spans="1:6" ht="14.1" customHeight="1" x14ac:dyDescent="0.2">
      <c r="A48" s="355" t="s">
        <v>145</v>
      </c>
      <c r="B48" s="356">
        <f t="shared" ref="B48:C48" si="0">SUM(B11:B46)</f>
        <v>288272544</v>
      </c>
      <c r="C48" s="356">
        <f t="shared" si="0"/>
        <v>23922974</v>
      </c>
      <c r="D48" s="356">
        <f t="shared" ref="D48:E48" si="1">SUM(D11:D46)</f>
        <v>12231391</v>
      </c>
      <c r="E48" s="356">
        <f t="shared" si="1"/>
        <v>9758078</v>
      </c>
      <c r="F48" s="356">
        <f>SUM(F11:F46)</f>
        <v>1095718139</v>
      </c>
    </row>
    <row r="49" spans="1:6" ht="5.0999999999999996" customHeight="1" x14ac:dyDescent="0.2">
      <c r="A49" s="130" t="s">
        <v>7</v>
      </c>
      <c r="B49" s="152"/>
      <c r="C49" s="152"/>
      <c r="D49" s="152"/>
      <c r="E49" s="152"/>
      <c r="F49" s="152"/>
    </row>
    <row r="50" spans="1:6" ht="14.1" customHeight="1" x14ac:dyDescent="0.2">
      <c r="A50" s="237" t="s">
        <v>146</v>
      </c>
      <c r="B50" s="151">
        <v>0</v>
      </c>
      <c r="C50" s="151">
        <v>0</v>
      </c>
      <c r="D50" s="151">
        <v>157630</v>
      </c>
      <c r="E50" s="151">
        <v>712</v>
      </c>
      <c r="F50" s="151">
        <f>SUM('- 58 -'!$G50,'- 60 -'!$F50,B50:E50)+Data!Q50</f>
        <v>919313</v>
      </c>
    </row>
    <row r="51" spans="1:6" ht="14.1" customHeight="1" x14ac:dyDescent="0.2">
      <c r="A51" s="354" t="s">
        <v>599</v>
      </c>
      <c r="B51" s="352">
        <v>0</v>
      </c>
      <c r="C51" s="352">
        <v>0</v>
      </c>
      <c r="D51" s="352">
        <v>0</v>
      </c>
      <c r="E51" s="352">
        <v>0</v>
      </c>
      <c r="F51" s="352">
        <f>SUM('- 58 -'!$G51,'- 60 -'!$F51,B51:E51)+Data!Q51</f>
        <v>0</v>
      </c>
    </row>
    <row r="52" spans="1:6" ht="50.1" customHeight="1" x14ac:dyDescent="0.2">
      <c r="A52" s="23"/>
      <c r="B52" s="23"/>
      <c r="C52" s="23"/>
      <c r="D52" s="23"/>
      <c r="E52" s="23"/>
      <c r="F52" s="23"/>
    </row>
    <row r="53" spans="1:6" ht="15" customHeight="1" x14ac:dyDescent="0.2">
      <c r="A53" s="824" t="s">
        <v>584</v>
      </c>
      <c r="B53" s="824"/>
      <c r="C53" s="824"/>
      <c r="D53" s="824"/>
      <c r="E53" s="824"/>
      <c r="F53" s="824"/>
    </row>
    <row r="54" spans="1:6" ht="12" customHeight="1" x14ac:dyDescent="0.2">
      <c r="A54" s="823"/>
      <c r="B54" s="823"/>
      <c r="C54" s="823"/>
      <c r="D54" s="823"/>
      <c r="E54" s="823"/>
      <c r="F54" s="823"/>
    </row>
    <row r="55" spans="1:6" x14ac:dyDescent="0.2">
      <c r="A55" s="823" t="s">
        <v>632</v>
      </c>
      <c r="B55" s="823"/>
      <c r="C55" s="823"/>
      <c r="D55" s="823"/>
      <c r="E55" s="823"/>
      <c r="F55" s="823"/>
    </row>
    <row r="56" spans="1:6" x14ac:dyDescent="0.2">
      <c r="A56" s="823"/>
      <c r="B56" s="823"/>
      <c r="C56" s="823"/>
      <c r="D56" s="823"/>
      <c r="E56" s="823"/>
      <c r="F56" s="823"/>
    </row>
    <row r="57" spans="1:6" x14ac:dyDescent="0.2">
      <c r="A57" s="527" t="str">
        <f>"(3)  Formula Guarantee is provided to ensure that every school division receives at least 98% of the funding provided in "&amp;PrevY&amp;"."</f>
        <v>(3)  Formula Guarantee is provided to ensure that every school division receives at least 98% of the funding provided in 2018/19.</v>
      </c>
    </row>
    <row r="58" spans="1:6" x14ac:dyDescent="0.2">
      <c r="A58" s="24" t="s">
        <v>383</v>
      </c>
    </row>
    <row r="59" spans="1:6" x14ac:dyDescent="0.2">
      <c r="A59" s="2" t="s">
        <v>384</v>
      </c>
    </row>
  </sheetData>
  <mergeCells count="8">
    <mergeCell ref="A55:F56"/>
    <mergeCell ref="A53:F54"/>
    <mergeCell ref="B5:F6"/>
    <mergeCell ref="B8:B9"/>
    <mergeCell ref="C7:C9"/>
    <mergeCell ref="D8:D9"/>
    <mergeCell ref="E7:E9"/>
    <mergeCell ref="F7:F9"/>
  </mergeCells>
  <phoneticPr fontId="6" type="noConversion"/>
  <pageMargins left="0.5" right="0.5" top="0.6" bottom="0.2" header="0.3" footer="0.5"/>
  <pageSetup scale="91" orientation="portrait" r:id="rId1"/>
  <headerFooter alignWithMargins="0">
    <oddHeader>&amp;C&amp;"Arial,Regular"&amp;11&amp;A</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1">
    <pageSetUpPr fitToPage="1"/>
  </sheetPr>
  <dimension ref="A1:I64"/>
  <sheetViews>
    <sheetView showGridLines="0" showZeros="0" workbookViewId="0"/>
  </sheetViews>
  <sheetFormatPr defaultColWidth="14.83203125" defaultRowHeight="12" x14ac:dyDescent="0.2"/>
  <cols>
    <col min="1" max="1" width="27.83203125" style="2" customWidth="1"/>
    <col min="2" max="2" width="20" style="2" customWidth="1"/>
    <col min="3" max="3" width="22.83203125" style="2" customWidth="1"/>
    <col min="4" max="4" width="23.6640625" style="2" customWidth="1"/>
    <col min="5" max="5" width="14.83203125" style="2" hidden="1" customWidth="1"/>
    <col min="6" max="6" width="34" style="2" customWidth="1"/>
    <col min="7" max="16384" width="14.83203125" style="2"/>
  </cols>
  <sheetData>
    <row r="1" spans="1:9" ht="6.95" customHeight="1" x14ac:dyDescent="0.2">
      <c r="A1" s="7"/>
      <c r="B1" s="8"/>
    </row>
    <row r="2" spans="1:9" ht="18" customHeight="1" x14ac:dyDescent="0.2">
      <c r="A2" s="251"/>
      <c r="B2" s="577"/>
      <c r="C2" s="577" t="s">
        <v>280</v>
      </c>
      <c r="D2" s="482" t="str">
        <f>Data!B5&amp; " ACTUAL"</f>
        <v>2019/20 ACTUAL</v>
      </c>
      <c r="F2" s="386" t="s">
        <v>11</v>
      </c>
    </row>
    <row r="3" spans="1:9" ht="3.95" customHeight="1" x14ac:dyDescent="0.2">
      <c r="A3" s="536"/>
      <c r="B3" s="253"/>
      <c r="C3" s="253"/>
      <c r="D3" s="258"/>
    </row>
    <row r="4" spans="1:9" ht="14.1" customHeight="1" x14ac:dyDescent="0.2">
      <c r="A4" s="259"/>
      <c r="B4" s="828" t="s">
        <v>250</v>
      </c>
      <c r="C4" s="829"/>
      <c r="D4" s="830"/>
    </row>
    <row r="5" spans="1:9" ht="12.95" customHeight="1" x14ac:dyDescent="0.2">
      <c r="A5" s="260"/>
      <c r="B5" s="257"/>
      <c r="C5" s="732" t="s">
        <v>609</v>
      </c>
      <c r="D5" s="257"/>
    </row>
    <row r="6" spans="1:9" ht="12.95" customHeight="1" x14ac:dyDescent="0.2">
      <c r="A6" s="255"/>
      <c r="B6" s="257"/>
      <c r="C6" s="817"/>
      <c r="D6" s="257"/>
    </row>
    <row r="7" spans="1:9" ht="12.95" customHeight="1" x14ac:dyDescent="0.2">
      <c r="A7" s="255"/>
      <c r="B7" s="257"/>
      <c r="C7" s="817"/>
      <c r="D7" s="257"/>
    </row>
    <row r="8" spans="1:9" ht="12.95" customHeight="1" x14ac:dyDescent="0.2">
      <c r="A8" s="255"/>
      <c r="B8" s="257"/>
      <c r="C8" s="817"/>
      <c r="D8" s="257"/>
    </row>
    <row r="9" spans="1:9" ht="12.95" customHeight="1" x14ac:dyDescent="0.2">
      <c r="A9" s="255"/>
      <c r="B9" s="817" t="s">
        <v>608</v>
      </c>
      <c r="C9" s="817"/>
      <c r="D9" s="817" t="s">
        <v>610</v>
      </c>
    </row>
    <row r="10" spans="1:9" ht="12.95" customHeight="1" x14ac:dyDescent="0.2">
      <c r="A10" s="16"/>
      <c r="B10" s="817"/>
      <c r="C10" s="817"/>
      <c r="D10" s="817"/>
    </row>
    <row r="11" spans="1:9" ht="12.95" customHeight="1" x14ac:dyDescent="0.2">
      <c r="A11" s="17" t="s">
        <v>42</v>
      </c>
      <c r="B11" s="818"/>
      <c r="C11" s="818"/>
      <c r="D11" s="818"/>
      <c r="I11" s="510" t="str">
        <f>IF(SUM(I13:I53)&lt;&gt;0,"Check","")</f>
        <v/>
      </c>
    </row>
    <row r="12" spans="1:9" ht="5.0999999999999996" customHeight="1" x14ac:dyDescent="0.2">
      <c r="A12" s="18"/>
    </row>
    <row r="13" spans="1:9" ht="13.5" customHeight="1" x14ac:dyDescent="0.2">
      <c r="A13" s="354" t="s">
        <v>110</v>
      </c>
      <c r="B13" s="352">
        <v>664763</v>
      </c>
      <c r="C13" s="352">
        <f>-Data!L11-Data!M11-Data!N11-Data!O11</f>
        <v>-19126</v>
      </c>
      <c r="D13" s="352">
        <f>SUM(B13:C13)</f>
        <v>645637</v>
      </c>
      <c r="E13" s="352">
        <v>645637</v>
      </c>
      <c r="I13" s="510">
        <f t="shared" ref="I13:I48" si="0">D13-E13</f>
        <v>0</v>
      </c>
    </row>
    <row r="14" spans="1:9" ht="13.5" customHeight="1" x14ac:dyDescent="0.2">
      <c r="A14" s="237" t="s">
        <v>111</v>
      </c>
      <c r="B14" s="151">
        <v>1069634</v>
      </c>
      <c r="C14" s="151">
        <f>-Data!L12-Data!M12-Data!N12-Data!O12</f>
        <v>-10375</v>
      </c>
      <c r="D14" s="151">
        <f>SUM(B14:C14)</f>
        <v>1059259</v>
      </c>
      <c r="E14" s="151">
        <v>1059259</v>
      </c>
      <c r="I14" s="510">
        <f t="shared" si="0"/>
        <v>0</v>
      </c>
    </row>
    <row r="15" spans="1:9" ht="13.5" customHeight="1" x14ac:dyDescent="0.2">
      <c r="A15" s="354" t="s">
        <v>112</v>
      </c>
      <c r="B15" s="352">
        <v>2877771</v>
      </c>
      <c r="C15" s="352">
        <f>-Data!L13-Data!M13-Data!N13-Data!O13</f>
        <v>-87251</v>
      </c>
      <c r="D15" s="352">
        <f>SUM(B15:C15)</f>
        <v>2790520</v>
      </c>
      <c r="E15" s="352">
        <v>2790520</v>
      </c>
      <c r="I15" s="510">
        <f t="shared" si="0"/>
        <v>0</v>
      </c>
    </row>
    <row r="16" spans="1:9" ht="13.5" customHeight="1" x14ac:dyDescent="0.2">
      <c r="A16" s="237" t="s">
        <v>358</v>
      </c>
      <c r="B16" s="151"/>
      <c r="C16" s="151"/>
      <c r="D16" s="151"/>
      <c r="E16" s="151"/>
      <c r="I16" s="510">
        <f t="shared" si="0"/>
        <v>0</v>
      </c>
    </row>
    <row r="17" spans="1:9" ht="13.5" customHeight="1" x14ac:dyDescent="0.2">
      <c r="A17" s="354" t="s">
        <v>113</v>
      </c>
      <c r="B17" s="352">
        <v>730144</v>
      </c>
      <c r="C17" s="352">
        <f>-Data!L15-Data!M15-Data!N15-Data!O15</f>
        <v>-37279</v>
      </c>
      <c r="D17" s="352">
        <f>SUM(B17:C17)</f>
        <v>692865</v>
      </c>
      <c r="E17" s="352">
        <v>692865</v>
      </c>
      <c r="I17" s="510">
        <f t="shared" si="0"/>
        <v>0</v>
      </c>
    </row>
    <row r="18" spans="1:9" ht="13.5" customHeight="1" x14ac:dyDescent="0.2">
      <c r="A18" s="237" t="s">
        <v>114</v>
      </c>
      <c r="B18" s="151">
        <v>657698</v>
      </c>
      <c r="C18" s="151">
        <f>-Data!L16-Data!M16-Data!N16-Data!O16</f>
        <v>-21009</v>
      </c>
      <c r="D18" s="151">
        <f>SUM(B18:C18)</f>
        <v>636689</v>
      </c>
      <c r="E18" s="151">
        <v>636689</v>
      </c>
      <c r="I18" s="510">
        <f t="shared" si="0"/>
        <v>0</v>
      </c>
    </row>
    <row r="19" spans="1:9" ht="13.5" customHeight="1" x14ac:dyDescent="0.2">
      <c r="A19" s="354" t="s">
        <v>115</v>
      </c>
      <c r="B19" s="352">
        <v>690232</v>
      </c>
      <c r="C19" s="352">
        <f>-Data!L17-Data!M17-Data!N17-Data!O17</f>
        <v>-41825</v>
      </c>
      <c r="D19" s="352">
        <f>SUM(B19:C19)</f>
        <v>648407</v>
      </c>
      <c r="E19" s="352">
        <v>648407</v>
      </c>
      <c r="I19" s="510">
        <f t="shared" si="0"/>
        <v>0</v>
      </c>
    </row>
    <row r="20" spans="1:9" ht="13.5" customHeight="1" x14ac:dyDescent="0.2">
      <c r="A20" s="237" t="s">
        <v>116</v>
      </c>
      <c r="B20" s="151"/>
      <c r="C20" s="151"/>
      <c r="D20" s="151"/>
      <c r="E20" s="151"/>
      <c r="I20" s="510">
        <f t="shared" si="0"/>
        <v>0</v>
      </c>
    </row>
    <row r="21" spans="1:9" ht="13.5" customHeight="1" x14ac:dyDescent="0.2">
      <c r="A21" s="354" t="s">
        <v>117</v>
      </c>
      <c r="B21" s="352">
        <v>1397376</v>
      </c>
      <c r="C21" s="352">
        <f>-Data!L19-Data!M19-Data!N19-Data!O19</f>
        <v>-19733</v>
      </c>
      <c r="D21" s="352">
        <f t="shared" ref="D21:D48" si="1">SUM(B21:C21)</f>
        <v>1377643</v>
      </c>
      <c r="E21" s="352">
        <v>1377643</v>
      </c>
      <c r="I21" s="510">
        <f t="shared" si="0"/>
        <v>0</v>
      </c>
    </row>
    <row r="22" spans="1:9" ht="13.5" customHeight="1" x14ac:dyDescent="0.2">
      <c r="A22" s="237" t="s">
        <v>118</v>
      </c>
      <c r="B22" s="151">
        <v>2253907</v>
      </c>
      <c r="C22" s="151">
        <f>-Data!L20-Data!M20-Data!N20-Data!O20</f>
        <v>-59599</v>
      </c>
      <c r="D22" s="151">
        <f t="shared" si="1"/>
        <v>2194308</v>
      </c>
      <c r="E22" s="151">
        <v>2194308</v>
      </c>
      <c r="I22" s="510">
        <f t="shared" si="0"/>
        <v>0</v>
      </c>
    </row>
    <row r="23" spans="1:9" ht="13.5" customHeight="1" x14ac:dyDescent="0.2">
      <c r="A23" s="354" t="s">
        <v>119</v>
      </c>
      <c r="B23" s="352">
        <v>1256318</v>
      </c>
      <c r="C23" s="352">
        <f>-Data!L21-Data!M21-Data!N21-Data!O21</f>
        <v>-33861</v>
      </c>
      <c r="D23" s="352">
        <f t="shared" si="1"/>
        <v>1222457</v>
      </c>
      <c r="E23" s="352">
        <v>1222457</v>
      </c>
      <c r="I23" s="510">
        <f t="shared" si="0"/>
        <v>0</v>
      </c>
    </row>
    <row r="24" spans="1:9" ht="13.5" customHeight="1" x14ac:dyDescent="0.2">
      <c r="A24" s="237" t="s">
        <v>120</v>
      </c>
      <c r="B24" s="151">
        <v>715929</v>
      </c>
      <c r="C24" s="151">
        <f>-Data!L22-Data!M22-Data!N22-Data!O22</f>
        <v>-16432</v>
      </c>
      <c r="D24" s="151">
        <f t="shared" si="1"/>
        <v>699497</v>
      </c>
      <c r="E24" s="151">
        <v>699497</v>
      </c>
      <c r="I24" s="510">
        <f t="shared" si="0"/>
        <v>0</v>
      </c>
    </row>
    <row r="25" spans="1:9" ht="13.5" customHeight="1" x14ac:dyDescent="0.2">
      <c r="A25" s="354" t="s">
        <v>121</v>
      </c>
      <c r="B25" s="352">
        <v>581382</v>
      </c>
      <c r="C25" s="352">
        <f>-Data!L23-Data!M23-Data!N23-Data!O23</f>
        <v>-28839</v>
      </c>
      <c r="D25" s="352">
        <f t="shared" si="1"/>
        <v>552543</v>
      </c>
      <c r="E25" s="352">
        <v>552543</v>
      </c>
      <c r="I25" s="510">
        <f t="shared" si="0"/>
        <v>0</v>
      </c>
    </row>
    <row r="26" spans="1:9" ht="13.5" customHeight="1" x14ac:dyDescent="0.2">
      <c r="A26" s="237" t="s">
        <v>122</v>
      </c>
      <c r="B26" s="151">
        <v>1890468</v>
      </c>
      <c r="C26" s="151">
        <f>-Data!L24-Data!M24-Data!N24-Data!O24</f>
        <v>-64977</v>
      </c>
      <c r="D26" s="151">
        <f t="shared" si="1"/>
        <v>1825491</v>
      </c>
      <c r="E26" s="151">
        <v>1825491</v>
      </c>
      <c r="I26" s="510">
        <f t="shared" si="0"/>
        <v>0</v>
      </c>
    </row>
    <row r="27" spans="1:9" ht="13.5" customHeight="1" x14ac:dyDescent="0.2">
      <c r="A27" s="354" t="s">
        <v>123</v>
      </c>
      <c r="B27" s="352">
        <v>7511843</v>
      </c>
      <c r="C27" s="352">
        <f>-Data!L25-Data!M25-Data!N25-Data!O25</f>
        <v>-2140708</v>
      </c>
      <c r="D27" s="352">
        <f t="shared" si="1"/>
        <v>5371135</v>
      </c>
      <c r="E27" s="352">
        <v>5371135</v>
      </c>
      <c r="I27" s="510">
        <f t="shared" si="0"/>
        <v>0</v>
      </c>
    </row>
    <row r="28" spans="1:9" ht="13.5" customHeight="1" x14ac:dyDescent="0.2">
      <c r="A28" s="237" t="s">
        <v>124</v>
      </c>
      <c r="B28" s="151">
        <v>1286054</v>
      </c>
      <c r="C28" s="151">
        <f>-Data!L26-Data!M26-Data!N26-Data!O26</f>
        <v>-11565</v>
      </c>
      <c r="D28" s="151">
        <f t="shared" si="1"/>
        <v>1274489</v>
      </c>
      <c r="E28" s="151">
        <v>1274489</v>
      </c>
      <c r="I28" s="510">
        <f t="shared" si="0"/>
        <v>0</v>
      </c>
    </row>
    <row r="29" spans="1:9" ht="13.5" customHeight="1" x14ac:dyDescent="0.2">
      <c r="A29" s="354" t="s">
        <v>125</v>
      </c>
      <c r="B29" s="352">
        <v>1672085</v>
      </c>
      <c r="C29" s="352">
        <f>-Data!L27-Data!M27-Data!N27-Data!O27</f>
        <v>-57267</v>
      </c>
      <c r="D29" s="352">
        <f t="shared" si="1"/>
        <v>1614818</v>
      </c>
      <c r="E29" s="352">
        <v>1614818</v>
      </c>
      <c r="I29" s="510">
        <f t="shared" si="0"/>
        <v>0</v>
      </c>
    </row>
    <row r="30" spans="1:9" ht="13.5" customHeight="1" x14ac:dyDescent="0.2">
      <c r="A30" s="237" t="s">
        <v>126</v>
      </c>
      <c r="B30" s="151">
        <v>1021965</v>
      </c>
      <c r="C30" s="151">
        <f>-Data!L28-Data!M28-Data!N28-Data!O28</f>
        <v>-263522</v>
      </c>
      <c r="D30" s="151">
        <f t="shared" si="1"/>
        <v>758443</v>
      </c>
      <c r="E30" s="151">
        <v>758443</v>
      </c>
      <c r="I30" s="510">
        <f t="shared" si="0"/>
        <v>0</v>
      </c>
    </row>
    <row r="31" spans="1:9" ht="13.5" customHeight="1" x14ac:dyDescent="0.2">
      <c r="A31" s="354" t="s">
        <v>127</v>
      </c>
      <c r="B31" s="352">
        <v>5792248</v>
      </c>
      <c r="C31" s="352">
        <f>-Data!L29-Data!M29-Data!N29-Data!O29</f>
        <v>-809549</v>
      </c>
      <c r="D31" s="352">
        <f t="shared" si="1"/>
        <v>4982699</v>
      </c>
      <c r="E31" s="352">
        <v>4982699</v>
      </c>
      <c r="I31" s="510">
        <f t="shared" si="0"/>
        <v>0</v>
      </c>
    </row>
    <row r="32" spans="1:9" ht="13.5" customHeight="1" x14ac:dyDescent="0.2">
      <c r="A32" s="237" t="s">
        <v>128</v>
      </c>
      <c r="B32" s="151">
        <v>562411</v>
      </c>
      <c r="C32" s="151">
        <f>-Data!L30-Data!M30-Data!N30-Data!O30</f>
        <v>-22548</v>
      </c>
      <c r="D32" s="151">
        <f t="shared" si="1"/>
        <v>539863</v>
      </c>
      <c r="E32" s="151">
        <v>539863</v>
      </c>
      <c r="I32" s="510">
        <f t="shared" si="0"/>
        <v>0</v>
      </c>
    </row>
    <row r="33" spans="1:9" ht="13.5" customHeight="1" x14ac:dyDescent="0.2">
      <c r="A33" s="354" t="s">
        <v>129</v>
      </c>
      <c r="B33" s="352">
        <v>994698</v>
      </c>
      <c r="C33" s="352">
        <f>-Data!L31-Data!M31-Data!N31-Data!O31</f>
        <v>-49422</v>
      </c>
      <c r="D33" s="352">
        <f t="shared" si="1"/>
        <v>945276</v>
      </c>
      <c r="E33" s="352">
        <v>945276</v>
      </c>
      <c r="I33" s="510">
        <f t="shared" si="0"/>
        <v>0</v>
      </c>
    </row>
    <row r="34" spans="1:9" ht="13.5" customHeight="1" x14ac:dyDescent="0.2">
      <c r="A34" s="237" t="s">
        <v>130</v>
      </c>
      <c r="B34" s="151">
        <v>1095971</v>
      </c>
      <c r="C34" s="151">
        <f>-Data!L32-Data!M32-Data!N32-Data!O32</f>
        <v>-33468</v>
      </c>
      <c r="D34" s="151">
        <f t="shared" si="1"/>
        <v>1062503</v>
      </c>
      <c r="E34" s="151">
        <v>1062503</v>
      </c>
      <c r="I34" s="510">
        <f t="shared" si="0"/>
        <v>0</v>
      </c>
    </row>
    <row r="35" spans="1:9" ht="13.5" customHeight="1" x14ac:dyDescent="0.2">
      <c r="A35" s="354" t="s">
        <v>131</v>
      </c>
      <c r="B35" s="352">
        <v>871648</v>
      </c>
      <c r="C35" s="352">
        <f>-Data!L33-Data!M33-Data!N33-Data!O33</f>
        <v>-33466</v>
      </c>
      <c r="D35" s="352">
        <f t="shared" si="1"/>
        <v>838182</v>
      </c>
      <c r="E35" s="352">
        <v>838182</v>
      </c>
      <c r="I35" s="510">
        <f t="shared" si="0"/>
        <v>0</v>
      </c>
    </row>
    <row r="36" spans="1:9" ht="13.5" customHeight="1" x14ac:dyDescent="0.2">
      <c r="A36" s="237" t="s">
        <v>132</v>
      </c>
      <c r="B36" s="151">
        <v>1044229</v>
      </c>
      <c r="C36" s="151">
        <f>-Data!L34-Data!M34-Data!N34-Data!O34</f>
        <v>-34948</v>
      </c>
      <c r="D36" s="151">
        <f t="shared" si="1"/>
        <v>1009281</v>
      </c>
      <c r="E36" s="151">
        <v>1009281</v>
      </c>
      <c r="I36" s="510">
        <f t="shared" si="0"/>
        <v>0</v>
      </c>
    </row>
    <row r="37" spans="1:9" ht="13.5" customHeight="1" x14ac:dyDescent="0.2">
      <c r="A37" s="354" t="s">
        <v>133</v>
      </c>
      <c r="B37" s="352">
        <v>5592285</v>
      </c>
      <c r="C37" s="352">
        <f>-Data!L35-Data!M35-Data!N35-Data!O35</f>
        <v>-542819</v>
      </c>
      <c r="D37" s="352">
        <f t="shared" si="1"/>
        <v>5049466</v>
      </c>
      <c r="E37" s="352">
        <v>5049466</v>
      </c>
      <c r="I37" s="510">
        <f t="shared" si="0"/>
        <v>0</v>
      </c>
    </row>
    <row r="38" spans="1:9" ht="13.5" customHeight="1" x14ac:dyDescent="0.2">
      <c r="A38" s="237" t="s">
        <v>134</v>
      </c>
      <c r="B38" s="151">
        <v>813409</v>
      </c>
      <c r="C38" s="151">
        <f>-Data!L36-Data!M36-Data!N36-Data!O36</f>
        <v>-48498</v>
      </c>
      <c r="D38" s="151">
        <f t="shared" si="1"/>
        <v>764911</v>
      </c>
      <c r="E38" s="151">
        <v>764911</v>
      </c>
      <c r="I38" s="510">
        <f t="shared" si="0"/>
        <v>0</v>
      </c>
    </row>
    <row r="39" spans="1:9" ht="13.5" customHeight="1" x14ac:dyDescent="0.2">
      <c r="A39" s="354" t="s">
        <v>135</v>
      </c>
      <c r="B39" s="352">
        <v>1472385</v>
      </c>
      <c r="C39" s="352">
        <f>-Data!L37-Data!M37-Data!N37-Data!O37</f>
        <v>-46914</v>
      </c>
      <c r="D39" s="352">
        <f t="shared" si="1"/>
        <v>1425471</v>
      </c>
      <c r="E39" s="352">
        <v>1425471</v>
      </c>
      <c r="I39" s="510">
        <f t="shared" si="0"/>
        <v>0</v>
      </c>
    </row>
    <row r="40" spans="1:9" ht="13.5" customHeight="1" x14ac:dyDescent="0.2">
      <c r="A40" s="237" t="s">
        <v>136</v>
      </c>
      <c r="B40" s="151">
        <v>3985096</v>
      </c>
      <c r="C40" s="151">
        <f>-Data!L38-Data!M38-Data!N38-Data!O38</f>
        <v>-106316</v>
      </c>
      <c r="D40" s="151">
        <f t="shared" si="1"/>
        <v>3878780</v>
      </c>
      <c r="E40" s="151">
        <v>3878780</v>
      </c>
      <c r="I40" s="510">
        <f t="shared" si="0"/>
        <v>0</v>
      </c>
    </row>
    <row r="41" spans="1:9" ht="13.5" customHeight="1" x14ac:dyDescent="0.2">
      <c r="A41" s="354" t="s">
        <v>137</v>
      </c>
      <c r="B41" s="352">
        <v>796562</v>
      </c>
      <c r="C41" s="352">
        <f>-Data!L39-Data!M39-Data!N39-Data!O39</f>
        <v>-48455</v>
      </c>
      <c r="D41" s="352">
        <f t="shared" si="1"/>
        <v>748107</v>
      </c>
      <c r="E41" s="352">
        <v>748107</v>
      </c>
      <c r="I41" s="510">
        <f t="shared" si="0"/>
        <v>0</v>
      </c>
    </row>
    <row r="42" spans="1:9" ht="13.5" customHeight="1" x14ac:dyDescent="0.2">
      <c r="A42" s="237" t="s">
        <v>138</v>
      </c>
      <c r="B42" s="151">
        <v>3173711</v>
      </c>
      <c r="C42" s="151">
        <f>-Data!L40-Data!M40-Data!N40-Data!O40</f>
        <v>-304335</v>
      </c>
      <c r="D42" s="151">
        <f t="shared" si="1"/>
        <v>2869376</v>
      </c>
      <c r="E42" s="151">
        <v>2869376</v>
      </c>
      <c r="I42" s="510">
        <f t="shared" si="0"/>
        <v>0</v>
      </c>
    </row>
    <row r="43" spans="1:9" ht="13.5" customHeight="1" x14ac:dyDescent="0.2">
      <c r="A43" s="354" t="s">
        <v>139</v>
      </c>
      <c r="B43" s="352">
        <v>2030074</v>
      </c>
      <c r="C43" s="352">
        <f>-Data!L41-Data!M41-Data!N41-Data!O41</f>
        <v>-52656</v>
      </c>
      <c r="D43" s="352">
        <f t="shared" si="1"/>
        <v>1977418</v>
      </c>
      <c r="E43" s="352">
        <v>1977418</v>
      </c>
      <c r="I43" s="510">
        <f t="shared" si="0"/>
        <v>0</v>
      </c>
    </row>
    <row r="44" spans="1:9" ht="13.5" customHeight="1" x14ac:dyDescent="0.2">
      <c r="A44" s="237" t="s">
        <v>140</v>
      </c>
      <c r="B44" s="151">
        <v>699978</v>
      </c>
      <c r="C44" s="151">
        <f>-Data!L42-Data!M42-Data!N42-Data!O42</f>
        <v>-26709</v>
      </c>
      <c r="D44" s="151">
        <f t="shared" si="1"/>
        <v>673269</v>
      </c>
      <c r="E44" s="151">
        <v>673269</v>
      </c>
      <c r="I44" s="510">
        <f t="shared" si="0"/>
        <v>0</v>
      </c>
    </row>
    <row r="45" spans="1:9" ht="13.5" customHeight="1" x14ac:dyDescent="0.2">
      <c r="A45" s="354" t="s">
        <v>141</v>
      </c>
      <c r="B45" s="352">
        <v>466559</v>
      </c>
      <c r="C45" s="352">
        <f>-Data!L43-Data!M43-Data!N43-Data!O43</f>
        <v>-24446</v>
      </c>
      <c r="D45" s="352">
        <f t="shared" si="1"/>
        <v>442113</v>
      </c>
      <c r="E45" s="352">
        <v>442113</v>
      </c>
      <c r="I45" s="510">
        <f t="shared" si="0"/>
        <v>0</v>
      </c>
    </row>
    <row r="46" spans="1:9" ht="13.5" customHeight="1" x14ac:dyDescent="0.2">
      <c r="A46" s="237" t="s">
        <v>142</v>
      </c>
      <c r="B46" s="151">
        <v>392715</v>
      </c>
      <c r="C46" s="151">
        <f>-Data!L44-Data!M44-Data!N44-Data!O44</f>
        <v>-22036</v>
      </c>
      <c r="D46" s="151">
        <f t="shared" si="1"/>
        <v>370679</v>
      </c>
      <c r="E46" s="151">
        <v>370679</v>
      </c>
      <c r="I46" s="510">
        <f t="shared" si="0"/>
        <v>0</v>
      </c>
    </row>
    <row r="47" spans="1:9" ht="13.5" customHeight="1" x14ac:dyDescent="0.2">
      <c r="A47" s="354" t="s">
        <v>143</v>
      </c>
      <c r="B47" s="352">
        <v>745806</v>
      </c>
      <c r="C47" s="352">
        <f>-Data!L45-Data!M45-Data!N45-Data!O45</f>
        <v>-5301</v>
      </c>
      <c r="D47" s="352">
        <f t="shared" si="1"/>
        <v>740505</v>
      </c>
      <c r="E47" s="352">
        <v>740505</v>
      </c>
      <c r="I47" s="510">
        <f t="shared" si="0"/>
        <v>0</v>
      </c>
    </row>
    <row r="48" spans="1:9" ht="13.5" customHeight="1" x14ac:dyDescent="0.2">
      <c r="A48" s="237" t="s">
        <v>144</v>
      </c>
      <c r="B48" s="151">
        <v>12069744</v>
      </c>
      <c r="C48" s="151">
        <f>-Data!L46-Data!M46-Data!N46-Data!O46</f>
        <v>-377859</v>
      </c>
      <c r="D48" s="151">
        <f t="shared" si="1"/>
        <v>11691885</v>
      </c>
      <c r="E48" s="151">
        <v>11691885</v>
      </c>
      <c r="I48" s="510">
        <f t="shared" si="0"/>
        <v>0</v>
      </c>
    </row>
    <row r="49" spans="1:9" ht="5.0999999999999996" customHeight="1" x14ac:dyDescent="0.2">
      <c r="A49" s="130"/>
      <c r="B49" s="152"/>
      <c r="C49" s="152"/>
      <c r="D49" s="152"/>
      <c r="E49" s="152"/>
      <c r="I49" s="510"/>
    </row>
    <row r="50" spans="1:9" ht="13.5" customHeight="1" x14ac:dyDescent="0.2">
      <c r="A50" s="355" t="s">
        <v>145</v>
      </c>
      <c r="B50" s="356">
        <f t="shared" ref="B50:E50" si="2">SUM(B13:B48)</f>
        <v>68877098</v>
      </c>
      <c r="C50" s="356">
        <f t="shared" si="2"/>
        <v>-5503113</v>
      </c>
      <c r="D50" s="356">
        <f t="shared" si="2"/>
        <v>63373985</v>
      </c>
      <c r="E50" s="356">
        <f t="shared" si="2"/>
        <v>63373985</v>
      </c>
      <c r="I50" s="510">
        <f>D50-E50</f>
        <v>0</v>
      </c>
    </row>
    <row r="51" spans="1:9" ht="5.0999999999999996" customHeight="1" x14ac:dyDescent="0.2">
      <c r="A51" s="130" t="s">
        <v>7</v>
      </c>
      <c r="B51" s="152"/>
      <c r="C51" s="152"/>
      <c r="D51" s="152"/>
      <c r="E51" s="152"/>
      <c r="H51" s="2">
        <f>+G51-B51</f>
        <v>0</v>
      </c>
      <c r="I51" s="510"/>
    </row>
    <row r="52" spans="1:9" ht="13.5" customHeight="1" x14ac:dyDescent="0.2">
      <c r="A52" s="237" t="s">
        <v>146</v>
      </c>
      <c r="B52" s="151"/>
      <c r="C52" s="151">
        <f>-Data!L50-Data!M50-Data!N50-Data!O50</f>
        <v>0</v>
      </c>
      <c r="D52" s="151">
        <f>SUM(B52:C52)</f>
        <v>0</v>
      </c>
      <c r="E52" s="151"/>
      <c r="I52" s="510">
        <f>D52-E52</f>
        <v>0</v>
      </c>
    </row>
    <row r="53" spans="1:9" ht="50.1" customHeight="1" x14ac:dyDescent="0.2">
      <c r="A53" s="23"/>
      <c r="B53" s="23"/>
      <c r="C53" s="23"/>
      <c r="D53" s="23"/>
    </row>
    <row r="54" spans="1:9" ht="14.45" customHeight="1" x14ac:dyDescent="0.2">
      <c r="A54" s="826" t="s">
        <v>648</v>
      </c>
      <c r="B54" s="826"/>
      <c r="C54" s="826"/>
      <c r="D54" s="826"/>
      <c r="E54" s="826"/>
      <c r="F54" s="826"/>
    </row>
    <row r="55" spans="1:9" ht="12" customHeight="1" x14ac:dyDescent="0.2">
      <c r="A55" s="827"/>
      <c r="B55" s="827"/>
      <c r="C55" s="827"/>
      <c r="D55" s="827"/>
      <c r="E55" s="827"/>
      <c r="F55" s="827"/>
    </row>
    <row r="56" spans="1:9" ht="12" customHeight="1" x14ac:dyDescent="0.2">
      <c r="A56" s="827"/>
      <c r="B56" s="827"/>
      <c r="C56" s="827"/>
      <c r="D56" s="827"/>
      <c r="E56" s="827"/>
      <c r="F56" s="827"/>
    </row>
    <row r="57" spans="1:9" ht="12" customHeight="1" x14ac:dyDescent="0.2">
      <c r="A57" s="827"/>
      <c r="B57" s="827"/>
      <c r="C57" s="827"/>
      <c r="D57" s="827"/>
      <c r="E57" s="827"/>
      <c r="F57" s="827"/>
    </row>
    <row r="58" spans="1:9" ht="12" customHeight="1" x14ac:dyDescent="0.2">
      <c r="A58" s="827"/>
      <c r="B58" s="827"/>
      <c r="C58" s="827"/>
      <c r="D58" s="827"/>
      <c r="E58" s="827"/>
      <c r="F58" s="827"/>
    </row>
    <row r="59" spans="1:9" ht="12" customHeight="1" x14ac:dyDescent="0.2">
      <c r="A59" s="827"/>
      <c r="B59" s="827"/>
      <c r="C59" s="827"/>
      <c r="D59" s="827"/>
      <c r="E59" s="827"/>
      <c r="F59" s="827"/>
    </row>
    <row r="60" spans="1:9" ht="9.75" customHeight="1" x14ac:dyDescent="0.2">
      <c r="A60" s="827"/>
      <c r="B60" s="827"/>
      <c r="C60" s="827"/>
      <c r="D60" s="827"/>
      <c r="E60" s="827"/>
      <c r="F60" s="827"/>
    </row>
    <row r="61" spans="1:9" ht="13.5" customHeight="1" x14ac:dyDescent="0.2">
      <c r="A61" s="578" t="s">
        <v>361</v>
      </c>
      <c r="B61" s="38"/>
    </row>
    <row r="62" spans="1:9" ht="12" customHeight="1" x14ac:dyDescent="0.2"/>
    <row r="63" spans="1:9" ht="12" customHeight="1" x14ac:dyDescent="0.2">
      <c r="A63" s="133"/>
    </row>
    <row r="64" spans="1:9" ht="12" customHeight="1" x14ac:dyDescent="0.2">
      <c r="A64" s="133"/>
    </row>
  </sheetData>
  <mergeCells count="5">
    <mergeCell ref="A54:F60"/>
    <mergeCell ref="B9:B11"/>
    <mergeCell ref="B4:D4"/>
    <mergeCell ref="C5:C11"/>
    <mergeCell ref="D9:D11"/>
  </mergeCells>
  <phoneticPr fontId="0" type="noConversion"/>
  <pageMargins left="0.5" right="0.5" top="0.6" bottom="0.2" header="0.3" footer="0.5"/>
  <pageSetup scale="92" orientation="portrait" r:id="rId1"/>
  <headerFooter alignWithMargins="0">
    <oddHeader>&amp;C&amp;"Arial,Regular"&amp;11&amp;A</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11">
    <pageSetUpPr fitToPage="1"/>
  </sheetPr>
  <dimension ref="A1:L59"/>
  <sheetViews>
    <sheetView showGridLines="0" showZeros="0" workbookViewId="0"/>
  </sheetViews>
  <sheetFormatPr defaultColWidth="14.83203125" defaultRowHeight="12" x14ac:dyDescent="0.2"/>
  <cols>
    <col min="1" max="1" width="27.33203125" style="2" customWidth="1"/>
    <col min="2" max="2" width="16.83203125" style="2" customWidth="1"/>
    <col min="3" max="3" width="13.5" style="2" customWidth="1"/>
    <col min="4" max="4" width="17.5" style="2" customWidth="1"/>
    <col min="5" max="5" width="16.83203125" style="2" customWidth="1"/>
    <col min="6" max="6" width="17" style="2" customWidth="1"/>
    <col min="7" max="7" width="17.5" style="2" customWidth="1"/>
    <col min="8" max="8" width="13" style="2" bestFit="1" customWidth="1"/>
    <col min="9" max="10" width="14.83203125" style="2" hidden="1" customWidth="1"/>
    <col min="11" max="12" width="0" style="2" hidden="1" customWidth="1"/>
    <col min="13" max="16384" width="14.83203125" style="2"/>
  </cols>
  <sheetData>
    <row r="1" spans="1:12" ht="6.95" customHeight="1" x14ac:dyDescent="0.2">
      <c r="A1" s="7"/>
      <c r="B1" s="8"/>
      <c r="C1" s="8"/>
      <c r="D1" s="8"/>
    </row>
    <row r="2" spans="1:12" ht="20.100000000000001" customHeight="1" x14ac:dyDescent="0.2">
      <c r="A2" s="251"/>
      <c r="B2" s="251" t="str">
        <f>"ADMINISTRATION EXPENSES "&amp;FALLYR&amp;"/"&amp;SPRINGYR&amp;" ACTUAL"</f>
        <v>ADMINISTRATION EXPENSES 2019/2020 ACTUAL</v>
      </c>
      <c r="C2" s="173"/>
      <c r="D2" s="173"/>
      <c r="E2" s="173"/>
      <c r="F2" s="173"/>
      <c r="G2" s="173"/>
      <c r="H2" s="386" t="s">
        <v>77</v>
      </c>
    </row>
    <row r="3" spans="1:12" ht="20.100000000000001" customHeight="1" x14ac:dyDescent="0.2">
      <c r="A3" s="535"/>
      <c r="B3" s="252"/>
      <c r="C3" s="253"/>
      <c r="D3" s="253"/>
      <c r="E3" s="253"/>
      <c r="F3" s="253"/>
      <c r="G3" s="253"/>
      <c r="H3" s="254"/>
    </row>
    <row r="4" spans="1:12" ht="14.1" customHeight="1" x14ac:dyDescent="0.2">
      <c r="A4" s="232"/>
      <c r="B4" s="831" t="s">
        <v>234</v>
      </c>
      <c r="C4" s="832"/>
      <c r="D4" s="832"/>
      <c r="E4" s="832"/>
      <c r="F4" s="832"/>
      <c r="G4" s="832"/>
      <c r="H4" s="833"/>
    </row>
    <row r="5" spans="1:12" ht="4.9000000000000004" customHeight="1" x14ac:dyDescent="0.2">
      <c r="A5" s="255"/>
      <c r="B5" s="256"/>
      <c r="C5" s="256"/>
      <c r="D5" s="256"/>
      <c r="E5" s="256"/>
      <c r="F5" s="256"/>
      <c r="G5" s="256"/>
      <c r="H5" s="256"/>
    </row>
    <row r="6" spans="1:12" ht="3" customHeight="1" x14ac:dyDescent="0.2">
      <c r="A6" s="255"/>
      <c r="B6" s="242"/>
      <c r="C6" s="242"/>
      <c r="D6" s="242"/>
      <c r="E6" s="242"/>
      <c r="F6" s="242"/>
      <c r="G6" s="817" t="s">
        <v>590</v>
      </c>
      <c r="H6" s="817" t="s">
        <v>616</v>
      </c>
    </row>
    <row r="7" spans="1:12" ht="13.9" customHeight="1" x14ac:dyDescent="0.2">
      <c r="A7" s="255"/>
      <c r="B7" s="257"/>
      <c r="C7" s="121"/>
      <c r="D7" s="257"/>
      <c r="E7" s="257"/>
      <c r="F7" s="257"/>
      <c r="G7" s="817"/>
      <c r="H7" s="817"/>
    </row>
    <row r="8" spans="1:12" ht="19.899999999999999" customHeight="1" x14ac:dyDescent="0.2">
      <c r="A8" s="255"/>
      <c r="B8" s="817" t="s">
        <v>586</v>
      </c>
      <c r="C8" s="817" t="s">
        <v>587</v>
      </c>
      <c r="D8" s="817" t="s">
        <v>588</v>
      </c>
      <c r="E8" s="257"/>
      <c r="F8" s="817" t="s">
        <v>605</v>
      </c>
      <c r="G8" s="817"/>
      <c r="H8" s="817"/>
    </row>
    <row r="9" spans="1:12" ht="12.95" customHeight="1" x14ac:dyDescent="0.2">
      <c r="A9" s="255"/>
      <c r="B9" s="817"/>
      <c r="C9" s="817"/>
      <c r="D9" s="817"/>
      <c r="E9" s="817" t="s">
        <v>589</v>
      </c>
      <c r="F9" s="817"/>
      <c r="G9" s="817"/>
      <c r="H9" s="817"/>
    </row>
    <row r="10" spans="1:12" ht="12.95" customHeight="1" x14ac:dyDescent="0.2">
      <c r="A10" s="16"/>
      <c r="B10" s="817"/>
      <c r="C10" s="817"/>
      <c r="D10" s="817"/>
      <c r="E10" s="817"/>
      <c r="F10" s="817"/>
      <c r="G10" s="817"/>
      <c r="H10" s="817"/>
    </row>
    <row r="11" spans="1:12" ht="15.95" customHeight="1" x14ac:dyDescent="0.2">
      <c r="A11" s="17" t="s">
        <v>42</v>
      </c>
      <c r="B11" s="818"/>
      <c r="C11" s="818"/>
      <c r="D11" s="818"/>
      <c r="E11" s="818"/>
      <c r="F11" s="818"/>
      <c r="G11" s="818"/>
      <c r="H11" s="818"/>
    </row>
    <row r="12" spans="1:12" ht="5.0999999999999996" customHeight="1" x14ac:dyDescent="0.2">
      <c r="A12" s="18"/>
      <c r="C12" s="250"/>
      <c r="D12" s="207"/>
      <c r="E12" s="7"/>
    </row>
    <row r="13" spans="1:12" ht="14.1" customHeight="1" x14ac:dyDescent="0.2">
      <c r="A13" s="354" t="s">
        <v>110</v>
      </c>
      <c r="B13" s="352">
        <f>'- 3 -'!B11</f>
        <v>21094883</v>
      </c>
      <c r="C13" s="352">
        <v>0</v>
      </c>
      <c r="D13" s="352">
        <v>0</v>
      </c>
      <c r="E13" s="352">
        <f>SUM(B13:D13)</f>
        <v>21094883</v>
      </c>
      <c r="F13" s="352">
        <f>'- 62 -'!D13</f>
        <v>645637</v>
      </c>
      <c r="G13" s="291">
        <f>F13/E13*100</f>
        <v>3.0606332350835981</v>
      </c>
      <c r="H13" s="582">
        <f>+Data!P11</f>
        <v>3.39</v>
      </c>
      <c r="I13" s="400">
        <v>3.0606332350835982E-2</v>
      </c>
      <c r="J13" s="352">
        <v>21094883</v>
      </c>
      <c r="K13" s="2">
        <f t="shared" ref="K13:K48" si="0">J13-E13</f>
        <v>0</v>
      </c>
      <c r="L13" s="2">
        <f>+H13/100-I13</f>
        <v>3.2936676491640178E-3</v>
      </c>
    </row>
    <row r="14" spans="1:12" ht="14.1" customHeight="1" x14ac:dyDescent="0.2">
      <c r="A14" s="237" t="s">
        <v>111</v>
      </c>
      <c r="B14" s="151">
        <f>'- 3 -'!B12</f>
        <v>34126386</v>
      </c>
      <c r="C14" s="151">
        <v>676834</v>
      </c>
      <c r="D14" s="151">
        <v>-502495</v>
      </c>
      <c r="E14" s="151">
        <f>SUM(B14:D14)</f>
        <v>34300725</v>
      </c>
      <c r="F14" s="151">
        <f>'- 62 -'!D14</f>
        <v>1059259</v>
      </c>
      <c r="G14" s="70">
        <f>F14/E14*100</f>
        <v>3.0881533845130096</v>
      </c>
      <c r="H14" s="376">
        <f>+Data!P12</f>
        <v>3.36</v>
      </c>
      <c r="I14" s="140">
        <v>3.0881533845130097E-2</v>
      </c>
      <c r="J14" s="151">
        <v>34300725</v>
      </c>
      <c r="K14" s="2">
        <f t="shared" si="0"/>
        <v>0</v>
      </c>
      <c r="L14" s="2">
        <f t="shared" ref="L14:L48" si="1">+H14/100-I14</f>
        <v>2.7184661548699009E-3</v>
      </c>
    </row>
    <row r="15" spans="1:12" ht="14.1" customHeight="1" x14ac:dyDescent="0.2">
      <c r="A15" s="354" t="s">
        <v>112</v>
      </c>
      <c r="B15" s="352">
        <f>'- 3 -'!B13</f>
        <v>104617824</v>
      </c>
      <c r="C15" s="352">
        <v>2685105</v>
      </c>
      <c r="D15" s="352">
        <v>0</v>
      </c>
      <c r="E15" s="352">
        <f>SUM(B15:D15)</f>
        <v>107302929</v>
      </c>
      <c r="F15" s="352">
        <f>'- 62 -'!D15</f>
        <v>2790520</v>
      </c>
      <c r="G15" s="291">
        <f>F15/E15*100</f>
        <v>2.6006000264913549</v>
      </c>
      <c r="H15" s="582">
        <f>+Data!P13</f>
        <v>2.94</v>
      </c>
      <c r="I15" s="400">
        <v>2.6006000264913551E-2</v>
      </c>
      <c r="J15" s="352">
        <v>107302929</v>
      </c>
      <c r="K15" s="2">
        <f t="shared" si="0"/>
        <v>0</v>
      </c>
      <c r="L15" s="2">
        <f t="shared" si="1"/>
        <v>3.3939997350864483E-3</v>
      </c>
    </row>
    <row r="16" spans="1:12" ht="14.1" customHeight="1" x14ac:dyDescent="0.2">
      <c r="A16" s="237" t="s">
        <v>358</v>
      </c>
      <c r="B16" s="151"/>
      <c r="C16" s="151">
        <v>0</v>
      </c>
      <c r="D16" s="151"/>
      <c r="E16" s="151"/>
      <c r="F16" s="151"/>
      <c r="G16" s="376" t="s">
        <v>95</v>
      </c>
      <c r="H16" s="376" t="s">
        <v>95</v>
      </c>
      <c r="I16" s="140"/>
      <c r="J16" s="151"/>
      <c r="L16" s="2">
        <v>0</v>
      </c>
    </row>
    <row r="17" spans="1:12" ht="14.1" customHeight="1" x14ac:dyDescent="0.2">
      <c r="A17" s="354" t="s">
        <v>113</v>
      </c>
      <c r="B17" s="352">
        <f>'- 3 -'!B15</f>
        <v>19787776</v>
      </c>
      <c r="C17" s="352">
        <v>357758</v>
      </c>
      <c r="D17" s="352">
        <v>0</v>
      </c>
      <c r="E17" s="352">
        <f>SUM(B17:D17)</f>
        <v>20145534</v>
      </c>
      <c r="F17" s="352">
        <f>'- 62 -'!D17</f>
        <v>692865</v>
      </c>
      <c r="G17" s="291">
        <f>F17/E17*100</f>
        <v>3.4392982583633671</v>
      </c>
      <c r="H17" s="582">
        <f>+Data!P15</f>
        <v>3.46</v>
      </c>
      <c r="I17" s="400">
        <v>3.4392982583633672E-2</v>
      </c>
      <c r="J17" s="352">
        <v>20145534</v>
      </c>
      <c r="K17" s="2">
        <f t="shared" si="0"/>
        <v>0</v>
      </c>
      <c r="L17" s="2">
        <f t="shared" si="1"/>
        <v>2.0701741636632714E-4</v>
      </c>
    </row>
    <row r="18" spans="1:12" ht="14.1" customHeight="1" x14ac:dyDescent="0.2">
      <c r="A18" s="237" t="s">
        <v>114</v>
      </c>
      <c r="B18" s="151">
        <f>'- 3 -'!B16</f>
        <v>14373354</v>
      </c>
      <c r="C18" s="151">
        <v>37209</v>
      </c>
      <c r="D18" s="151">
        <v>-94214</v>
      </c>
      <c r="E18" s="151">
        <f>SUM(B18:D18)</f>
        <v>14316349</v>
      </c>
      <c r="F18" s="151">
        <f>'- 62 -'!D18</f>
        <v>636689</v>
      </c>
      <c r="G18" s="70">
        <f>F18/E18*100</f>
        <v>4.447286106255163</v>
      </c>
      <c r="H18" s="376">
        <f>+Data!P16</f>
        <v>4.25</v>
      </c>
      <c r="I18" s="140">
        <v>4.4472861062551633E-2</v>
      </c>
      <c r="J18" s="151">
        <v>14316349</v>
      </c>
      <c r="K18" s="2">
        <f t="shared" si="0"/>
        <v>0</v>
      </c>
      <c r="L18" s="2">
        <f t="shared" si="1"/>
        <v>-1.9728610625516299E-3</v>
      </c>
    </row>
    <row r="19" spans="1:12" ht="14.1" customHeight="1" x14ac:dyDescent="0.2">
      <c r="A19" s="354" t="s">
        <v>115</v>
      </c>
      <c r="B19" s="352">
        <f>'- 3 -'!B17</f>
        <v>18094664</v>
      </c>
      <c r="C19" s="352">
        <v>19710</v>
      </c>
      <c r="D19" s="352">
        <v>0</v>
      </c>
      <c r="E19" s="352">
        <f>SUM(B19:D19)</f>
        <v>18114374</v>
      </c>
      <c r="F19" s="352">
        <f>'- 62 -'!D19</f>
        <v>648407</v>
      </c>
      <c r="G19" s="291">
        <f>F19/E19*100</f>
        <v>3.5795164657635978</v>
      </c>
      <c r="H19" s="582">
        <f>+Data!P17</f>
        <v>3.47</v>
      </c>
      <c r="I19" s="400">
        <v>3.5795164657635978E-2</v>
      </c>
      <c r="J19" s="352">
        <v>18114374</v>
      </c>
      <c r="K19" s="2">
        <f t="shared" si="0"/>
        <v>0</v>
      </c>
      <c r="L19" s="2">
        <f t="shared" si="1"/>
        <v>-1.0951646576359761E-3</v>
      </c>
    </row>
    <row r="20" spans="1:12" ht="14.1" customHeight="1" x14ac:dyDescent="0.2">
      <c r="A20" s="237" t="s">
        <v>116</v>
      </c>
      <c r="B20" s="151"/>
      <c r="C20" s="151">
        <v>0</v>
      </c>
      <c r="D20" s="151"/>
      <c r="E20" s="151"/>
      <c r="F20" s="151"/>
      <c r="G20" s="376" t="s">
        <v>95</v>
      </c>
      <c r="H20" s="376" t="s">
        <v>95</v>
      </c>
      <c r="I20" s="140"/>
      <c r="J20" s="151"/>
      <c r="K20" s="2">
        <f t="shared" si="0"/>
        <v>0</v>
      </c>
      <c r="L20" s="2">
        <v>0</v>
      </c>
    </row>
    <row r="21" spans="1:12" ht="14.1" customHeight="1" x14ac:dyDescent="0.2">
      <c r="A21" s="354" t="s">
        <v>117</v>
      </c>
      <c r="B21" s="352">
        <f>'- 3 -'!B19</f>
        <v>50151556</v>
      </c>
      <c r="C21" s="352">
        <v>691244</v>
      </c>
      <c r="D21" s="352">
        <v>0</v>
      </c>
      <c r="E21" s="352">
        <f t="shared" ref="E21:E48" si="2">SUM(B21:D21)</f>
        <v>50842800</v>
      </c>
      <c r="F21" s="352">
        <f>'- 62 -'!D21</f>
        <v>1377643</v>
      </c>
      <c r="G21" s="291">
        <f t="shared" ref="G21:G48" si="3">F21/E21*100</f>
        <v>2.7096127671961416</v>
      </c>
      <c r="H21" s="582">
        <f>+Data!P19</f>
        <v>3.0300000000000002</v>
      </c>
      <c r="I21" s="400">
        <v>2.7096127671961418E-2</v>
      </c>
      <c r="J21" s="352">
        <v>50842800</v>
      </c>
      <c r="K21" s="2">
        <f t="shared" si="0"/>
        <v>0</v>
      </c>
      <c r="L21" s="2">
        <f t="shared" si="1"/>
        <v>3.2038723280385858E-3</v>
      </c>
    </row>
    <row r="22" spans="1:12" ht="14.1" customHeight="1" x14ac:dyDescent="0.2">
      <c r="A22" s="237" t="s">
        <v>118</v>
      </c>
      <c r="B22" s="151">
        <f>'- 3 -'!B20</f>
        <v>90701537</v>
      </c>
      <c r="C22" s="151">
        <v>875684</v>
      </c>
      <c r="D22" s="151">
        <v>0</v>
      </c>
      <c r="E22" s="151">
        <f t="shared" si="2"/>
        <v>91577221</v>
      </c>
      <c r="F22" s="151">
        <f>'- 62 -'!D22</f>
        <v>2194308</v>
      </c>
      <c r="G22" s="70">
        <f t="shared" si="3"/>
        <v>2.3961286180544832</v>
      </c>
      <c r="H22" s="376">
        <f>+Data!P20</f>
        <v>2.94</v>
      </c>
      <c r="I22" s="140">
        <v>2.3961286180544831E-2</v>
      </c>
      <c r="J22" s="151">
        <v>91577221</v>
      </c>
      <c r="K22" s="2">
        <f t="shared" si="0"/>
        <v>0</v>
      </c>
      <c r="L22" s="2">
        <f t="shared" si="1"/>
        <v>5.4387138194551682E-3</v>
      </c>
    </row>
    <row r="23" spans="1:12" ht="14.1" customHeight="1" x14ac:dyDescent="0.2">
      <c r="A23" s="354" t="s">
        <v>119</v>
      </c>
      <c r="B23" s="352">
        <f>'- 3 -'!B21</f>
        <v>38014839</v>
      </c>
      <c r="C23" s="352">
        <v>269771</v>
      </c>
      <c r="D23" s="352">
        <v>0</v>
      </c>
      <c r="E23" s="352">
        <f t="shared" si="2"/>
        <v>38284610</v>
      </c>
      <c r="F23" s="352">
        <f>'- 62 -'!D23</f>
        <v>1222457</v>
      </c>
      <c r="G23" s="291">
        <f t="shared" si="3"/>
        <v>3.1930768003121881</v>
      </c>
      <c r="H23" s="582">
        <f>+Data!P21</f>
        <v>3.26</v>
      </c>
      <c r="I23" s="400">
        <v>3.1930768003121883E-2</v>
      </c>
      <c r="J23" s="352">
        <v>38284610</v>
      </c>
      <c r="K23" s="2">
        <f t="shared" si="0"/>
        <v>0</v>
      </c>
      <c r="L23" s="2">
        <f t="shared" si="1"/>
        <v>6.6923199687811408E-4</v>
      </c>
    </row>
    <row r="24" spans="1:12" ht="14.1" customHeight="1" x14ac:dyDescent="0.2">
      <c r="A24" s="237" t="s">
        <v>120</v>
      </c>
      <c r="B24" s="151">
        <f>'- 3 -'!B22</f>
        <v>20650628</v>
      </c>
      <c r="C24" s="151">
        <v>199714</v>
      </c>
      <c r="D24" s="151">
        <v>-680170</v>
      </c>
      <c r="E24" s="151">
        <f t="shared" si="2"/>
        <v>20170172</v>
      </c>
      <c r="F24" s="151">
        <f>'- 62 -'!D24</f>
        <v>699497</v>
      </c>
      <c r="G24" s="70">
        <f t="shared" si="3"/>
        <v>3.4679773677686043</v>
      </c>
      <c r="H24" s="376">
        <f>+Data!P22</f>
        <v>4.25</v>
      </c>
      <c r="I24" s="140">
        <v>3.4679773677686043E-2</v>
      </c>
      <c r="J24" s="151">
        <v>20170172</v>
      </c>
      <c r="K24" s="2">
        <f t="shared" si="0"/>
        <v>0</v>
      </c>
      <c r="L24" s="2">
        <f t="shared" si="1"/>
        <v>7.8202263223139598E-3</v>
      </c>
    </row>
    <row r="25" spans="1:12" ht="14.1" customHeight="1" x14ac:dyDescent="0.2">
      <c r="A25" s="354" t="s">
        <v>121</v>
      </c>
      <c r="B25" s="352">
        <f>'- 3 -'!B23</f>
        <v>15608522</v>
      </c>
      <c r="C25" s="352">
        <v>128114</v>
      </c>
      <c r="D25" s="352">
        <v>-263142</v>
      </c>
      <c r="E25" s="352">
        <f t="shared" si="2"/>
        <v>15473494</v>
      </c>
      <c r="F25" s="352">
        <f>'- 62 -'!D25</f>
        <v>552543</v>
      </c>
      <c r="G25" s="291">
        <f t="shared" si="3"/>
        <v>3.570900017798178</v>
      </c>
      <c r="H25" s="582">
        <f>+Data!P23</f>
        <v>3.53</v>
      </c>
      <c r="I25" s="400">
        <v>3.570900017798178E-2</v>
      </c>
      <c r="J25" s="352">
        <v>15473494</v>
      </c>
      <c r="K25" s="2">
        <f t="shared" si="0"/>
        <v>0</v>
      </c>
      <c r="L25" s="2">
        <f t="shared" si="1"/>
        <v>-4.0900017798178173E-4</v>
      </c>
    </row>
    <row r="26" spans="1:12" ht="14.1" customHeight="1" x14ac:dyDescent="0.2">
      <c r="A26" s="237" t="s">
        <v>122</v>
      </c>
      <c r="B26" s="151">
        <f>'- 3 -'!B24</f>
        <v>58624720</v>
      </c>
      <c r="C26" s="151">
        <v>1752802</v>
      </c>
      <c r="D26" s="151">
        <v>-334884</v>
      </c>
      <c r="E26" s="151">
        <f t="shared" si="2"/>
        <v>60042638</v>
      </c>
      <c r="F26" s="151">
        <f>'- 62 -'!D26</f>
        <v>1825491</v>
      </c>
      <c r="G26" s="70">
        <f t="shared" si="3"/>
        <v>3.0403244441058703</v>
      </c>
      <c r="H26" s="376">
        <f>+Data!P24</f>
        <v>3.1300000000000003</v>
      </c>
      <c r="I26" s="140">
        <v>3.0403244441058703E-2</v>
      </c>
      <c r="J26" s="151">
        <v>60042638</v>
      </c>
      <c r="K26" s="2">
        <f t="shared" si="0"/>
        <v>0</v>
      </c>
      <c r="L26" s="2">
        <f t="shared" si="1"/>
        <v>8.9675555894129858E-4</v>
      </c>
    </row>
    <row r="27" spans="1:12" ht="14.1" customHeight="1" x14ac:dyDescent="0.2">
      <c r="A27" s="354" t="s">
        <v>123</v>
      </c>
      <c r="B27" s="352">
        <f>'- 3 -'!B25</f>
        <v>195119232</v>
      </c>
      <c r="C27" s="352">
        <v>1194346</v>
      </c>
      <c r="D27" s="352">
        <v>-848287</v>
      </c>
      <c r="E27" s="352">
        <f t="shared" si="2"/>
        <v>195465291</v>
      </c>
      <c r="F27" s="352">
        <f>'- 62 -'!D27</f>
        <v>5371135</v>
      </c>
      <c r="G27" s="291">
        <f t="shared" si="3"/>
        <v>2.7478714878336126</v>
      </c>
      <c r="H27" s="582">
        <f>+Data!P25</f>
        <v>2.7</v>
      </c>
      <c r="I27" s="400">
        <v>2.7478714878336124E-2</v>
      </c>
      <c r="J27" s="352">
        <v>195465291</v>
      </c>
      <c r="K27" s="2">
        <f t="shared" si="0"/>
        <v>0</v>
      </c>
      <c r="L27" s="2">
        <f t="shared" si="1"/>
        <v>-4.7871487833612072E-4</v>
      </c>
    </row>
    <row r="28" spans="1:12" ht="14.1" customHeight="1" x14ac:dyDescent="0.2">
      <c r="A28" s="237" t="s">
        <v>124</v>
      </c>
      <c r="B28" s="151">
        <f>'- 3 -'!B26</f>
        <v>40912815</v>
      </c>
      <c r="C28" s="151">
        <v>1444032</v>
      </c>
      <c r="D28" s="151">
        <v>0</v>
      </c>
      <c r="E28" s="151">
        <f t="shared" si="2"/>
        <v>42356847</v>
      </c>
      <c r="F28" s="151">
        <f>'- 62 -'!D28</f>
        <v>1274489</v>
      </c>
      <c r="G28" s="70">
        <f t="shared" si="3"/>
        <v>3.0089326526122213</v>
      </c>
      <c r="H28" s="376">
        <f>+Data!P26</f>
        <v>3.2300000000000004</v>
      </c>
      <c r="I28" s="140">
        <v>3.0089326526122211E-2</v>
      </c>
      <c r="J28" s="151">
        <v>42356847</v>
      </c>
      <c r="K28" s="2">
        <f t="shared" si="0"/>
        <v>0</v>
      </c>
      <c r="L28" s="2">
        <f t="shared" si="1"/>
        <v>2.210673473877791E-3</v>
      </c>
    </row>
    <row r="29" spans="1:12" ht="14.1" customHeight="1" x14ac:dyDescent="0.2">
      <c r="A29" s="354" t="s">
        <v>125</v>
      </c>
      <c r="B29" s="352">
        <f>'- 3 -'!B27</f>
        <v>41647026</v>
      </c>
      <c r="C29" s="352">
        <v>793146</v>
      </c>
      <c r="D29" s="352">
        <v>0</v>
      </c>
      <c r="E29" s="352">
        <f t="shared" si="2"/>
        <v>42440172</v>
      </c>
      <c r="F29" s="352">
        <f>'- 62 -'!D29</f>
        <v>1614818</v>
      </c>
      <c r="G29" s="291">
        <f t="shared" si="3"/>
        <v>3.8049280290381482</v>
      </c>
      <c r="H29" s="582">
        <f>+Data!P27</f>
        <v>4.25</v>
      </c>
      <c r="I29" s="400">
        <v>3.8049280290381481E-2</v>
      </c>
      <c r="J29" s="352">
        <v>42440172</v>
      </c>
      <c r="K29" s="2">
        <f t="shared" si="0"/>
        <v>0</v>
      </c>
      <c r="L29" s="2">
        <f t="shared" si="1"/>
        <v>4.4507197096185225E-3</v>
      </c>
    </row>
    <row r="30" spans="1:12" ht="14.1" customHeight="1" x14ac:dyDescent="0.2">
      <c r="A30" s="237" t="s">
        <v>126</v>
      </c>
      <c r="B30" s="151">
        <f>'- 3 -'!B28</f>
        <v>28338011</v>
      </c>
      <c r="C30" s="151">
        <v>330387</v>
      </c>
      <c r="D30" s="151">
        <v>-111653</v>
      </c>
      <c r="E30" s="151">
        <f t="shared" si="2"/>
        <v>28556745</v>
      </c>
      <c r="F30" s="151">
        <f>'- 62 -'!D30</f>
        <v>758443</v>
      </c>
      <c r="G30" s="70">
        <f t="shared" si="3"/>
        <v>2.655915441343192</v>
      </c>
      <c r="H30" s="376">
        <f>+Data!P28</f>
        <v>3.38</v>
      </c>
      <c r="I30" s="140">
        <v>2.6559154413431922E-2</v>
      </c>
      <c r="J30" s="151">
        <v>28556745</v>
      </c>
      <c r="K30" s="2">
        <f t="shared" si="0"/>
        <v>0</v>
      </c>
      <c r="L30" s="2">
        <f t="shared" si="1"/>
        <v>7.2408455865680746E-3</v>
      </c>
    </row>
    <row r="31" spans="1:12" ht="14.1" customHeight="1" x14ac:dyDescent="0.2">
      <c r="A31" s="354" t="s">
        <v>127</v>
      </c>
      <c r="B31" s="352">
        <f>'- 3 -'!B29</f>
        <v>171081910</v>
      </c>
      <c r="C31" s="352">
        <v>2539629</v>
      </c>
      <c r="D31" s="352">
        <v>0</v>
      </c>
      <c r="E31" s="352">
        <f t="shared" si="2"/>
        <v>173621539</v>
      </c>
      <c r="F31" s="352">
        <f>'- 62 -'!D31</f>
        <v>4982699</v>
      </c>
      <c r="G31" s="291">
        <f t="shared" si="3"/>
        <v>2.869862246757299</v>
      </c>
      <c r="H31" s="582">
        <f>+Data!P29</f>
        <v>2.7</v>
      </c>
      <c r="I31" s="400">
        <v>2.8698622467572991E-2</v>
      </c>
      <c r="J31" s="352">
        <v>173621539</v>
      </c>
      <c r="K31" s="2">
        <f t="shared" si="0"/>
        <v>0</v>
      </c>
      <c r="L31" s="2">
        <f t="shared" si="1"/>
        <v>-1.6986224675729876E-3</v>
      </c>
    </row>
    <row r="32" spans="1:12" ht="14.1" customHeight="1" x14ac:dyDescent="0.2">
      <c r="A32" s="237" t="s">
        <v>128</v>
      </c>
      <c r="B32" s="151">
        <f>'- 3 -'!B30</f>
        <v>15593688</v>
      </c>
      <c r="C32" s="151">
        <v>90451</v>
      </c>
      <c r="D32" s="151">
        <v>0</v>
      </c>
      <c r="E32" s="151">
        <f t="shared" si="2"/>
        <v>15684139</v>
      </c>
      <c r="F32" s="151">
        <f>'- 62 -'!D32</f>
        <v>539863</v>
      </c>
      <c r="G32" s="70">
        <f t="shared" si="3"/>
        <v>3.4420952275416585</v>
      </c>
      <c r="H32" s="376">
        <f>+Data!P30</f>
        <v>3.53</v>
      </c>
      <c r="I32" s="140">
        <v>3.4420952275416583E-2</v>
      </c>
      <c r="J32" s="151">
        <v>15684139</v>
      </c>
      <c r="K32" s="2">
        <f t="shared" si="0"/>
        <v>0</v>
      </c>
      <c r="L32" s="2">
        <f t="shared" si="1"/>
        <v>8.7904772458341496E-4</v>
      </c>
    </row>
    <row r="33" spans="1:12" ht="14.1" customHeight="1" x14ac:dyDescent="0.2">
      <c r="A33" s="354" t="s">
        <v>129</v>
      </c>
      <c r="B33" s="352">
        <f>'- 3 -'!B31</f>
        <v>40007222</v>
      </c>
      <c r="C33" s="352">
        <v>1848754</v>
      </c>
      <c r="D33" s="352">
        <v>0</v>
      </c>
      <c r="E33" s="352">
        <f t="shared" si="2"/>
        <v>41855976</v>
      </c>
      <c r="F33" s="352">
        <f>'- 62 -'!D33</f>
        <v>945276</v>
      </c>
      <c r="G33" s="291">
        <f t="shared" si="3"/>
        <v>2.2584015243128008</v>
      </c>
      <c r="H33" s="582">
        <f>+Data!P31</f>
        <v>3.19</v>
      </c>
      <c r="I33" s="400">
        <v>2.2584015243128006E-2</v>
      </c>
      <c r="J33" s="352">
        <v>41855976</v>
      </c>
      <c r="K33" s="2">
        <f t="shared" si="0"/>
        <v>0</v>
      </c>
      <c r="L33" s="2">
        <f t="shared" si="1"/>
        <v>9.3159847568719915E-3</v>
      </c>
    </row>
    <row r="34" spans="1:12" ht="14.1" customHeight="1" x14ac:dyDescent="0.2">
      <c r="A34" s="237" t="s">
        <v>130</v>
      </c>
      <c r="B34" s="151">
        <f>'- 3 -'!B32</f>
        <v>30553727</v>
      </c>
      <c r="C34" s="151">
        <v>792808</v>
      </c>
      <c r="D34" s="151">
        <v>-286385</v>
      </c>
      <c r="E34" s="151">
        <f t="shared" si="2"/>
        <v>31060150</v>
      </c>
      <c r="F34" s="151">
        <f>'- 62 -'!D34</f>
        <v>1062503</v>
      </c>
      <c r="G34" s="70">
        <f t="shared" si="3"/>
        <v>3.4207915930863178</v>
      </c>
      <c r="H34" s="376">
        <f>+Data!P32</f>
        <v>3.34</v>
      </c>
      <c r="I34" s="140">
        <v>3.4207915930863177E-2</v>
      </c>
      <c r="J34" s="151">
        <v>31060150</v>
      </c>
      <c r="K34" s="2">
        <f t="shared" si="0"/>
        <v>0</v>
      </c>
      <c r="L34" s="2">
        <f t="shared" si="1"/>
        <v>-8.0791593086317753E-4</v>
      </c>
    </row>
    <row r="35" spans="1:12" ht="14.1" customHeight="1" x14ac:dyDescent="0.2">
      <c r="A35" s="354" t="s">
        <v>131</v>
      </c>
      <c r="B35" s="352">
        <f>'- 3 -'!B33</f>
        <v>28173440</v>
      </c>
      <c r="C35" s="352">
        <v>347591</v>
      </c>
      <c r="D35" s="352">
        <v>0</v>
      </c>
      <c r="E35" s="352">
        <f t="shared" si="2"/>
        <v>28521031</v>
      </c>
      <c r="F35" s="352">
        <f>'- 62 -'!D35</f>
        <v>838182</v>
      </c>
      <c r="G35" s="291">
        <f t="shared" si="3"/>
        <v>2.9388208301446044</v>
      </c>
      <c r="H35" s="582">
        <f>+Data!P33</f>
        <v>3.37</v>
      </c>
      <c r="I35" s="400">
        <v>2.9388208301446044E-2</v>
      </c>
      <c r="J35" s="352">
        <v>28521031</v>
      </c>
      <c r="K35" s="2">
        <f t="shared" si="0"/>
        <v>0</v>
      </c>
      <c r="L35" s="2">
        <f t="shared" si="1"/>
        <v>4.3117916985539566E-3</v>
      </c>
    </row>
    <row r="36" spans="1:12" ht="14.1" customHeight="1" x14ac:dyDescent="0.2">
      <c r="A36" s="237" t="s">
        <v>132</v>
      </c>
      <c r="B36" s="151">
        <f>'- 3 -'!B34</f>
        <v>30799972</v>
      </c>
      <c r="C36" s="151">
        <v>826616</v>
      </c>
      <c r="D36" s="151">
        <v>0</v>
      </c>
      <c r="E36" s="151">
        <f t="shared" si="2"/>
        <v>31626588</v>
      </c>
      <c r="F36" s="151">
        <f>'- 62 -'!D36</f>
        <v>1009281</v>
      </c>
      <c r="G36" s="70">
        <f t="shared" si="3"/>
        <v>3.1912421283004031</v>
      </c>
      <c r="H36" s="376">
        <f>+Data!P34</f>
        <v>3.35</v>
      </c>
      <c r="I36" s="140">
        <v>3.1912421283004033E-2</v>
      </c>
      <c r="J36" s="151">
        <v>31626588</v>
      </c>
      <c r="K36" s="2">
        <f t="shared" si="0"/>
        <v>0</v>
      </c>
      <c r="L36" s="2">
        <f t="shared" si="1"/>
        <v>1.5875787169959688E-3</v>
      </c>
    </row>
    <row r="37" spans="1:12" ht="14.1" customHeight="1" x14ac:dyDescent="0.2">
      <c r="A37" s="354" t="s">
        <v>133</v>
      </c>
      <c r="B37" s="352">
        <f>'- 3 -'!B35</f>
        <v>192293326</v>
      </c>
      <c r="C37" s="352">
        <v>3918363</v>
      </c>
      <c r="D37" s="352">
        <v>-1527458</v>
      </c>
      <c r="E37" s="352">
        <f t="shared" si="2"/>
        <v>194684231</v>
      </c>
      <c r="F37" s="352">
        <f>'- 62 -'!D37</f>
        <v>5049466</v>
      </c>
      <c r="G37" s="291">
        <f t="shared" si="3"/>
        <v>2.5936697461644953</v>
      </c>
      <c r="H37" s="582">
        <f>+Data!P35</f>
        <v>2.7</v>
      </c>
      <c r="I37" s="400">
        <v>2.5936697461644953E-2</v>
      </c>
      <c r="J37" s="352">
        <v>194684231</v>
      </c>
      <c r="K37" s="2">
        <f t="shared" si="0"/>
        <v>0</v>
      </c>
      <c r="L37" s="2">
        <f t="shared" si="1"/>
        <v>1.0633025383550501E-3</v>
      </c>
    </row>
    <row r="38" spans="1:12" ht="14.1" customHeight="1" x14ac:dyDescent="0.2">
      <c r="A38" s="237" t="s">
        <v>134</v>
      </c>
      <c r="B38" s="151">
        <f>'- 3 -'!B36</f>
        <v>23982328</v>
      </c>
      <c r="C38" s="151">
        <v>381873</v>
      </c>
      <c r="D38" s="151">
        <v>-122783</v>
      </c>
      <c r="E38" s="151">
        <f t="shared" si="2"/>
        <v>24241418</v>
      </c>
      <c r="F38" s="151">
        <f>'- 62 -'!D38</f>
        <v>764911</v>
      </c>
      <c r="G38" s="70">
        <f t="shared" si="3"/>
        <v>3.1553888473025795</v>
      </c>
      <c r="H38" s="376">
        <f>+Data!P36</f>
        <v>3.42</v>
      </c>
      <c r="I38" s="140">
        <v>3.1553888473025794E-2</v>
      </c>
      <c r="J38" s="151">
        <v>24241418</v>
      </c>
      <c r="K38" s="2">
        <f t="shared" si="0"/>
        <v>0</v>
      </c>
      <c r="L38" s="2">
        <f t="shared" si="1"/>
        <v>2.6461115269742069E-3</v>
      </c>
    </row>
    <row r="39" spans="1:12" ht="14.1" customHeight="1" x14ac:dyDescent="0.2">
      <c r="A39" s="354" t="s">
        <v>135</v>
      </c>
      <c r="B39" s="352">
        <f>'- 3 -'!B37</f>
        <v>55450851</v>
      </c>
      <c r="C39" s="352">
        <v>898636</v>
      </c>
      <c r="D39" s="352">
        <v>-322784</v>
      </c>
      <c r="E39" s="352">
        <f t="shared" si="2"/>
        <v>56026703</v>
      </c>
      <c r="F39" s="352">
        <f>'- 62 -'!D39</f>
        <v>1425471</v>
      </c>
      <c r="G39" s="291">
        <f t="shared" si="3"/>
        <v>2.5442707203384787</v>
      </c>
      <c r="H39" s="582">
        <f>+Data!P37</f>
        <v>3.05</v>
      </c>
      <c r="I39" s="400">
        <v>2.5442707203384787E-2</v>
      </c>
      <c r="J39" s="352">
        <v>56026703</v>
      </c>
      <c r="K39" s="2">
        <f t="shared" si="0"/>
        <v>0</v>
      </c>
      <c r="L39" s="2">
        <f t="shared" si="1"/>
        <v>5.0572927966152127E-3</v>
      </c>
    </row>
    <row r="40" spans="1:12" ht="14.1" customHeight="1" x14ac:dyDescent="0.2">
      <c r="A40" s="237" t="s">
        <v>136</v>
      </c>
      <c r="B40" s="151">
        <f>'- 3 -'!B38</f>
        <v>148590484</v>
      </c>
      <c r="C40" s="151">
        <v>4112873</v>
      </c>
      <c r="D40" s="151">
        <v>-2160561</v>
      </c>
      <c r="E40" s="151">
        <f t="shared" si="2"/>
        <v>150542796</v>
      </c>
      <c r="F40" s="151">
        <f>'- 62 -'!D40</f>
        <v>3878780</v>
      </c>
      <c r="G40" s="70">
        <f t="shared" si="3"/>
        <v>2.5765297995395278</v>
      </c>
      <c r="H40" s="376">
        <f>+Data!P38</f>
        <v>2.7</v>
      </c>
      <c r="I40" s="140">
        <v>2.5765297995395276E-2</v>
      </c>
      <c r="J40" s="151">
        <v>150542796</v>
      </c>
      <c r="K40" s="2">
        <f t="shared" si="0"/>
        <v>0</v>
      </c>
      <c r="L40" s="2">
        <f t="shared" si="1"/>
        <v>1.234702004604727E-3</v>
      </c>
    </row>
    <row r="41" spans="1:12" ht="14.1" customHeight="1" x14ac:dyDescent="0.2">
      <c r="A41" s="354" t="s">
        <v>137</v>
      </c>
      <c r="B41" s="352">
        <f>'- 3 -'!B39</f>
        <v>21979835</v>
      </c>
      <c r="C41" s="352">
        <v>512192</v>
      </c>
      <c r="D41" s="352">
        <v>0</v>
      </c>
      <c r="E41" s="352">
        <f t="shared" si="2"/>
        <v>22492027</v>
      </c>
      <c r="F41" s="352">
        <f>'- 62 -'!D41</f>
        <v>748107</v>
      </c>
      <c r="G41" s="291">
        <f t="shared" si="3"/>
        <v>3.3260986215248631</v>
      </c>
      <c r="H41" s="582">
        <f>+Data!P39</f>
        <v>3.46</v>
      </c>
      <c r="I41" s="400">
        <v>3.3260986215248631E-2</v>
      </c>
      <c r="J41" s="352">
        <v>22492027</v>
      </c>
      <c r="K41" s="2">
        <f t="shared" si="0"/>
        <v>0</v>
      </c>
      <c r="L41" s="2">
        <f t="shared" si="1"/>
        <v>1.3390137847513681E-3</v>
      </c>
    </row>
    <row r="42" spans="1:12" ht="14.1" customHeight="1" x14ac:dyDescent="0.2">
      <c r="A42" s="237" t="s">
        <v>138</v>
      </c>
      <c r="B42" s="151">
        <f>'- 3 -'!B40</f>
        <v>106878295</v>
      </c>
      <c r="C42" s="151">
        <v>3312552</v>
      </c>
      <c r="D42" s="151">
        <v>0</v>
      </c>
      <c r="E42" s="151">
        <f t="shared" si="2"/>
        <v>110190847</v>
      </c>
      <c r="F42" s="151">
        <f>'- 62 -'!D42</f>
        <v>2869376</v>
      </c>
      <c r="G42" s="70">
        <f t="shared" si="3"/>
        <v>2.6040057573928985</v>
      </c>
      <c r="H42" s="376">
        <f>+Data!P40</f>
        <v>2.7</v>
      </c>
      <c r="I42" s="140">
        <v>2.6040057573928986E-2</v>
      </c>
      <c r="J42" s="151">
        <v>110190847</v>
      </c>
      <c r="K42" s="2">
        <f t="shared" si="0"/>
        <v>0</v>
      </c>
      <c r="L42" s="2">
        <f t="shared" si="1"/>
        <v>9.599424260710171E-4</v>
      </c>
    </row>
    <row r="43" spans="1:12" ht="14.1" customHeight="1" x14ac:dyDescent="0.2">
      <c r="A43" s="354" t="s">
        <v>139</v>
      </c>
      <c r="B43" s="352">
        <f>'- 3 -'!B41</f>
        <v>65067722</v>
      </c>
      <c r="C43" s="352">
        <v>1333092</v>
      </c>
      <c r="D43" s="352">
        <v>-967911</v>
      </c>
      <c r="E43" s="352">
        <f t="shared" si="2"/>
        <v>65432903</v>
      </c>
      <c r="F43" s="352">
        <f>'- 62 -'!D43</f>
        <v>1977418</v>
      </c>
      <c r="G43" s="291">
        <f t="shared" si="3"/>
        <v>3.0220545159061643</v>
      </c>
      <c r="H43" s="582">
        <f>+Data!P41</f>
        <v>3.01</v>
      </c>
      <c r="I43" s="400">
        <v>3.0220545159061644E-2</v>
      </c>
      <c r="J43" s="352">
        <v>65432903</v>
      </c>
      <c r="K43" s="2">
        <f t="shared" si="0"/>
        <v>0</v>
      </c>
      <c r="L43" s="2">
        <f t="shared" si="1"/>
        <v>-1.2054515906164548E-4</v>
      </c>
    </row>
    <row r="44" spans="1:12" ht="14.1" customHeight="1" x14ac:dyDescent="0.2">
      <c r="A44" s="237" t="s">
        <v>140</v>
      </c>
      <c r="B44" s="151">
        <f>'- 3 -'!B42</f>
        <v>20499271</v>
      </c>
      <c r="C44" s="151">
        <v>215402</v>
      </c>
      <c r="D44" s="151">
        <v>0</v>
      </c>
      <c r="E44" s="151">
        <f t="shared" si="2"/>
        <v>20714673</v>
      </c>
      <c r="F44" s="151">
        <f>'- 62 -'!D44</f>
        <v>673269</v>
      </c>
      <c r="G44" s="70">
        <f t="shared" si="3"/>
        <v>3.2502033703356066</v>
      </c>
      <c r="H44" s="376">
        <f>+Data!P42</f>
        <v>3.4799999999999995</v>
      </c>
      <c r="I44" s="140">
        <v>3.2502033703356067E-2</v>
      </c>
      <c r="J44" s="151">
        <v>20714673</v>
      </c>
      <c r="K44" s="2">
        <f t="shared" si="0"/>
        <v>0</v>
      </c>
      <c r="L44" s="2">
        <f t="shared" si="1"/>
        <v>2.2979662966439302E-3</v>
      </c>
    </row>
    <row r="45" spans="1:12" ht="14.1" customHeight="1" x14ac:dyDescent="0.2">
      <c r="A45" s="354" t="s">
        <v>141</v>
      </c>
      <c r="B45" s="352">
        <f>'- 3 -'!B43</f>
        <v>13084359</v>
      </c>
      <c r="C45" s="352">
        <v>25320</v>
      </c>
      <c r="D45" s="352">
        <v>-205623</v>
      </c>
      <c r="E45" s="352">
        <f t="shared" si="2"/>
        <v>12904056</v>
      </c>
      <c r="F45" s="352">
        <f>'- 62 -'!D45</f>
        <v>442113</v>
      </c>
      <c r="G45" s="291">
        <f t="shared" si="3"/>
        <v>3.4261553111672796</v>
      </c>
      <c r="H45" s="582">
        <f>+Data!P43</f>
        <v>3.53</v>
      </c>
      <c r="I45" s="400">
        <v>3.4261553111672796E-2</v>
      </c>
      <c r="J45" s="352">
        <v>12904056</v>
      </c>
      <c r="K45" s="2">
        <f t="shared" si="0"/>
        <v>0</v>
      </c>
      <c r="L45" s="2">
        <f t="shared" si="1"/>
        <v>1.0384468883272019E-3</v>
      </c>
    </row>
    <row r="46" spans="1:12" ht="14.1" customHeight="1" x14ac:dyDescent="0.2">
      <c r="A46" s="237" t="s">
        <v>142</v>
      </c>
      <c r="B46" s="151">
        <f>'- 3 -'!B44</f>
        <v>10774053</v>
      </c>
      <c r="C46" s="151">
        <v>496637</v>
      </c>
      <c r="D46" s="151">
        <v>0</v>
      </c>
      <c r="E46" s="151">
        <f t="shared" si="2"/>
        <v>11270690</v>
      </c>
      <c r="F46" s="151">
        <f>'- 62 -'!D46</f>
        <v>370679</v>
      </c>
      <c r="G46" s="70">
        <f t="shared" si="3"/>
        <v>3.2888758363507473</v>
      </c>
      <c r="H46" s="376">
        <f>+Data!P44</f>
        <v>3.53</v>
      </c>
      <c r="I46" s="140">
        <v>3.2888758363507471E-2</v>
      </c>
      <c r="J46" s="151">
        <v>11270690</v>
      </c>
      <c r="K46" s="2">
        <f t="shared" si="0"/>
        <v>0</v>
      </c>
      <c r="L46" s="2">
        <f t="shared" si="1"/>
        <v>2.4112416364925268E-3</v>
      </c>
    </row>
    <row r="47" spans="1:12" ht="14.1" customHeight="1" x14ac:dyDescent="0.2">
      <c r="A47" s="354" t="s">
        <v>143</v>
      </c>
      <c r="B47" s="352">
        <f>'- 3 -'!B45</f>
        <v>21240689</v>
      </c>
      <c r="C47" s="352">
        <v>403321</v>
      </c>
      <c r="D47" s="352">
        <v>-399411</v>
      </c>
      <c r="E47" s="352">
        <f t="shared" si="2"/>
        <v>21244599</v>
      </c>
      <c r="F47" s="352">
        <f>'- 62 -'!D47</f>
        <v>740505</v>
      </c>
      <c r="G47" s="291">
        <f t="shared" si="3"/>
        <v>3.4856153321604237</v>
      </c>
      <c r="H47" s="582">
        <f>+Data!P45</f>
        <v>3.4000000000000004</v>
      </c>
      <c r="I47" s="400">
        <v>3.4856153321604237E-2</v>
      </c>
      <c r="J47" s="352">
        <v>21244599</v>
      </c>
      <c r="K47" s="2">
        <f t="shared" si="0"/>
        <v>0</v>
      </c>
      <c r="L47" s="2">
        <f t="shared" si="1"/>
        <v>-8.5615332160423468E-4</v>
      </c>
    </row>
    <row r="48" spans="1:12" ht="14.1" customHeight="1" x14ac:dyDescent="0.2">
      <c r="A48" s="237" t="s">
        <v>144</v>
      </c>
      <c r="B48" s="151">
        <f>'- 3 -'!B46</f>
        <v>415662386</v>
      </c>
      <c r="C48" s="151">
        <v>5248017</v>
      </c>
      <c r="D48" s="151">
        <v>-856421</v>
      </c>
      <c r="E48" s="151">
        <f t="shared" si="2"/>
        <v>420053982</v>
      </c>
      <c r="F48" s="151">
        <f>'- 62 -'!D48</f>
        <v>11691885</v>
      </c>
      <c r="G48" s="70">
        <f t="shared" si="3"/>
        <v>2.7834243932961931</v>
      </c>
      <c r="H48" s="376">
        <f>+Data!P46</f>
        <v>2.7</v>
      </c>
      <c r="I48" s="140">
        <v>2.7834243932961932E-2</v>
      </c>
      <c r="J48" s="151">
        <v>420053982</v>
      </c>
      <c r="K48" s="2">
        <f t="shared" si="0"/>
        <v>0</v>
      </c>
      <c r="L48" s="2">
        <f t="shared" si="1"/>
        <v>-8.3424393296192834E-4</v>
      </c>
    </row>
    <row r="49" spans="1:11" ht="5.0999999999999996" customHeight="1" x14ac:dyDescent="0.2">
      <c r="A49" s="130"/>
      <c r="B49" s="152"/>
      <c r="C49" s="152"/>
      <c r="D49" s="152"/>
      <c r="E49" s="152"/>
      <c r="F49" s="152"/>
      <c r="G49" s="581"/>
      <c r="H49" s="1"/>
      <c r="I49" s="131"/>
      <c r="J49" s="152"/>
    </row>
    <row r="50" spans="1:11" ht="14.45" customHeight="1" x14ac:dyDescent="0.2">
      <c r="A50" s="355" t="s">
        <v>145</v>
      </c>
      <c r="B50" s="356">
        <f>SUM(B13:B48)</f>
        <v>2203577331</v>
      </c>
      <c r="C50" s="356">
        <f>SUM(C13:C48)</f>
        <v>38759983</v>
      </c>
      <c r="D50" s="356">
        <f>SUM(D13:D48)</f>
        <v>-9684182</v>
      </c>
      <c r="E50" s="356">
        <f>SUM(E13:E48)</f>
        <v>2232653132</v>
      </c>
      <c r="F50" s="356">
        <f>SUM(F13:F48)</f>
        <v>63373985</v>
      </c>
      <c r="G50" s="294">
        <f>F50/E50*100</f>
        <v>2.8385056367098942</v>
      </c>
      <c r="H50" s="583" t="s">
        <v>95</v>
      </c>
      <c r="I50" s="401"/>
      <c r="J50" s="356">
        <f>SUM(J13:J48)</f>
        <v>2232653132</v>
      </c>
      <c r="K50" s="2">
        <f>J50-E50</f>
        <v>0</v>
      </c>
    </row>
    <row r="51" spans="1:11" ht="5.0999999999999996" customHeight="1" x14ac:dyDescent="0.2">
      <c r="A51" s="130" t="s">
        <v>7</v>
      </c>
      <c r="B51" s="152"/>
      <c r="C51" s="152"/>
      <c r="D51" s="152"/>
      <c r="E51" s="152"/>
      <c r="F51" s="152"/>
      <c r="G51" s="581"/>
      <c r="H51"/>
      <c r="I51" s="131"/>
      <c r="J51" s="152"/>
    </row>
    <row r="52" spans="1:11" ht="14.45" customHeight="1" x14ac:dyDescent="0.2">
      <c r="A52" s="237" t="s">
        <v>146</v>
      </c>
      <c r="B52" s="151"/>
      <c r="C52" s="151"/>
      <c r="D52" s="151"/>
      <c r="E52" s="151"/>
      <c r="F52" s="151"/>
      <c r="G52" s="580" t="s">
        <v>615</v>
      </c>
      <c r="H52" s="580" t="s">
        <v>615</v>
      </c>
      <c r="I52" s="140">
        <v>6.1532354477539151E-2</v>
      </c>
      <c r="J52" s="151">
        <v>3229553</v>
      </c>
    </row>
    <row r="53" spans="1:11" ht="50.1" customHeight="1" x14ac:dyDescent="0.2">
      <c r="A53" s="23"/>
      <c r="B53" s="23"/>
      <c r="C53" s="23"/>
      <c r="D53" s="23"/>
      <c r="E53" s="23"/>
      <c r="F53" s="23"/>
      <c r="G53" s="23"/>
      <c r="H53" s="23"/>
    </row>
    <row r="54" spans="1:11" ht="14.45" customHeight="1" x14ac:dyDescent="0.2">
      <c r="A54" s="613" t="s">
        <v>585</v>
      </c>
      <c r="B54" s="613"/>
      <c r="C54" s="613"/>
      <c r="D54" s="613"/>
      <c r="E54" s="613"/>
      <c r="F54" s="613"/>
      <c r="G54" s="613"/>
      <c r="H54" s="613"/>
    </row>
    <row r="55" spans="1:11" ht="12" customHeight="1" x14ac:dyDescent="0.2">
      <c r="A55" s="834"/>
      <c r="B55" s="834"/>
      <c r="C55" s="834"/>
      <c r="D55" s="834"/>
      <c r="E55" s="834"/>
      <c r="F55" s="834"/>
      <c r="G55" s="834"/>
      <c r="H55" s="834"/>
    </row>
    <row r="56" spans="1:11" ht="14.45" customHeight="1" x14ac:dyDescent="0.2">
      <c r="A56" s="38"/>
      <c r="B56" s="38"/>
      <c r="C56" s="38"/>
      <c r="D56" s="38"/>
    </row>
    <row r="57" spans="1:11" ht="14.45" customHeight="1" x14ac:dyDescent="0.2">
      <c r="A57" s="38"/>
      <c r="B57" s="38"/>
      <c r="C57" s="38"/>
      <c r="D57" s="38"/>
    </row>
    <row r="58" spans="1:11" ht="14.45" customHeight="1" x14ac:dyDescent="0.2">
      <c r="A58" s="38"/>
      <c r="B58" s="38"/>
      <c r="C58" s="38"/>
      <c r="D58" s="38"/>
    </row>
    <row r="59" spans="1:11" x14ac:dyDescent="0.2">
      <c r="A59" s="38"/>
    </row>
  </sheetData>
  <mergeCells count="9">
    <mergeCell ref="B4:H4"/>
    <mergeCell ref="A54:H55"/>
    <mergeCell ref="B8:B11"/>
    <mergeCell ref="C8:C11"/>
    <mergeCell ref="D8:D11"/>
    <mergeCell ref="E9:E11"/>
    <mergeCell ref="F8:F11"/>
    <mergeCell ref="H6:H11"/>
    <mergeCell ref="G6:G11"/>
  </mergeCells>
  <phoneticPr fontId="0" type="noConversion"/>
  <pageMargins left="0.5" right="0.5" top="0.6" bottom="0.2" header="0.3" footer="0.5"/>
  <pageSetup scale="84" orientation="portrait" r:id="rId1"/>
  <headerFooter alignWithMargins="0">
    <oddHeader>&amp;C&amp;"Arial,Regular"&amp;11&amp;A</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44">
    <pageSetUpPr autoPageBreaks="0" fitToPage="1"/>
  </sheetPr>
  <dimension ref="A1:I56"/>
  <sheetViews>
    <sheetView showGridLines="0" showZeros="0" defaultGridColor="0" colorId="22" workbookViewId="0"/>
  </sheetViews>
  <sheetFormatPr defaultColWidth="15.83203125" defaultRowHeight="12.75" x14ac:dyDescent="0.2"/>
  <cols>
    <col min="1" max="1" width="28.1640625" style="477" customWidth="1"/>
    <col min="2" max="2" width="16.83203125" style="481" bestFit="1" customWidth="1"/>
    <col min="3" max="3" width="13" style="477" customWidth="1"/>
    <col min="4" max="4" width="11.83203125" style="477" customWidth="1"/>
    <col min="5" max="5" width="15.1640625" style="477" customWidth="1"/>
    <col min="6" max="6" width="16.6640625" style="477" customWidth="1"/>
    <col min="7" max="7" width="14.33203125" style="477" customWidth="1"/>
    <col min="8" max="8" width="8.5" style="477" customWidth="1"/>
    <col min="9" max="9" width="11.83203125" style="477" customWidth="1"/>
    <col min="10" max="16384" width="15.83203125" style="477"/>
  </cols>
  <sheetData>
    <row r="1" spans="1:9" x14ac:dyDescent="0.2">
      <c r="A1" s="511"/>
      <c r="B1" s="512"/>
      <c r="C1" s="513"/>
      <c r="D1" s="513"/>
      <c r="E1" s="513"/>
      <c r="F1" s="513"/>
      <c r="G1" s="513"/>
      <c r="H1" s="513"/>
      <c r="I1" s="513"/>
    </row>
    <row r="2" spans="1:9" s="478" customFormat="1" ht="15.95" customHeight="1" x14ac:dyDescent="0.2">
      <c r="A2" s="842" t="s">
        <v>378</v>
      </c>
      <c r="B2" s="842"/>
      <c r="C2" s="842"/>
      <c r="D2" s="842"/>
      <c r="E2" s="842"/>
      <c r="F2" s="842"/>
      <c r="G2" s="842"/>
      <c r="H2" s="842"/>
      <c r="I2" s="514"/>
    </row>
    <row r="3" spans="1:9" s="478" customFormat="1" ht="16.5" customHeight="1" x14ac:dyDescent="0.2">
      <c r="A3" s="843" t="str">
        <f>Data!B5&amp;" "&amp;"ACTUAL"</f>
        <v>2019/20 ACTUAL</v>
      </c>
      <c r="B3" s="843"/>
      <c r="C3" s="843"/>
      <c r="D3" s="843"/>
      <c r="E3" s="843"/>
      <c r="F3" s="843"/>
      <c r="G3" s="843"/>
      <c r="H3" s="843"/>
      <c r="I3" s="515"/>
    </row>
    <row r="4" spans="1:9" x14ac:dyDescent="0.2">
      <c r="A4" s="513"/>
      <c r="B4" s="516"/>
      <c r="C4" s="513"/>
      <c r="D4" s="513"/>
      <c r="E4" s="513"/>
      <c r="F4" s="513"/>
      <c r="G4" s="513"/>
      <c r="H4" s="513"/>
      <c r="I4" s="513"/>
    </row>
    <row r="5" spans="1:9" x14ac:dyDescent="0.2">
      <c r="A5" s="513"/>
      <c r="B5" s="516"/>
      <c r="C5" s="513"/>
      <c r="D5" s="513"/>
      <c r="E5" s="513"/>
      <c r="F5" s="513"/>
      <c r="G5" s="513"/>
      <c r="H5" s="513"/>
      <c r="I5" s="513"/>
    </row>
    <row r="6" spans="1:9" x14ac:dyDescent="0.2">
      <c r="A6" s="513"/>
      <c r="B6" s="513"/>
      <c r="C6" s="513"/>
      <c r="D6" s="513"/>
      <c r="E6" s="513"/>
      <c r="F6" s="513"/>
      <c r="G6" s="513"/>
      <c r="H6" s="513"/>
      <c r="I6" s="513"/>
    </row>
    <row r="7" spans="1:9" x14ac:dyDescent="0.2">
      <c r="A7" s="513"/>
      <c r="B7" s="841"/>
      <c r="C7" s="841"/>
      <c r="D7" s="841"/>
      <c r="E7" s="841"/>
      <c r="F7" s="841"/>
      <c r="G7" s="841"/>
      <c r="H7" s="841"/>
      <c r="I7" s="513"/>
    </row>
    <row r="8" spans="1:9" ht="39" customHeight="1" x14ac:dyDescent="0.2">
      <c r="A8" s="517"/>
      <c r="B8" s="844" t="s">
        <v>285</v>
      </c>
      <c r="C8" s="839" t="s">
        <v>367</v>
      </c>
      <c r="D8" s="840"/>
      <c r="E8" s="845" t="s">
        <v>286</v>
      </c>
      <c r="F8" s="837" t="s">
        <v>287</v>
      </c>
      <c r="G8" s="837" t="s">
        <v>368</v>
      </c>
      <c r="H8" s="837" t="s">
        <v>369</v>
      </c>
      <c r="I8" s="837" t="s">
        <v>288</v>
      </c>
    </row>
    <row r="9" spans="1:9" ht="19.5" customHeight="1" x14ac:dyDescent="0.2">
      <c r="A9" s="518" t="s">
        <v>289</v>
      </c>
      <c r="B9" s="838"/>
      <c r="C9" s="507" t="s">
        <v>366</v>
      </c>
      <c r="D9" s="506" t="s">
        <v>24</v>
      </c>
      <c r="E9" s="838"/>
      <c r="F9" s="838"/>
      <c r="G9" s="838"/>
      <c r="H9" s="838"/>
      <c r="I9" s="838"/>
    </row>
    <row r="10" spans="1:9" ht="3.95" customHeight="1" x14ac:dyDescent="0.2">
      <c r="A10" s="519"/>
      <c r="B10" s="516"/>
      <c r="C10" s="513"/>
      <c r="D10" s="513"/>
      <c r="E10" s="513"/>
      <c r="F10" s="513"/>
      <c r="G10" s="513"/>
      <c r="H10" s="513"/>
      <c r="I10" s="513"/>
    </row>
    <row r="11" spans="1:9" x14ac:dyDescent="0.2">
      <c r="A11" s="354" t="s">
        <v>290</v>
      </c>
      <c r="B11" s="520">
        <v>12.9</v>
      </c>
      <c r="C11" s="520">
        <v>121.04</v>
      </c>
      <c r="D11" s="520">
        <v>58.9</v>
      </c>
      <c r="E11" s="520">
        <v>42.599999999999994</v>
      </c>
      <c r="F11" s="520">
        <v>9.49</v>
      </c>
      <c r="G11" s="520">
        <v>2</v>
      </c>
      <c r="H11" s="520">
        <v>2.25</v>
      </c>
      <c r="I11" s="520">
        <f t="shared" ref="I11:I46" si="0">SUM(B11:H11)</f>
        <v>249.18</v>
      </c>
    </row>
    <row r="12" spans="1:9" x14ac:dyDescent="0.2">
      <c r="A12" s="237" t="s">
        <v>291</v>
      </c>
      <c r="B12" s="521">
        <v>20.53</v>
      </c>
      <c r="C12" s="521">
        <v>175.5872</v>
      </c>
      <c r="D12" s="521">
        <v>105.29640000000001</v>
      </c>
      <c r="E12" s="521">
        <v>75.52</v>
      </c>
      <c r="F12" s="521">
        <v>23.060000000000002</v>
      </c>
      <c r="G12" s="521">
        <v>8</v>
      </c>
      <c r="H12" s="521">
        <v>5</v>
      </c>
      <c r="I12" s="521">
        <f t="shared" si="0"/>
        <v>412.99359999999996</v>
      </c>
    </row>
    <row r="13" spans="1:9" x14ac:dyDescent="0.2">
      <c r="A13" s="354" t="s">
        <v>292</v>
      </c>
      <c r="B13" s="520">
        <v>49.67</v>
      </c>
      <c r="C13" s="520">
        <v>636.19000000000005</v>
      </c>
      <c r="D13" s="520">
        <v>286.11200000000002</v>
      </c>
      <c r="E13" s="520">
        <v>125.52799999999999</v>
      </c>
      <c r="F13" s="520">
        <v>49.345000000000006</v>
      </c>
      <c r="G13" s="520">
        <v>27.61</v>
      </c>
      <c r="H13" s="520">
        <v>7.58</v>
      </c>
      <c r="I13" s="520">
        <f t="shared" si="0"/>
        <v>1182.0349999999999</v>
      </c>
    </row>
    <row r="14" spans="1:9" x14ac:dyDescent="0.2">
      <c r="A14" s="237" t="s">
        <v>359</v>
      </c>
      <c r="B14" s="521">
        <v>61.000000000000007</v>
      </c>
      <c r="C14" s="521">
        <v>463.34</v>
      </c>
      <c r="D14" s="521">
        <v>223.53</v>
      </c>
      <c r="E14" s="521">
        <v>88.049999999999983</v>
      </c>
      <c r="F14" s="521">
        <v>62.19</v>
      </c>
      <c r="G14" s="521">
        <v>12.95</v>
      </c>
      <c r="H14" s="521">
        <v>9.17</v>
      </c>
      <c r="I14" s="521">
        <f t="shared" si="0"/>
        <v>920.2299999999999</v>
      </c>
    </row>
    <row r="15" spans="1:9" x14ac:dyDescent="0.2">
      <c r="A15" s="354" t="s">
        <v>293</v>
      </c>
      <c r="B15" s="520">
        <v>13.08</v>
      </c>
      <c r="C15" s="520">
        <v>100.34</v>
      </c>
      <c r="D15" s="520">
        <v>58.580000000000005</v>
      </c>
      <c r="E15" s="520">
        <v>50.66</v>
      </c>
      <c r="F15" s="520">
        <v>13.940000000000001</v>
      </c>
      <c r="G15" s="520">
        <v>3</v>
      </c>
      <c r="H15" s="520">
        <v>2</v>
      </c>
      <c r="I15" s="520">
        <f t="shared" si="0"/>
        <v>241.6</v>
      </c>
    </row>
    <row r="16" spans="1:9" x14ac:dyDescent="0.2">
      <c r="A16" s="237" t="s">
        <v>294</v>
      </c>
      <c r="B16" s="521">
        <v>11.17</v>
      </c>
      <c r="C16" s="521">
        <v>72.25</v>
      </c>
      <c r="D16" s="521">
        <v>26.199999999999996</v>
      </c>
      <c r="E16" s="521">
        <v>22.18</v>
      </c>
      <c r="F16" s="521">
        <v>8</v>
      </c>
      <c r="G16" s="521">
        <v>2.7</v>
      </c>
      <c r="H16" s="521">
        <v>0</v>
      </c>
      <c r="I16" s="521">
        <f t="shared" si="0"/>
        <v>142.5</v>
      </c>
    </row>
    <row r="17" spans="1:9" x14ac:dyDescent="0.2">
      <c r="A17" s="354" t="s">
        <v>295</v>
      </c>
      <c r="B17" s="520">
        <v>10.96</v>
      </c>
      <c r="C17" s="520">
        <v>103.17</v>
      </c>
      <c r="D17" s="520">
        <v>44.27</v>
      </c>
      <c r="E17" s="520">
        <v>49.05</v>
      </c>
      <c r="F17" s="520">
        <v>12.42</v>
      </c>
      <c r="G17" s="520">
        <v>3.1</v>
      </c>
      <c r="H17" s="520">
        <v>2</v>
      </c>
      <c r="I17" s="520">
        <f t="shared" si="0"/>
        <v>224.96999999999997</v>
      </c>
    </row>
    <row r="18" spans="1:9" x14ac:dyDescent="0.2">
      <c r="A18" s="237" t="s">
        <v>296</v>
      </c>
      <c r="B18" s="521">
        <v>75.87</v>
      </c>
      <c r="C18" s="521">
        <v>473.59</v>
      </c>
      <c r="D18" s="521">
        <v>413.90999999999997</v>
      </c>
      <c r="E18" s="521">
        <v>291.63</v>
      </c>
      <c r="F18" s="521">
        <v>72.099999999999994</v>
      </c>
      <c r="G18" s="521">
        <v>20.5</v>
      </c>
      <c r="H18" s="521">
        <v>10</v>
      </c>
      <c r="I18" s="521">
        <f t="shared" si="0"/>
        <v>1357.6</v>
      </c>
    </row>
    <row r="19" spans="1:9" x14ac:dyDescent="0.2">
      <c r="A19" s="354" t="s">
        <v>297</v>
      </c>
      <c r="B19" s="520">
        <v>23.000000000000004</v>
      </c>
      <c r="C19" s="520">
        <v>290.14</v>
      </c>
      <c r="D19" s="520">
        <v>169.33999999999997</v>
      </c>
      <c r="E19" s="520">
        <v>120.37000000000002</v>
      </c>
      <c r="F19" s="520">
        <v>20.9</v>
      </c>
      <c r="G19" s="520">
        <v>12</v>
      </c>
      <c r="H19" s="520">
        <v>8</v>
      </c>
      <c r="I19" s="520">
        <f t="shared" si="0"/>
        <v>643.75</v>
      </c>
    </row>
    <row r="20" spans="1:9" x14ac:dyDescent="0.2">
      <c r="A20" s="237" t="s">
        <v>298</v>
      </c>
      <c r="B20" s="521">
        <v>44</v>
      </c>
      <c r="C20" s="521">
        <v>524.3599999999999</v>
      </c>
      <c r="D20" s="521">
        <v>183.5</v>
      </c>
      <c r="E20" s="521">
        <v>209.69</v>
      </c>
      <c r="F20" s="521">
        <v>73.12</v>
      </c>
      <c r="G20" s="521">
        <v>20.100000000000001</v>
      </c>
      <c r="H20" s="521">
        <v>11</v>
      </c>
      <c r="I20" s="521">
        <f t="shared" si="0"/>
        <v>1065.77</v>
      </c>
    </row>
    <row r="21" spans="1:9" x14ac:dyDescent="0.2">
      <c r="A21" s="354" t="s">
        <v>299</v>
      </c>
      <c r="B21" s="520">
        <v>22</v>
      </c>
      <c r="C21" s="520">
        <v>216.79000000000002</v>
      </c>
      <c r="D21" s="520">
        <v>123.9</v>
      </c>
      <c r="E21" s="520">
        <v>68.349999999999994</v>
      </c>
      <c r="F21" s="520">
        <v>23.05</v>
      </c>
      <c r="G21" s="520">
        <v>8.66</v>
      </c>
      <c r="H21" s="520">
        <v>5</v>
      </c>
      <c r="I21" s="520">
        <f t="shared" si="0"/>
        <v>467.75000000000011</v>
      </c>
    </row>
    <row r="22" spans="1:9" x14ac:dyDescent="0.2">
      <c r="A22" s="237" t="s">
        <v>300</v>
      </c>
      <c r="B22" s="521">
        <v>10.549999999999999</v>
      </c>
      <c r="C22" s="521">
        <v>115.7</v>
      </c>
      <c r="D22" s="521">
        <v>57</v>
      </c>
      <c r="E22" s="521">
        <v>36</v>
      </c>
      <c r="F22" s="521">
        <v>17.75</v>
      </c>
      <c r="G22" s="521">
        <v>3</v>
      </c>
      <c r="H22" s="521">
        <v>0</v>
      </c>
      <c r="I22" s="521">
        <f t="shared" si="0"/>
        <v>240</v>
      </c>
    </row>
    <row r="23" spans="1:9" x14ac:dyDescent="0.2">
      <c r="A23" s="354" t="s">
        <v>301</v>
      </c>
      <c r="B23" s="520">
        <v>9.8000000000000007</v>
      </c>
      <c r="C23" s="520">
        <v>74.75</v>
      </c>
      <c r="D23" s="520">
        <v>51.7</v>
      </c>
      <c r="E23" s="520">
        <v>32.5</v>
      </c>
      <c r="F23" s="520">
        <v>9.5</v>
      </c>
      <c r="G23" s="520">
        <v>2.8</v>
      </c>
      <c r="H23" s="520">
        <v>2</v>
      </c>
      <c r="I23" s="520">
        <f t="shared" si="0"/>
        <v>183.05</v>
      </c>
    </row>
    <row r="24" spans="1:9" x14ac:dyDescent="0.2">
      <c r="A24" s="237" t="s">
        <v>302</v>
      </c>
      <c r="B24" s="521">
        <v>31.5</v>
      </c>
      <c r="C24" s="521">
        <v>299.25</v>
      </c>
      <c r="D24" s="521">
        <v>160.33999999999997</v>
      </c>
      <c r="E24" s="521">
        <v>118.19</v>
      </c>
      <c r="F24" s="521">
        <v>34.79</v>
      </c>
      <c r="G24" s="521">
        <v>15.75</v>
      </c>
      <c r="H24" s="521">
        <v>9</v>
      </c>
      <c r="I24" s="521">
        <f t="shared" si="0"/>
        <v>668.81999999999994</v>
      </c>
    </row>
    <row r="25" spans="1:9" x14ac:dyDescent="0.2">
      <c r="A25" s="354" t="s">
        <v>303</v>
      </c>
      <c r="B25" s="520">
        <v>85.62</v>
      </c>
      <c r="C25" s="520">
        <v>1024.2259999999999</v>
      </c>
      <c r="D25" s="520">
        <v>609.71</v>
      </c>
      <c r="E25" s="520">
        <v>181.2</v>
      </c>
      <c r="F25" s="520">
        <v>121.36</v>
      </c>
      <c r="G25" s="520">
        <v>42.67</v>
      </c>
      <c r="H25" s="520">
        <v>18</v>
      </c>
      <c r="I25" s="520">
        <f t="shared" si="0"/>
        <v>2082.7860000000001</v>
      </c>
    </row>
    <row r="26" spans="1:9" x14ac:dyDescent="0.2">
      <c r="A26" s="237" t="s">
        <v>304</v>
      </c>
      <c r="B26" s="521">
        <v>29.65</v>
      </c>
      <c r="C26" s="521">
        <v>210.9</v>
      </c>
      <c r="D26" s="521">
        <v>121.71</v>
      </c>
      <c r="E26" s="521">
        <v>107.62</v>
      </c>
      <c r="F26" s="521">
        <v>24.54</v>
      </c>
      <c r="G26" s="521">
        <v>8.1</v>
      </c>
      <c r="H26" s="521">
        <v>7</v>
      </c>
      <c r="I26" s="521">
        <f t="shared" si="0"/>
        <v>509.52000000000004</v>
      </c>
    </row>
    <row r="27" spans="1:9" x14ac:dyDescent="0.2">
      <c r="A27" s="354" t="s">
        <v>305</v>
      </c>
      <c r="B27" s="520">
        <v>19</v>
      </c>
      <c r="C27" s="520">
        <v>228.45500000000001</v>
      </c>
      <c r="D27" s="520">
        <v>104</v>
      </c>
      <c r="E27" s="520">
        <v>42.39</v>
      </c>
      <c r="F27" s="520">
        <v>20</v>
      </c>
      <c r="G27" s="520">
        <v>10.88</v>
      </c>
      <c r="H27" s="520">
        <v>5</v>
      </c>
      <c r="I27" s="520">
        <f t="shared" si="0"/>
        <v>429.72500000000002</v>
      </c>
    </row>
    <row r="28" spans="1:9" x14ac:dyDescent="0.2">
      <c r="A28" s="237" t="s">
        <v>306</v>
      </c>
      <c r="B28" s="521">
        <v>16.480000000000004</v>
      </c>
      <c r="C28" s="521">
        <v>159.28</v>
      </c>
      <c r="D28" s="521">
        <v>87.3</v>
      </c>
      <c r="E28" s="521">
        <v>54.879999999999995</v>
      </c>
      <c r="F28" s="521">
        <v>17.329999999999998</v>
      </c>
      <c r="G28" s="521">
        <v>3.2</v>
      </c>
      <c r="H28" s="521">
        <v>4</v>
      </c>
      <c r="I28" s="521">
        <f t="shared" si="0"/>
        <v>342.46999999999997</v>
      </c>
    </row>
    <row r="29" spans="1:9" x14ac:dyDescent="0.2">
      <c r="A29" s="354" t="s">
        <v>307</v>
      </c>
      <c r="B29" s="520">
        <v>77.509999999999991</v>
      </c>
      <c r="C29" s="520">
        <v>941.02</v>
      </c>
      <c r="D29" s="520">
        <v>372.67999999999995</v>
      </c>
      <c r="E29" s="520">
        <v>160.07</v>
      </c>
      <c r="F29" s="520">
        <v>102.37999999999998</v>
      </c>
      <c r="G29" s="520">
        <v>30.6</v>
      </c>
      <c r="H29" s="520">
        <v>20.96</v>
      </c>
      <c r="I29" s="520">
        <f t="shared" si="0"/>
        <v>1705.2199999999998</v>
      </c>
    </row>
    <row r="30" spans="1:9" x14ac:dyDescent="0.2">
      <c r="A30" s="237" t="s">
        <v>308</v>
      </c>
      <c r="B30" s="521">
        <v>11.489999999999998</v>
      </c>
      <c r="C30" s="521">
        <v>83.2</v>
      </c>
      <c r="D30" s="521">
        <v>36.589999999999996</v>
      </c>
      <c r="E30" s="521">
        <v>40.299999999999997</v>
      </c>
      <c r="F30" s="521">
        <v>10.450000000000001</v>
      </c>
      <c r="G30" s="521">
        <v>3.75</v>
      </c>
      <c r="H30" s="521">
        <v>2.25</v>
      </c>
      <c r="I30" s="521">
        <f t="shared" si="0"/>
        <v>188.02999999999997</v>
      </c>
    </row>
    <row r="31" spans="1:9" x14ac:dyDescent="0.2">
      <c r="A31" s="354" t="s">
        <v>309</v>
      </c>
      <c r="B31" s="520">
        <v>22</v>
      </c>
      <c r="C31" s="520">
        <v>248.47</v>
      </c>
      <c r="D31" s="520">
        <v>134</v>
      </c>
      <c r="E31" s="520">
        <v>72.240000000000009</v>
      </c>
      <c r="F31" s="520">
        <v>20.81</v>
      </c>
      <c r="G31" s="520">
        <v>7.13</v>
      </c>
      <c r="H31" s="520">
        <v>5.24</v>
      </c>
      <c r="I31" s="520">
        <f t="shared" si="0"/>
        <v>509.89000000000004</v>
      </c>
    </row>
    <row r="32" spans="1:9" x14ac:dyDescent="0.2">
      <c r="A32" s="237" t="s">
        <v>310</v>
      </c>
      <c r="B32" s="521">
        <v>19.3</v>
      </c>
      <c r="C32" s="521">
        <v>179.93</v>
      </c>
      <c r="D32" s="521">
        <v>84.649999999999991</v>
      </c>
      <c r="E32" s="521">
        <v>67.849999999999994</v>
      </c>
      <c r="F32" s="521">
        <v>18.73</v>
      </c>
      <c r="G32" s="521">
        <v>4.3</v>
      </c>
      <c r="H32" s="521">
        <v>4</v>
      </c>
      <c r="I32" s="521">
        <f t="shared" si="0"/>
        <v>378.76000000000005</v>
      </c>
    </row>
    <row r="33" spans="1:9" x14ac:dyDescent="0.2">
      <c r="A33" s="354" t="s">
        <v>311</v>
      </c>
      <c r="B33" s="520">
        <v>18.86</v>
      </c>
      <c r="C33" s="520">
        <v>149.96500000000003</v>
      </c>
      <c r="D33" s="520">
        <v>96.76</v>
      </c>
      <c r="E33" s="520">
        <v>77.775000000000006</v>
      </c>
      <c r="F33" s="520">
        <v>19.209999999999997</v>
      </c>
      <c r="G33" s="520">
        <v>4.7750000000000004</v>
      </c>
      <c r="H33" s="520">
        <v>6</v>
      </c>
      <c r="I33" s="520">
        <f t="shared" si="0"/>
        <v>373.34499999999997</v>
      </c>
    </row>
    <row r="34" spans="1:9" x14ac:dyDescent="0.2">
      <c r="A34" s="237" t="s">
        <v>312</v>
      </c>
      <c r="B34" s="521">
        <v>17.650000000000002</v>
      </c>
      <c r="C34" s="521">
        <v>167.07</v>
      </c>
      <c r="D34" s="521">
        <v>83.210000000000008</v>
      </c>
      <c r="E34" s="521">
        <v>77.8</v>
      </c>
      <c r="F34" s="521">
        <v>20.39</v>
      </c>
      <c r="G34" s="521">
        <v>5.15</v>
      </c>
      <c r="H34" s="521">
        <v>5</v>
      </c>
      <c r="I34" s="521">
        <f t="shared" si="0"/>
        <v>376.27</v>
      </c>
    </row>
    <row r="35" spans="1:9" x14ac:dyDescent="0.2">
      <c r="A35" s="354" t="s">
        <v>313</v>
      </c>
      <c r="B35" s="520">
        <v>95.15</v>
      </c>
      <c r="C35" s="520">
        <v>1103.78</v>
      </c>
      <c r="D35" s="520">
        <v>436.71000000000004</v>
      </c>
      <c r="E35" s="520">
        <v>285.55</v>
      </c>
      <c r="F35" s="520">
        <v>128.57</v>
      </c>
      <c r="G35" s="520">
        <v>30.07</v>
      </c>
      <c r="H35" s="520">
        <v>17</v>
      </c>
      <c r="I35" s="520">
        <f t="shared" si="0"/>
        <v>2096.8300000000004</v>
      </c>
    </row>
    <row r="36" spans="1:9" x14ac:dyDescent="0.2">
      <c r="A36" s="237" t="s">
        <v>314</v>
      </c>
      <c r="B36" s="521">
        <v>14.65</v>
      </c>
      <c r="C36" s="521">
        <v>123.97999999999999</v>
      </c>
      <c r="D36" s="521">
        <v>73.3</v>
      </c>
      <c r="E36" s="521">
        <v>59.9</v>
      </c>
      <c r="F36" s="521">
        <v>15.440000000000003</v>
      </c>
      <c r="G36" s="521">
        <v>3</v>
      </c>
      <c r="H36" s="521">
        <v>3</v>
      </c>
      <c r="I36" s="521">
        <f t="shared" si="0"/>
        <v>293.27</v>
      </c>
    </row>
    <row r="37" spans="1:9" x14ac:dyDescent="0.2">
      <c r="A37" s="354" t="s">
        <v>315</v>
      </c>
      <c r="B37" s="520">
        <v>28.5</v>
      </c>
      <c r="C37" s="520">
        <v>292.55</v>
      </c>
      <c r="D37" s="520">
        <v>147.79</v>
      </c>
      <c r="E37" s="520">
        <v>116.53999999999999</v>
      </c>
      <c r="F37" s="520">
        <v>30.68</v>
      </c>
      <c r="G37" s="520">
        <v>15.4</v>
      </c>
      <c r="H37" s="520">
        <v>5</v>
      </c>
      <c r="I37" s="520">
        <f t="shared" si="0"/>
        <v>636.45999999999992</v>
      </c>
    </row>
    <row r="38" spans="1:9" x14ac:dyDescent="0.2">
      <c r="A38" s="237" t="s">
        <v>316</v>
      </c>
      <c r="B38" s="521">
        <v>69.3</v>
      </c>
      <c r="C38" s="521">
        <v>770.52</v>
      </c>
      <c r="D38" s="521">
        <v>307.14000000000004</v>
      </c>
      <c r="E38" s="521">
        <v>152.62</v>
      </c>
      <c r="F38" s="521">
        <v>79.070000000000007</v>
      </c>
      <c r="G38" s="521">
        <v>21.2</v>
      </c>
      <c r="H38" s="521">
        <v>10</v>
      </c>
      <c r="I38" s="521">
        <f t="shared" si="0"/>
        <v>1409.85</v>
      </c>
    </row>
    <row r="39" spans="1:9" x14ac:dyDescent="0.2">
      <c r="A39" s="354" t="s">
        <v>317</v>
      </c>
      <c r="B39" s="520">
        <v>13.73</v>
      </c>
      <c r="C39" s="520">
        <v>118.23</v>
      </c>
      <c r="D39" s="520">
        <v>59.92</v>
      </c>
      <c r="E39" s="520">
        <v>56.239999999999995</v>
      </c>
      <c r="F39" s="520">
        <v>12.079999999999998</v>
      </c>
      <c r="G39" s="520">
        <v>2.6800000000000006</v>
      </c>
      <c r="H39" s="520">
        <v>2.5</v>
      </c>
      <c r="I39" s="520">
        <f t="shared" si="0"/>
        <v>265.38</v>
      </c>
    </row>
    <row r="40" spans="1:9" x14ac:dyDescent="0.2">
      <c r="A40" s="237" t="s">
        <v>318</v>
      </c>
      <c r="B40" s="521">
        <v>58.64</v>
      </c>
      <c r="C40" s="521">
        <v>570.81000000000006</v>
      </c>
      <c r="D40" s="521">
        <v>307.60000000000002</v>
      </c>
      <c r="E40" s="521">
        <v>98.56</v>
      </c>
      <c r="F40" s="521">
        <v>69.649999999999977</v>
      </c>
      <c r="G40" s="521">
        <v>27.67</v>
      </c>
      <c r="H40" s="521">
        <v>11.4</v>
      </c>
      <c r="I40" s="521">
        <f t="shared" si="0"/>
        <v>1144.3300000000004</v>
      </c>
    </row>
    <row r="41" spans="1:9" x14ac:dyDescent="0.2">
      <c r="A41" s="354" t="s">
        <v>319</v>
      </c>
      <c r="B41" s="520">
        <v>31.450000000000003</v>
      </c>
      <c r="C41" s="520">
        <v>340.45</v>
      </c>
      <c r="D41" s="520">
        <v>143.19999999999999</v>
      </c>
      <c r="E41" s="520">
        <v>152.53</v>
      </c>
      <c r="F41" s="520">
        <v>39.4</v>
      </c>
      <c r="G41" s="520">
        <v>15.27</v>
      </c>
      <c r="H41" s="520">
        <v>6</v>
      </c>
      <c r="I41" s="520">
        <f t="shared" si="0"/>
        <v>728.29999999999984</v>
      </c>
    </row>
    <row r="42" spans="1:9" x14ac:dyDescent="0.2">
      <c r="A42" s="237" t="s">
        <v>320</v>
      </c>
      <c r="B42" s="521">
        <v>12.259999999999998</v>
      </c>
      <c r="C42" s="521">
        <v>102.4</v>
      </c>
      <c r="D42" s="521">
        <v>65.19</v>
      </c>
      <c r="E42" s="521">
        <v>50.46</v>
      </c>
      <c r="F42" s="521">
        <v>14.29</v>
      </c>
      <c r="G42" s="521">
        <v>2.95</v>
      </c>
      <c r="H42" s="521">
        <v>3</v>
      </c>
      <c r="I42" s="521">
        <f t="shared" si="0"/>
        <v>250.54999999999998</v>
      </c>
    </row>
    <row r="43" spans="1:9" x14ac:dyDescent="0.2">
      <c r="A43" s="354" t="s">
        <v>321</v>
      </c>
      <c r="B43" s="520">
        <v>7.6099999999999994</v>
      </c>
      <c r="C43" s="520">
        <v>75.540000000000006</v>
      </c>
      <c r="D43" s="520">
        <v>39.169999999999995</v>
      </c>
      <c r="E43" s="520">
        <v>29.81</v>
      </c>
      <c r="F43" s="520">
        <v>6.45</v>
      </c>
      <c r="G43" s="520">
        <v>3</v>
      </c>
      <c r="H43" s="520">
        <v>1.4</v>
      </c>
      <c r="I43" s="520">
        <f t="shared" si="0"/>
        <v>162.97999999999999</v>
      </c>
    </row>
    <row r="44" spans="1:9" x14ac:dyDescent="0.2">
      <c r="A44" s="237" t="s">
        <v>322</v>
      </c>
      <c r="B44" s="521">
        <v>5.5200000000000005</v>
      </c>
      <c r="C44" s="521">
        <v>59.53</v>
      </c>
      <c r="D44" s="521">
        <v>35.5</v>
      </c>
      <c r="E44" s="521">
        <v>34.1</v>
      </c>
      <c r="F44" s="521">
        <v>7.089999999999999</v>
      </c>
      <c r="G44" s="521">
        <v>1.45</v>
      </c>
      <c r="H44" s="521">
        <v>2</v>
      </c>
      <c r="I44" s="521">
        <f t="shared" si="0"/>
        <v>145.19</v>
      </c>
    </row>
    <row r="45" spans="1:9" x14ac:dyDescent="0.2">
      <c r="A45" s="354" t="s">
        <v>323</v>
      </c>
      <c r="B45" s="520">
        <v>10.5</v>
      </c>
      <c r="C45" s="520">
        <v>126.185</v>
      </c>
      <c r="D45" s="520">
        <v>54.25</v>
      </c>
      <c r="E45" s="520">
        <v>34.599999999999994</v>
      </c>
      <c r="F45" s="520">
        <v>11.5</v>
      </c>
      <c r="G45" s="520">
        <v>2.8</v>
      </c>
      <c r="H45" s="520">
        <v>4</v>
      </c>
      <c r="I45" s="520">
        <f t="shared" si="0"/>
        <v>243.83500000000001</v>
      </c>
    </row>
    <row r="46" spans="1:9" x14ac:dyDescent="0.2">
      <c r="A46" s="237" t="s">
        <v>324</v>
      </c>
      <c r="B46" s="521">
        <v>144.25</v>
      </c>
      <c r="C46" s="521">
        <v>2100.37</v>
      </c>
      <c r="D46" s="521">
        <v>1154.24</v>
      </c>
      <c r="E46" s="521">
        <v>696.02</v>
      </c>
      <c r="F46" s="521">
        <v>273.12</v>
      </c>
      <c r="G46" s="521">
        <v>109.59</v>
      </c>
      <c r="H46" s="521">
        <v>35.049999999999997</v>
      </c>
      <c r="I46" s="521">
        <f t="shared" si="0"/>
        <v>4512.6400000000003</v>
      </c>
    </row>
    <row r="47" spans="1:9" ht="6" customHeight="1" x14ac:dyDescent="0.2">
      <c r="A47" s="130"/>
      <c r="B47" s="521"/>
      <c r="C47" s="521"/>
      <c r="D47" s="521"/>
      <c r="E47" s="521"/>
      <c r="F47" s="521"/>
      <c r="G47" s="521"/>
      <c r="H47" s="521"/>
      <c r="I47" s="521"/>
    </row>
    <row r="48" spans="1:9" x14ac:dyDescent="0.2">
      <c r="A48" s="355" t="s">
        <v>221</v>
      </c>
      <c r="B48" s="522">
        <f t="shared" ref="B48:I48" si="1">SUM(B11:B46)</f>
        <v>1205.1499999999996</v>
      </c>
      <c r="C48" s="522">
        <f t="shared" si="1"/>
        <v>12843.358199999999</v>
      </c>
      <c r="D48" s="522">
        <f t="shared" si="1"/>
        <v>6517.1984000000011</v>
      </c>
      <c r="E48" s="522">
        <f t="shared" si="1"/>
        <v>3979.373</v>
      </c>
      <c r="F48" s="522">
        <f t="shared" si="1"/>
        <v>1492.1949999999997</v>
      </c>
      <c r="G48" s="522">
        <f t="shared" si="1"/>
        <v>497.80499999999995</v>
      </c>
      <c r="H48" s="522">
        <f t="shared" si="1"/>
        <v>250.8</v>
      </c>
      <c r="I48" s="522">
        <f t="shared" si="1"/>
        <v>26785.879599999997</v>
      </c>
    </row>
    <row r="49" spans="1:9" ht="6" customHeight="1" x14ac:dyDescent="0.2">
      <c r="A49" s="513"/>
      <c r="B49" s="523"/>
      <c r="C49" s="523"/>
      <c r="D49" s="523"/>
      <c r="E49" s="523"/>
      <c r="F49" s="523"/>
      <c r="G49" s="523"/>
      <c r="H49" s="523"/>
      <c r="I49" s="523"/>
    </row>
    <row r="50" spans="1:9" x14ac:dyDescent="0.2">
      <c r="A50" s="524" t="s">
        <v>325</v>
      </c>
      <c r="B50" s="521">
        <v>1.87</v>
      </c>
      <c r="C50" s="521">
        <v>18.8</v>
      </c>
      <c r="D50" s="521">
        <v>4.76</v>
      </c>
      <c r="E50" s="521">
        <v>2.4</v>
      </c>
      <c r="F50" s="521">
        <v>2.73</v>
      </c>
      <c r="G50" s="521">
        <v>0.15</v>
      </c>
      <c r="H50" s="521">
        <v>0</v>
      </c>
      <c r="I50" s="521">
        <f>SUM(B50:H50)</f>
        <v>30.709999999999997</v>
      </c>
    </row>
    <row r="51" spans="1:9" x14ac:dyDescent="0.2">
      <c r="A51" s="576" t="s">
        <v>606</v>
      </c>
      <c r="B51" s="520">
        <v>20</v>
      </c>
      <c r="C51" s="520">
        <v>35</v>
      </c>
      <c r="D51" s="520">
        <v>11</v>
      </c>
      <c r="E51" s="520">
        <v>56.5</v>
      </c>
      <c r="F51" s="520">
        <v>23.5</v>
      </c>
      <c r="G51" s="520">
        <v>0</v>
      </c>
      <c r="H51" s="520">
        <v>4.75</v>
      </c>
      <c r="I51" s="520">
        <f>SUM(B51:H51)</f>
        <v>150.75</v>
      </c>
    </row>
    <row r="52" spans="1:9" ht="49.5" customHeight="1" x14ac:dyDescent="0.2">
      <c r="A52" s="479"/>
      <c r="B52" s="479"/>
      <c r="C52" s="480">
        <v>0</v>
      </c>
      <c r="D52" s="479"/>
      <c r="E52" s="479"/>
      <c r="F52" s="479"/>
      <c r="G52" s="479"/>
      <c r="H52" s="479"/>
      <c r="I52" s="479"/>
    </row>
    <row r="53" spans="1:9" x14ac:dyDescent="0.2">
      <c r="A53" s="835" t="s">
        <v>392</v>
      </c>
      <c r="B53" s="835"/>
      <c r="C53" s="835"/>
      <c r="D53" s="835"/>
      <c r="E53" s="835"/>
      <c r="F53" s="835"/>
      <c r="G53" s="835"/>
      <c r="H53" s="835"/>
      <c r="I53" s="835"/>
    </row>
    <row r="54" spans="1:9" ht="11.25" customHeight="1" x14ac:dyDescent="0.2">
      <c r="A54" s="836"/>
      <c r="B54" s="836"/>
      <c r="C54" s="836"/>
      <c r="D54" s="836"/>
      <c r="E54" s="836"/>
      <c r="F54" s="836"/>
      <c r="G54" s="836"/>
      <c r="H54" s="836"/>
      <c r="I54" s="836"/>
    </row>
    <row r="55" spans="1:9" x14ac:dyDescent="0.2">
      <c r="A55" s="133" t="s">
        <v>375</v>
      </c>
      <c r="B55" s="477"/>
      <c r="C55" s="481"/>
    </row>
    <row r="56" spans="1:9" x14ac:dyDescent="0.2">
      <c r="A56" s="133" t="s">
        <v>393</v>
      </c>
      <c r="B56" s="477"/>
      <c r="C56" s="481"/>
    </row>
  </sheetData>
  <mergeCells count="11">
    <mergeCell ref="A2:H2"/>
    <mergeCell ref="A3:H3"/>
    <mergeCell ref="B8:B9"/>
    <mergeCell ref="E8:E9"/>
    <mergeCell ref="F8:F9"/>
    <mergeCell ref="G8:G9"/>
    <mergeCell ref="A53:I54"/>
    <mergeCell ref="H8:H9"/>
    <mergeCell ref="C8:D8"/>
    <mergeCell ref="I8:I9"/>
    <mergeCell ref="B7:H7"/>
  </mergeCells>
  <phoneticPr fontId="6" type="noConversion"/>
  <pageMargins left="0.51181102362204722" right="0.51181102362204722" top="0.59055118110236227" bottom="0.19685039370078741" header="0.31496062992125984" footer="0.51181102362204722"/>
  <pageSetup orientation="portrait" r:id="rId1"/>
  <headerFooter alignWithMargins="0">
    <oddHeader>&amp;C&amp;"Arial,Regular"&amp;11&amp;A</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M57"/>
  <sheetViews>
    <sheetView showGridLines="0" workbookViewId="0"/>
  </sheetViews>
  <sheetFormatPr defaultColWidth="19.83203125" defaultRowHeight="12" x14ac:dyDescent="0.2"/>
  <cols>
    <col min="1" max="1" width="30.83203125" style="455" customWidth="1"/>
    <col min="2" max="2" width="17" style="455" customWidth="1"/>
    <col min="3" max="3" width="12" style="455" customWidth="1"/>
    <col min="4" max="4" width="16.83203125" style="455" customWidth="1"/>
    <col min="5" max="5" width="13" style="455" customWidth="1"/>
    <col min="6" max="6" width="13.33203125" style="455" customWidth="1"/>
    <col min="7" max="7" width="12.5" style="455" customWidth="1"/>
    <col min="8" max="9" width="19.83203125" style="455"/>
    <col min="10" max="10" width="25.5" style="455" bestFit="1" customWidth="1"/>
    <col min="11" max="11" width="21.1640625" style="455" bestFit="1" customWidth="1"/>
    <col min="12" max="16384" width="19.83203125" style="455"/>
  </cols>
  <sheetData>
    <row r="1" spans="1:13" ht="6.95" customHeight="1" x14ac:dyDescent="0.2">
      <c r="A1" s="453"/>
      <c r="B1" s="454"/>
      <c r="C1" s="454"/>
    </row>
    <row r="2" spans="1:13" ht="15.95" customHeight="1" x14ac:dyDescent="0.2">
      <c r="A2" s="456" t="s">
        <v>326</v>
      </c>
      <c r="B2" s="457"/>
      <c r="C2" s="457"/>
      <c r="D2" s="457"/>
      <c r="E2" s="457"/>
      <c r="F2" s="457"/>
      <c r="G2" s="457"/>
    </row>
    <row r="3" spans="1:13" ht="15.95" customHeight="1" x14ac:dyDescent="0.2">
      <c r="A3" s="543" t="str">
        <f>+'- 66 -'!A3</f>
        <v>2018/19 AND 2019/20 ACTUAL</v>
      </c>
      <c r="B3" s="458"/>
      <c r="C3" s="458"/>
      <c r="D3" s="458"/>
      <c r="E3" s="458"/>
      <c r="F3" s="458"/>
      <c r="G3" s="458"/>
    </row>
    <row r="4" spans="1:13" ht="15.95" customHeight="1" x14ac:dyDescent="0.2">
      <c r="B4" s="454"/>
      <c r="C4" s="454"/>
      <c r="J4" s="498"/>
      <c r="K4" s="498"/>
      <c r="L4" s="498"/>
      <c r="M4" s="498"/>
    </row>
    <row r="5" spans="1:13" ht="12" customHeight="1" x14ac:dyDescent="0.2">
      <c r="B5" s="454"/>
      <c r="C5" s="454"/>
      <c r="J5" s="498"/>
      <c r="K5" s="498"/>
      <c r="L5" s="498"/>
      <c r="M5" s="498"/>
    </row>
    <row r="6" spans="1:13" ht="15.75" customHeight="1" x14ac:dyDescent="0.2">
      <c r="B6" s="852" t="s">
        <v>592</v>
      </c>
      <c r="C6" s="853"/>
      <c r="D6" s="853"/>
      <c r="E6" s="854"/>
      <c r="F6" s="846" t="s">
        <v>591</v>
      </c>
      <c r="G6" s="847"/>
      <c r="J6" s="499"/>
      <c r="K6" s="498" t="str">
        <f>+'- 15 -'!E6</f>
        <v>STUDENT SUPPORT
 SERVICES</v>
      </c>
      <c r="L6" s="498" t="str">
        <f>+'- 16 -'!G6</f>
        <v>INSTRUCTIONAL &amp; OTHER 
SUPPORT SERVICES</v>
      </c>
      <c r="M6" s="498"/>
    </row>
    <row r="7" spans="1:13" x14ac:dyDescent="0.2">
      <c r="B7" s="855"/>
      <c r="C7" s="848"/>
      <c r="D7" s="848"/>
      <c r="E7" s="856"/>
      <c r="F7" s="848"/>
      <c r="G7" s="849"/>
      <c r="J7" s="499" t="str">
        <f>+'- 15 -'!B7</f>
        <v>REGULAR INSTRUCTION</v>
      </c>
      <c r="K7" s="498">
        <f>+'- 15 -'!E7</f>
        <v>0</v>
      </c>
      <c r="L7" s="498">
        <f>+'- 16 -'!G7</f>
        <v>0</v>
      </c>
      <c r="M7" s="498"/>
    </row>
    <row r="8" spans="1:13" x14ac:dyDescent="0.2">
      <c r="A8" s="568"/>
      <c r="B8" s="857"/>
      <c r="C8" s="858"/>
      <c r="D8" s="858"/>
      <c r="E8" s="859"/>
      <c r="F8" s="850"/>
      <c r="G8" s="851"/>
      <c r="J8" s="499"/>
      <c r="K8" s="498"/>
      <c r="L8" s="498"/>
      <c r="M8" s="498"/>
    </row>
    <row r="9" spans="1:13" ht="30.6" customHeight="1" x14ac:dyDescent="0.2">
      <c r="A9" s="459" t="s">
        <v>42</v>
      </c>
      <c r="B9" s="569" t="str">
        <f>+'- 66 -'!B9</f>
        <v>2018/19</v>
      </c>
      <c r="C9" s="570" t="s">
        <v>376</v>
      </c>
      <c r="D9" s="569" t="str">
        <f>+'- 66 -'!C9</f>
        <v>2019/20</v>
      </c>
      <c r="E9" s="570" t="s">
        <v>376</v>
      </c>
      <c r="F9" s="476" t="str">
        <f>+B9</f>
        <v>2018/19</v>
      </c>
      <c r="G9" s="476" t="str">
        <f>+D9</f>
        <v>2019/20</v>
      </c>
      <c r="J9" s="498"/>
      <c r="K9" s="498"/>
      <c r="L9" s="498"/>
      <c r="M9" s="498"/>
    </row>
    <row r="10" spans="1:13" ht="5.0999999999999996" customHeight="1" x14ac:dyDescent="0.2">
      <c r="A10" s="460"/>
      <c r="B10" s="461"/>
      <c r="C10" s="461"/>
      <c r="D10" s="453"/>
      <c r="E10" s="453"/>
      <c r="F10" s="453"/>
      <c r="J10" s="498"/>
      <c r="K10" s="498"/>
      <c r="L10" s="498"/>
      <c r="M10" s="498"/>
    </row>
    <row r="11" spans="1:13" ht="14.1" customHeight="1" x14ac:dyDescent="0.2">
      <c r="A11" s="470" t="s">
        <v>110</v>
      </c>
      <c r="B11" s="471">
        <v>15861234</v>
      </c>
      <c r="C11" s="472">
        <v>79.012886019030262</v>
      </c>
      <c r="D11" s="471">
        <v>16812987</v>
      </c>
      <c r="E11" s="472">
        <f>+D11/'- 3 -'!F11*100</f>
        <v>80.107111004108845</v>
      </c>
      <c r="F11" s="471">
        <v>8748.6122448979586</v>
      </c>
      <c r="G11" s="471">
        <f>+D11/'- 7 -'!E11</f>
        <v>8491.4075757575756</v>
      </c>
      <c r="I11" s="462" t="str">
        <f>IF(D11=M11,"",M11-D11)</f>
        <v/>
      </c>
      <c r="J11" s="499">
        <f>+'- 15 -'!B11</f>
        <v>13602485</v>
      </c>
      <c r="K11" s="498">
        <f>+'- 15 -'!E11</f>
        <v>2654851</v>
      </c>
      <c r="L11" s="498">
        <f>+'- 16 -'!G11</f>
        <v>555651</v>
      </c>
      <c r="M11" s="499">
        <f>+J11+K11+L11</f>
        <v>16812987</v>
      </c>
    </row>
    <row r="12" spans="1:13" ht="14.1" customHeight="1" x14ac:dyDescent="0.2">
      <c r="A12" s="463" t="s">
        <v>111</v>
      </c>
      <c r="B12" s="464">
        <v>25237933</v>
      </c>
      <c r="C12" s="465">
        <v>75.841990165457261</v>
      </c>
      <c r="D12" s="464">
        <v>25572575</v>
      </c>
      <c r="E12" s="465">
        <f>+D12/'- 3 -'!F12*100</f>
        <v>77.445829644023405</v>
      </c>
      <c r="F12" s="464">
        <v>11867.348013561106</v>
      </c>
      <c r="G12" s="464">
        <f>+D12/'- 7 -'!E12</f>
        <v>11755.559999264489</v>
      </c>
      <c r="I12" s="462" t="str">
        <f>IF(D12=M12,"",M12-D12)</f>
        <v/>
      </c>
      <c r="J12" s="499">
        <f>+'- 15 -'!B12</f>
        <v>19450227</v>
      </c>
      <c r="K12" s="498">
        <f>+'- 15 -'!E12</f>
        <v>5436874</v>
      </c>
      <c r="L12" s="498">
        <f>+'- 16 -'!G12</f>
        <v>685474</v>
      </c>
      <c r="M12" s="499">
        <f t="shared" ref="M12:M48" si="0">+J12+K12+L12</f>
        <v>25572575</v>
      </c>
    </row>
    <row r="13" spans="1:13" ht="14.1" customHeight="1" x14ac:dyDescent="0.2">
      <c r="A13" s="470" t="s">
        <v>112</v>
      </c>
      <c r="B13" s="471">
        <v>84686728</v>
      </c>
      <c r="C13" s="472">
        <v>84.183259912104475</v>
      </c>
      <c r="D13" s="471">
        <v>88733396</v>
      </c>
      <c r="E13" s="472">
        <f>+D13/'- 3 -'!F13*100</f>
        <v>85.099641315814708</v>
      </c>
      <c r="F13" s="471">
        <v>9887.5339171044943</v>
      </c>
      <c r="G13" s="471">
        <f>+D13/'- 7 -'!E13</f>
        <v>10246.350577367206</v>
      </c>
      <c r="I13" s="462" t="str">
        <f t="shared" ref="I13:I48" si="1">IF(D13=M13,"",M13-D13)</f>
        <v/>
      </c>
      <c r="J13" s="499">
        <f>+'- 15 -'!B13</f>
        <v>64355590</v>
      </c>
      <c r="K13" s="498">
        <f>+'- 15 -'!E13</f>
        <v>21571007</v>
      </c>
      <c r="L13" s="498">
        <f>+'- 16 -'!G13</f>
        <v>2806799</v>
      </c>
      <c r="M13" s="500">
        <f t="shared" si="0"/>
        <v>88733396</v>
      </c>
    </row>
    <row r="14" spans="1:13" ht="14.1" customHeight="1" x14ac:dyDescent="0.2">
      <c r="A14" s="463" t="s">
        <v>358</v>
      </c>
      <c r="B14" s="464">
        <v>64646005</v>
      </c>
      <c r="C14" s="465">
        <v>71.990042554924912</v>
      </c>
      <c r="D14" s="464">
        <v>66236664</v>
      </c>
      <c r="E14" s="465">
        <f>+D14/'- 3 -'!F14*100</f>
        <v>75.071577451945743</v>
      </c>
      <c r="F14" s="464">
        <v>11292.470347791152</v>
      </c>
      <c r="G14" s="464">
        <f>+D14/'- 7 -'!E14</f>
        <v>11967.914832722621</v>
      </c>
      <c r="I14" s="462" t="str">
        <f t="shared" si="1"/>
        <v/>
      </c>
      <c r="J14" s="499">
        <f>+'- 15 -'!B14</f>
        <v>51635709</v>
      </c>
      <c r="K14" s="498">
        <f>+'- 15 -'!E14</f>
        <v>11456554</v>
      </c>
      <c r="L14" s="498">
        <f>+'- 16 -'!G14</f>
        <v>3144401</v>
      </c>
      <c r="M14" s="499">
        <f t="shared" si="0"/>
        <v>66236664</v>
      </c>
    </row>
    <row r="15" spans="1:13" ht="14.1" customHeight="1" x14ac:dyDescent="0.2">
      <c r="A15" s="470" t="s">
        <v>113</v>
      </c>
      <c r="B15" s="471">
        <v>14496009</v>
      </c>
      <c r="C15" s="472">
        <v>71.807449750791747</v>
      </c>
      <c r="D15" s="471">
        <v>14453992</v>
      </c>
      <c r="E15" s="472">
        <f>+D15/'- 3 -'!F15*100</f>
        <v>73.451314212130796</v>
      </c>
      <c r="F15" s="471">
        <v>10263.387850467288</v>
      </c>
      <c r="G15" s="471">
        <f>+D15/'- 7 -'!E15</f>
        <v>9930.6025420817587</v>
      </c>
      <c r="I15" s="462" t="str">
        <f t="shared" si="1"/>
        <v/>
      </c>
      <c r="J15" s="499">
        <f>+'- 15 -'!B15</f>
        <v>10762839</v>
      </c>
      <c r="K15" s="498">
        <f>+'- 15 -'!E15</f>
        <v>3197958</v>
      </c>
      <c r="L15" s="498">
        <f>+'- 16 -'!G15</f>
        <v>493195</v>
      </c>
      <c r="M15" s="499">
        <f t="shared" si="0"/>
        <v>14453992</v>
      </c>
    </row>
    <row r="16" spans="1:13" ht="14.1" customHeight="1" x14ac:dyDescent="0.2">
      <c r="A16" s="463" t="s">
        <v>114</v>
      </c>
      <c r="B16" s="464">
        <v>11272072</v>
      </c>
      <c r="C16" s="465">
        <v>75.496382867627929</v>
      </c>
      <c r="D16" s="464">
        <v>10756597</v>
      </c>
      <c r="E16" s="465">
        <f>+D16/'- 3 -'!F16*100</f>
        <v>75.404459804278943</v>
      </c>
      <c r="F16" s="464">
        <v>12470.485673193938</v>
      </c>
      <c r="G16" s="464">
        <f>+D16/'- 7 -'!E16</f>
        <v>11819.137457422261</v>
      </c>
      <c r="I16" s="462" t="str">
        <f t="shared" si="1"/>
        <v/>
      </c>
      <c r="J16" s="499">
        <f>+'- 15 -'!B16</f>
        <v>7929085</v>
      </c>
      <c r="K16" s="498">
        <f>+'- 15 -'!E16</f>
        <v>2584224</v>
      </c>
      <c r="L16" s="498">
        <f>+'- 16 -'!G16</f>
        <v>243288</v>
      </c>
      <c r="M16" s="499">
        <f t="shared" si="0"/>
        <v>10756597</v>
      </c>
    </row>
    <row r="17" spans="1:13" ht="14.1" customHeight="1" x14ac:dyDescent="0.2">
      <c r="A17" s="470" t="s">
        <v>115</v>
      </c>
      <c r="B17" s="471">
        <v>13675372</v>
      </c>
      <c r="C17" s="472">
        <v>75.513413744050339</v>
      </c>
      <c r="D17" s="471">
        <v>13507126</v>
      </c>
      <c r="E17" s="472">
        <f>+D17/'- 3 -'!F17*100</f>
        <v>76.303496969016336</v>
      </c>
      <c r="F17" s="471">
        <v>9546.6979146928879</v>
      </c>
      <c r="G17" s="471">
        <f>+D17/'- 7 -'!E17</f>
        <v>9448.8464498076246</v>
      </c>
      <c r="I17" s="462" t="str">
        <f t="shared" si="1"/>
        <v/>
      </c>
      <c r="J17" s="499">
        <f>+'- 15 -'!B17</f>
        <v>11082411</v>
      </c>
      <c r="K17" s="498">
        <f>+'- 15 -'!E17</f>
        <v>2155459</v>
      </c>
      <c r="L17" s="498">
        <f>+'- 16 -'!G17</f>
        <v>269256</v>
      </c>
      <c r="M17" s="499">
        <f t="shared" si="0"/>
        <v>13507126</v>
      </c>
    </row>
    <row r="18" spans="1:13" ht="14.1" customHeight="1" x14ac:dyDescent="0.2">
      <c r="A18" s="463" t="s">
        <v>116</v>
      </c>
      <c r="B18" s="464">
        <v>85777081</v>
      </c>
      <c r="C18" s="465">
        <v>65.97651077833126</v>
      </c>
      <c r="D18" s="464">
        <v>85338809</v>
      </c>
      <c r="E18" s="465">
        <f>+D18/'- 3 -'!F18*100</f>
        <v>66.453270095890673</v>
      </c>
      <c r="F18" s="464">
        <v>14303.331832582959</v>
      </c>
      <c r="G18" s="464">
        <f>+D18/'- 7 -'!E18</f>
        <v>14327.005624108117</v>
      </c>
      <c r="I18" s="462" t="str">
        <f t="shared" si="1"/>
        <v/>
      </c>
      <c r="J18" s="499">
        <f>+'- 15 -'!B18</f>
        <v>58500184</v>
      </c>
      <c r="K18" s="498">
        <f>+'- 15 -'!E18</f>
        <v>19758187</v>
      </c>
      <c r="L18" s="498">
        <f>+'- 16 -'!G18</f>
        <v>7080438</v>
      </c>
      <c r="M18" s="499">
        <f t="shared" si="0"/>
        <v>85338809</v>
      </c>
    </row>
    <row r="19" spans="1:13" ht="14.1" customHeight="1" x14ac:dyDescent="0.2">
      <c r="A19" s="470" t="s">
        <v>117</v>
      </c>
      <c r="B19" s="471">
        <v>40388357</v>
      </c>
      <c r="C19" s="472">
        <v>80.735369417321394</v>
      </c>
      <c r="D19" s="471">
        <v>39737685</v>
      </c>
      <c r="E19" s="472">
        <f>+D19/'- 3 -'!F19*100</f>
        <v>80.030469338377912</v>
      </c>
      <c r="F19" s="471">
        <v>9149.0218597802705</v>
      </c>
      <c r="G19" s="471">
        <f>+D19/'- 7 -'!E19</f>
        <v>9022.4746270690011</v>
      </c>
      <c r="I19" s="462" t="str">
        <f t="shared" si="1"/>
        <v/>
      </c>
      <c r="J19" s="499">
        <f>+'- 15 -'!B19</f>
        <v>28850175</v>
      </c>
      <c r="K19" s="498">
        <f>+'- 15 -'!E19</f>
        <v>9391120</v>
      </c>
      <c r="L19" s="498">
        <f>+'- 16 -'!G19</f>
        <v>1496390</v>
      </c>
      <c r="M19" s="499">
        <f t="shared" si="0"/>
        <v>39737685</v>
      </c>
    </row>
    <row r="20" spans="1:13" ht="14.1" customHeight="1" x14ac:dyDescent="0.2">
      <c r="A20" s="463" t="s">
        <v>118</v>
      </c>
      <c r="B20" s="464">
        <v>70167080</v>
      </c>
      <c r="C20" s="465">
        <v>80.441114000681566</v>
      </c>
      <c r="D20" s="464">
        <v>71990535</v>
      </c>
      <c r="E20" s="465">
        <f>+D20/'- 3 -'!F20*100</f>
        <v>81.450498943108713</v>
      </c>
      <c r="F20" s="464">
        <v>8902.7570893865377</v>
      </c>
      <c r="G20" s="464">
        <f>+D20/'- 7 -'!E20</f>
        <v>8975.8163456143629</v>
      </c>
      <c r="I20" s="462" t="str">
        <f t="shared" si="1"/>
        <v/>
      </c>
      <c r="J20" s="499">
        <f>+'- 15 -'!B20</f>
        <v>56180386</v>
      </c>
      <c r="K20" s="498">
        <f>+'- 15 -'!E20</f>
        <v>13315189</v>
      </c>
      <c r="L20" s="498">
        <f>+'- 16 -'!G20</f>
        <v>2494960</v>
      </c>
      <c r="M20" s="499">
        <f t="shared" si="0"/>
        <v>71990535</v>
      </c>
    </row>
    <row r="21" spans="1:13" ht="14.1" customHeight="1" x14ac:dyDescent="0.2">
      <c r="A21" s="470" t="s">
        <v>119</v>
      </c>
      <c r="B21" s="471">
        <v>29108652</v>
      </c>
      <c r="C21" s="472">
        <v>78.74655860114963</v>
      </c>
      <c r="D21" s="471">
        <v>29838092</v>
      </c>
      <c r="E21" s="472">
        <f>+D21/'- 3 -'!F21*100</f>
        <v>79.793104429431594</v>
      </c>
      <c r="F21" s="471">
        <v>10243.033288760644</v>
      </c>
      <c r="G21" s="471">
        <f>+D21/'- 7 -'!E21</f>
        <v>10569.639390719092</v>
      </c>
      <c r="I21" s="462" t="str">
        <f t="shared" si="1"/>
        <v/>
      </c>
      <c r="J21" s="499">
        <f>+'- 15 -'!B21</f>
        <v>22233305</v>
      </c>
      <c r="K21" s="498">
        <f>+'- 15 -'!E21</f>
        <v>6642166</v>
      </c>
      <c r="L21" s="498">
        <f>+'- 16 -'!G21</f>
        <v>962621</v>
      </c>
      <c r="M21" s="499">
        <f t="shared" si="0"/>
        <v>29838092</v>
      </c>
    </row>
    <row r="22" spans="1:13" ht="14.1" customHeight="1" x14ac:dyDescent="0.2">
      <c r="A22" s="463" t="s">
        <v>120</v>
      </c>
      <c r="B22" s="464">
        <v>15809193</v>
      </c>
      <c r="C22" s="465">
        <v>77.917608937926317</v>
      </c>
      <c r="D22" s="464">
        <v>15724949</v>
      </c>
      <c r="E22" s="465">
        <f>+D22/'- 3 -'!F22*100</f>
        <v>78.965350193256086</v>
      </c>
      <c r="F22" s="464">
        <v>10764.805256707068</v>
      </c>
      <c r="G22" s="464">
        <f>+D22/'- 7 -'!E22</f>
        <v>10244.2664495114</v>
      </c>
      <c r="I22" s="462" t="str">
        <f t="shared" si="1"/>
        <v/>
      </c>
      <c r="J22" s="499">
        <f>+'- 15 -'!B22</f>
        <v>11045045</v>
      </c>
      <c r="K22" s="498">
        <f>+'- 15 -'!E22</f>
        <v>4304989</v>
      </c>
      <c r="L22" s="498">
        <f>+'- 16 -'!G22</f>
        <v>374915</v>
      </c>
      <c r="M22" s="499">
        <f t="shared" si="0"/>
        <v>15724949</v>
      </c>
    </row>
    <row r="23" spans="1:13" ht="14.1" customHeight="1" x14ac:dyDescent="0.2">
      <c r="A23" s="470" t="s">
        <v>121</v>
      </c>
      <c r="B23" s="471">
        <v>11295008</v>
      </c>
      <c r="C23" s="472">
        <v>73.323372527390916</v>
      </c>
      <c r="D23" s="471">
        <v>11195998</v>
      </c>
      <c r="E23" s="472">
        <f>+D23/'- 3 -'!F23*100</f>
        <v>74.73747921705602</v>
      </c>
      <c r="F23" s="471">
        <v>11747.278211128445</v>
      </c>
      <c r="G23" s="471">
        <f>+D23/'- 7 -'!E23</f>
        <v>11925.86067319983</v>
      </c>
      <c r="I23" s="462" t="str">
        <f t="shared" si="1"/>
        <v/>
      </c>
      <c r="J23" s="499">
        <f>+'- 15 -'!B23</f>
        <v>8328285</v>
      </c>
      <c r="K23" s="498">
        <f>+'- 15 -'!E23</f>
        <v>2471718</v>
      </c>
      <c r="L23" s="498">
        <f>+'- 16 -'!G23</f>
        <v>395995</v>
      </c>
      <c r="M23" s="499">
        <f t="shared" si="0"/>
        <v>11195998</v>
      </c>
    </row>
    <row r="24" spans="1:13" ht="14.1" customHeight="1" x14ac:dyDescent="0.2">
      <c r="A24" s="463" t="s">
        <v>122</v>
      </c>
      <c r="B24" s="464">
        <v>45245526</v>
      </c>
      <c r="C24" s="465">
        <v>79.29812901880814</v>
      </c>
      <c r="D24" s="464">
        <v>46091960</v>
      </c>
      <c r="E24" s="465">
        <f>+D24/'- 3 -'!F24*100</f>
        <v>79.882140638027522</v>
      </c>
      <c r="F24" s="464">
        <v>11814.687173595154</v>
      </c>
      <c r="G24" s="464">
        <f>+D24/'- 7 -'!E24</f>
        <v>12309.242889571371</v>
      </c>
      <c r="I24" s="462" t="str">
        <f t="shared" si="1"/>
        <v/>
      </c>
      <c r="J24" s="499">
        <f>+'- 15 -'!B24</f>
        <v>34813978</v>
      </c>
      <c r="K24" s="498">
        <f>+'- 15 -'!E24</f>
        <v>9811532</v>
      </c>
      <c r="L24" s="498">
        <f>+'- 16 -'!G24</f>
        <v>1466450</v>
      </c>
      <c r="M24" s="499">
        <f t="shared" si="0"/>
        <v>46091960</v>
      </c>
    </row>
    <row r="25" spans="1:13" ht="14.1" customHeight="1" x14ac:dyDescent="0.2">
      <c r="A25" s="470" t="s">
        <v>123</v>
      </c>
      <c r="B25" s="471">
        <v>153671608</v>
      </c>
      <c r="C25" s="472">
        <v>80.597947751320859</v>
      </c>
      <c r="D25" s="471">
        <v>155346519</v>
      </c>
      <c r="E25" s="472">
        <f>+D25/'- 3 -'!F25*100</f>
        <v>81.395663055964619</v>
      </c>
      <c r="F25" s="471">
        <v>10326.213268645382</v>
      </c>
      <c r="G25" s="471">
        <f>+D25/'- 7 -'!E25</f>
        <v>10348.776505386015</v>
      </c>
      <c r="I25" s="462" t="str">
        <f t="shared" si="1"/>
        <v/>
      </c>
      <c r="J25" s="499">
        <f>+'- 15 -'!B25</f>
        <v>107655870</v>
      </c>
      <c r="K25" s="498">
        <f>+'- 15 -'!E25</f>
        <v>39438247</v>
      </c>
      <c r="L25" s="498">
        <f>+'- 16 -'!G25</f>
        <v>8252402</v>
      </c>
      <c r="M25" s="499">
        <f t="shared" si="0"/>
        <v>155346519</v>
      </c>
    </row>
    <row r="26" spans="1:13" ht="14.1" customHeight="1" x14ac:dyDescent="0.2">
      <c r="A26" s="463" t="s">
        <v>124</v>
      </c>
      <c r="B26" s="464">
        <v>30570201</v>
      </c>
      <c r="C26" s="465">
        <v>74.85126622314624</v>
      </c>
      <c r="D26" s="464">
        <v>31102756</v>
      </c>
      <c r="E26" s="465">
        <f>+D26/'- 3 -'!F26*100</f>
        <v>76.194202154605605</v>
      </c>
      <c r="F26" s="464">
        <v>10186.671442852383</v>
      </c>
      <c r="G26" s="464">
        <f>+D26/'- 7 -'!E26</f>
        <v>10156.001959183674</v>
      </c>
      <c r="I26" s="462" t="str">
        <f t="shared" si="1"/>
        <v/>
      </c>
      <c r="J26" s="499">
        <f>+'- 15 -'!B26</f>
        <v>23676091</v>
      </c>
      <c r="K26" s="498">
        <f>+'- 15 -'!E26</f>
        <v>6054461</v>
      </c>
      <c r="L26" s="498">
        <f>+'- 16 -'!G26</f>
        <v>1372204</v>
      </c>
      <c r="M26" s="499">
        <f t="shared" si="0"/>
        <v>31102756</v>
      </c>
    </row>
    <row r="27" spans="1:13" ht="14.1" customHeight="1" x14ac:dyDescent="0.2">
      <c r="A27" s="470" t="s">
        <v>125</v>
      </c>
      <c r="B27" s="471">
        <v>33799517</v>
      </c>
      <c r="C27" s="472">
        <v>81.980025887624734</v>
      </c>
      <c r="D27" s="471">
        <v>34180473</v>
      </c>
      <c r="E27" s="472">
        <f>+D27/'- 3 -'!F27*100</f>
        <v>82.088575854005967</v>
      </c>
      <c r="F27" s="471">
        <v>11375.099954229712</v>
      </c>
      <c r="G27" s="471">
        <f>+D27/'- 7 -'!E27</f>
        <v>11308.077322623121</v>
      </c>
      <c r="I27" s="462" t="str">
        <f t="shared" si="1"/>
        <v/>
      </c>
      <c r="J27" s="499">
        <f>+'- 15 -'!B27</f>
        <v>24361144</v>
      </c>
      <c r="K27" s="498">
        <f>+'- 15 -'!E27</f>
        <v>8358540</v>
      </c>
      <c r="L27" s="498">
        <f>+'- 16 -'!G27</f>
        <v>1460789</v>
      </c>
      <c r="M27" s="499">
        <f t="shared" si="0"/>
        <v>34180473</v>
      </c>
    </row>
    <row r="28" spans="1:13" ht="14.1" customHeight="1" x14ac:dyDescent="0.2">
      <c r="A28" s="463" t="s">
        <v>126</v>
      </c>
      <c r="B28" s="464">
        <v>21657240</v>
      </c>
      <c r="C28" s="465">
        <v>75.094085011581598</v>
      </c>
      <c r="D28" s="464">
        <v>21698380</v>
      </c>
      <c r="E28" s="465">
        <f>+D28/'- 3 -'!F28*100</f>
        <v>77.4351782589181</v>
      </c>
      <c r="F28" s="464">
        <v>10993.522842639593</v>
      </c>
      <c r="G28" s="464">
        <f>+D28/'- 7 -'!E28</f>
        <v>10914.678068410463</v>
      </c>
      <c r="I28" s="462" t="str">
        <f t="shared" si="1"/>
        <v/>
      </c>
      <c r="J28" s="499">
        <f>+'- 15 -'!B28</f>
        <v>17495669</v>
      </c>
      <c r="K28" s="498">
        <f>+'- 15 -'!E28</f>
        <v>3561030</v>
      </c>
      <c r="L28" s="498">
        <f>+'- 16 -'!G28</f>
        <v>641681</v>
      </c>
      <c r="M28" s="499">
        <f t="shared" si="0"/>
        <v>21698380</v>
      </c>
    </row>
    <row r="29" spans="1:13" ht="14.1" customHeight="1" x14ac:dyDescent="0.2">
      <c r="A29" s="470" t="s">
        <v>127</v>
      </c>
      <c r="B29" s="471">
        <v>133203275</v>
      </c>
      <c r="C29" s="472">
        <v>80.433325820972939</v>
      </c>
      <c r="D29" s="471">
        <v>137212976</v>
      </c>
      <c r="E29" s="472">
        <f>+D29/'- 3 -'!F29*100</f>
        <v>81.50302260896251</v>
      </c>
      <c r="F29" s="471">
        <v>9601.9661200216251</v>
      </c>
      <c r="G29" s="471">
        <f>+D29/'- 7 -'!E29</f>
        <v>9584.9237539729656</v>
      </c>
      <c r="I29" s="462" t="str">
        <f t="shared" si="1"/>
        <v/>
      </c>
      <c r="J29" s="499">
        <f>+'- 15 -'!B29</f>
        <v>99120129</v>
      </c>
      <c r="K29" s="498">
        <f>+'- 15 -'!E29</f>
        <v>31668916</v>
      </c>
      <c r="L29" s="498">
        <f>+'- 16 -'!G29</f>
        <v>6423931</v>
      </c>
      <c r="M29" s="499">
        <f t="shared" si="0"/>
        <v>137212976</v>
      </c>
    </row>
    <row r="30" spans="1:13" ht="14.1" customHeight="1" x14ac:dyDescent="0.2">
      <c r="A30" s="463" t="s">
        <v>128</v>
      </c>
      <c r="B30" s="464">
        <v>11707616</v>
      </c>
      <c r="C30" s="465">
        <v>76.033409297798556</v>
      </c>
      <c r="D30" s="464">
        <v>12086663</v>
      </c>
      <c r="E30" s="465">
        <f>+D30/'- 3 -'!F30*100</f>
        <v>77.765839095052428</v>
      </c>
      <c r="F30" s="464">
        <v>11438.804103566194</v>
      </c>
      <c r="G30" s="464">
        <f>+D30/'- 7 -'!E30</f>
        <v>11786.117016089713</v>
      </c>
      <c r="I30" s="462" t="str">
        <f t="shared" si="1"/>
        <v/>
      </c>
      <c r="J30" s="499">
        <f>+'- 15 -'!B30</f>
        <v>9569182</v>
      </c>
      <c r="K30" s="498">
        <f>+'- 15 -'!E30</f>
        <v>1987296</v>
      </c>
      <c r="L30" s="498">
        <f>+'- 16 -'!G30</f>
        <v>530185</v>
      </c>
      <c r="M30" s="499">
        <f t="shared" si="0"/>
        <v>12086663</v>
      </c>
    </row>
    <row r="31" spans="1:13" ht="14.1" customHeight="1" x14ac:dyDescent="0.2">
      <c r="A31" s="470" t="s">
        <v>129</v>
      </c>
      <c r="B31" s="471">
        <v>31568019</v>
      </c>
      <c r="C31" s="472">
        <v>81.597415786996748</v>
      </c>
      <c r="D31" s="471">
        <v>33330747</v>
      </c>
      <c r="E31" s="472">
        <f>+D31/'- 3 -'!F31*100</f>
        <v>83.54498675141059</v>
      </c>
      <c r="F31" s="471">
        <v>9444.4335078534023</v>
      </c>
      <c r="G31" s="471">
        <f>+D31/'- 7 -'!E31</f>
        <v>9997.224655068987</v>
      </c>
      <c r="I31" s="462" t="str">
        <f t="shared" si="1"/>
        <v/>
      </c>
      <c r="J31" s="499">
        <f>+'- 15 -'!B31</f>
        <v>24897113</v>
      </c>
      <c r="K31" s="498">
        <f>+'- 15 -'!E31</f>
        <v>6998661</v>
      </c>
      <c r="L31" s="498">
        <f>+'- 16 -'!G31</f>
        <v>1434973</v>
      </c>
      <c r="M31" s="499">
        <f t="shared" si="0"/>
        <v>33330747</v>
      </c>
    </row>
    <row r="32" spans="1:13" ht="14.1" customHeight="1" x14ac:dyDescent="0.2">
      <c r="A32" s="463" t="s">
        <v>130</v>
      </c>
      <c r="B32" s="464">
        <v>22606202</v>
      </c>
      <c r="C32" s="465">
        <v>75.942928891635518</v>
      </c>
      <c r="D32" s="464">
        <v>23456971</v>
      </c>
      <c r="E32" s="465">
        <f>+D32/'- 3 -'!F32*100</f>
        <v>78.145011628986211</v>
      </c>
      <c r="F32" s="464">
        <v>10153.245901639344</v>
      </c>
      <c r="G32" s="464">
        <f>+D32/'- 7 -'!E32</f>
        <v>10306.226274165203</v>
      </c>
      <c r="I32" s="462" t="str">
        <f t="shared" si="1"/>
        <v/>
      </c>
      <c r="J32" s="499">
        <f>+'- 15 -'!B32</f>
        <v>18435896</v>
      </c>
      <c r="K32" s="498">
        <f>+'- 15 -'!E32</f>
        <v>4208178</v>
      </c>
      <c r="L32" s="498">
        <f>+'- 16 -'!G32</f>
        <v>812897</v>
      </c>
      <c r="M32" s="499">
        <f t="shared" si="0"/>
        <v>23456971</v>
      </c>
    </row>
    <row r="33" spans="1:13" ht="14.1" customHeight="1" x14ac:dyDescent="0.2">
      <c r="A33" s="470" t="s">
        <v>131</v>
      </c>
      <c r="B33" s="471">
        <v>20831360</v>
      </c>
      <c r="C33" s="472">
        <v>74.40760518237461</v>
      </c>
      <c r="D33" s="471">
        <v>21311233</v>
      </c>
      <c r="E33" s="472">
        <f>+D33/'- 3 -'!F33*100</f>
        <v>75.997276380967321</v>
      </c>
      <c r="F33" s="471">
        <v>10170.569280343718</v>
      </c>
      <c r="G33" s="471">
        <f>+D33/'- 7 -'!E33</f>
        <v>10379.521235145141</v>
      </c>
      <c r="I33" s="462" t="str">
        <f t="shared" si="1"/>
        <v/>
      </c>
      <c r="J33" s="499">
        <f>+'- 15 -'!B33</f>
        <v>16886174</v>
      </c>
      <c r="K33" s="498">
        <f>+'- 15 -'!E33</f>
        <v>3781642</v>
      </c>
      <c r="L33" s="498">
        <f>+'- 16 -'!G33</f>
        <v>643417</v>
      </c>
      <c r="M33" s="499">
        <f t="shared" si="0"/>
        <v>21311233</v>
      </c>
    </row>
    <row r="34" spans="1:13" ht="14.1" customHeight="1" x14ac:dyDescent="0.2">
      <c r="A34" s="463" t="s">
        <v>132</v>
      </c>
      <c r="B34" s="464">
        <v>23320814</v>
      </c>
      <c r="C34" s="465">
        <v>75.949135656053869</v>
      </c>
      <c r="D34" s="464">
        <v>23399355</v>
      </c>
      <c r="E34" s="465">
        <f>+D34/'- 3 -'!F34*100</f>
        <v>76.981055986147766</v>
      </c>
      <c r="F34" s="464">
        <v>10687.913729731712</v>
      </c>
      <c r="G34" s="464">
        <f>+D34/'- 7 -'!E34</f>
        <v>10522.238960338162</v>
      </c>
      <c r="I34" s="462" t="str">
        <f t="shared" si="1"/>
        <v/>
      </c>
      <c r="J34" s="499">
        <f>+'- 15 -'!B34</f>
        <v>17432424</v>
      </c>
      <c r="K34" s="498">
        <f>+'- 15 -'!E34</f>
        <v>5214066</v>
      </c>
      <c r="L34" s="498">
        <f>+'- 16 -'!G34</f>
        <v>752865</v>
      </c>
      <c r="M34" s="499">
        <f t="shared" si="0"/>
        <v>23399355</v>
      </c>
    </row>
    <row r="35" spans="1:13" ht="14.1" customHeight="1" x14ac:dyDescent="0.2">
      <c r="A35" s="470" t="s">
        <v>133</v>
      </c>
      <c r="B35" s="471">
        <v>153719677</v>
      </c>
      <c r="C35" s="472">
        <v>80.962162534031691</v>
      </c>
      <c r="D35" s="471">
        <v>154151097</v>
      </c>
      <c r="E35" s="472">
        <f>+D35/'- 3 -'!F35*100</f>
        <v>81.637715053143438</v>
      </c>
      <c r="F35" s="471">
        <v>9568.6073451602861</v>
      </c>
      <c r="G35" s="471">
        <f>+D35/'- 7 -'!E35</f>
        <v>9506.9904714915665</v>
      </c>
      <c r="I35" s="462" t="str">
        <f t="shared" si="1"/>
        <v/>
      </c>
      <c r="J35" s="499">
        <f>+'- 15 -'!B35</f>
        <v>110590204</v>
      </c>
      <c r="K35" s="498">
        <f>+'- 15 -'!E35</f>
        <v>35796865</v>
      </c>
      <c r="L35" s="498">
        <f>+'- 16 -'!G35</f>
        <v>7764028</v>
      </c>
      <c r="M35" s="499">
        <f t="shared" si="0"/>
        <v>154151097</v>
      </c>
    </row>
    <row r="36" spans="1:13" ht="14.1" customHeight="1" x14ac:dyDescent="0.2">
      <c r="A36" s="463" t="s">
        <v>134</v>
      </c>
      <c r="B36" s="464">
        <v>17847739</v>
      </c>
      <c r="C36" s="465">
        <v>74.77903557012705</v>
      </c>
      <c r="D36" s="464">
        <v>17900940</v>
      </c>
      <c r="E36" s="465">
        <f>+D36/'- 3 -'!F36*100</f>
        <v>76.157856650956717</v>
      </c>
      <c r="F36" s="464">
        <v>10629.981536628946</v>
      </c>
      <c r="G36" s="464">
        <f>+D36/'- 7 -'!E36</f>
        <v>10428.744538304691</v>
      </c>
      <c r="I36" s="462" t="str">
        <f t="shared" si="1"/>
        <v/>
      </c>
      <c r="J36" s="499">
        <f>+'- 15 -'!B36</f>
        <v>14446475</v>
      </c>
      <c r="K36" s="498">
        <f>+'- 15 -'!E36</f>
        <v>2980476</v>
      </c>
      <c r="L36" s="498">
        <f>+'- 16 -'!G36</f>
        <v>473989</v>
      </c>
      <c r="M36" s="499">
        <f t="shared" si="0"/>
        <v>17900940</v>
      </c>
    </row>
    <row r="37" spans="1:13" ht="14.1" customHeight="1" x14ac:dyDescent="0.2">
      <c r="A37" s="470" t="s">
        <v>135</v>
      </c>
      <c r="B37" s="471">
        <v>41880062</v>
      </c>
      <c r="C37" s="472">
        <v>79.209814800237424</v>
      </c>
      <c r="D37" s="471">
        <v>43624718</v>
      </c>
      <c r="E37" s="472">
        <f>+D37/'- 3 -'!F37*100</f>
        <v>80.696085884349628</v>
      </c>
      <c r="F37" s="471">
        <v>9656.4588425178699</v>
      </c>
      <c r="G37" s="471">
        <f>+D37/'- 7 -'!E37</f>
        <v>10198.886706878011</v>
      </c>
      <c r="I37" s="462" t="str">
        <f t="shared" si="1"/>
        <v/>
      </c>
      <c r="J37" s="499">
        <f>+'- 15 -'!B37</f>
        <v>31345437</v>
      </c>
      <c r="K37" s="498">
        <f>+'- 15 -'!E37</f>
        <v>10365793</v>
      </c>
      <c r="L37" s="498">
        <f>+'- 16 -'!G37</f>
        <v>1913488</v>
      </c>
      <c r="M37" s="499">
        <f t="shared" si="0"/>
        <v>43624718</v>
      </c>
    </row>
    <row r="38" spans="1:13" ht="14.1" customHeight="1" x14ac:dyDescent="0.2">
      <c r="A38" s="463" t="s">
        <v>136</v>
      </c>
      <c r="B38" s="464">
        <v>114732059</v>
      </c>
      <c r="C38" s="465">
        <v>82.038436144509532</v>
      </c>
      <c r="D38" s="464">
        <v>118801585</v>
      </c>
      <c r="E38" s="465">
        <f>+D38/'- 3 -'!F38*100</f>
        <v>82.917959218029864</v>
      </c>
      <c r="F38" s="464">
        <v>10147.622033733405</v>
      </c>
      <c r="G38" s="464">
        <f>+D38/'- 7 -'!E38</f>
        <v>10364.821584365731</v>
      </c>
      <c r="I38" s="462" t="str">
        <f t="shared" si="1"/>
        <v/>
      </c>
      <c r="J38" s="499">
        <f>+'- 15 -'!B38</f>
        <v>86730203</v>
      </c>
      <c r="K38" s="498">
        <f>+'- 15 -'!E38</f>
        <v>26460212</v>
      </c>
      <c r="L38" s="498">
        <f>+'- 16 -'!G38</f>
        <v>5611170</v>
      </c>
      <c r="M38" s="499">
        <f t="shared" si="0"/>
        <v>118801585</v>
      </c>
    </row>
    <row r="39" spans="1:13" ht="14.1" customHeight="1" x14ac:dyDescent="0.2">
      <c r="A39" s="470" t="s">
        <v>137</v>
      </c>
      <c r="B39" s="471">
        <v>16492269</v>
      </c>
      <c r="C39" s="472">
        <v>74.423421930598352</v>
      </c>
      <c r="D39" s="471">
        <v>16587705</v>
      </c>
      <c r="E39" s="472">
        <f>+D39/'- 3 -'!F39*100</f>
        <v>76.858495377843965</v>
      </c>
      <c r="F39" s="471">
        <v>10972.900199600799</v>
      </c>
      <c r="G39" s="471">
        <f>+D39/'- 7 -'!E39</f>
        <v>11080.63126252505</v>
      </c>
      <c r="I39" s="462" t="str">
        <f t="shared" si="1"/>
        <v/>
      </c>
      <c r="J39" s="499">
        <f>+'- 15 -'!B39</f>
        <v>13242378</v>
      </c>
      <c r="K39" s="498">
        <f>+'- 15 -'!E39</f>
        <v>2920154</v>
      </c>
      <c r="L39" s="498">
        <f>+'- 16 -'!G39</f>
        <v>425173</v>
      </c>
      <c r="M39" s="499">
        <f t="shared" si="0"/>
        <v>16587705</v>
      </c>
    </row>
    <row r="40" spans="1:13" ht="14.1" customHeight="1" x14ac:dyDescent="0.2">
      <c r="A40" s="463" t="s">
        <v>138</v>
      </c>
      <c r="B40" s="464">
        <v>86819176</v>
      </c>
      <c r="C40" s="465">
        <v>82.145561765258833</v>
      </c>
      <c r="D40" s="464">
        <v>87713951</v>
      </c>
      <c r="E40" s="465">
        <f>+D40/'- 3 -'!F40*100</f>
        <v>83.124829494450466</v>
      </c>
      <c r="F40" s="464">
        <v>10586.736091211169</v>
      </c>
      <c r="G40" s="464">
        <f>+D40/'- 7 -'!E40</f>
        <v>10749.166489993344</v>
      </c>
      <c r="I40" s="462" t="str">
        <f t="shared" si="1"/>
        <v/>
      </c>
      <c r="J40" s="499">
        <f>+'- 15 -'!B40</f>
        <v>60636882</v>
      </c>
      <c r="K40" s="498">
        <f>+'- 15 -'!E40</f>
        <v>23375349</v>
      </c>
      <c r="L40" s="498">
        <f>+'- 16 -'!G40</f>
        <v>3701720</v>
      </c>
      <c r="M40" s="499">
        <f t="shared" si="0"/>
        <v>87713951</v>
      </c>
    </row>
    <row r="41" spans="1:13" ht="14.1" customHeight="1" x14ac:dyDescent="0.2">
      <c r="A41" s="470" t="s">
        <v>139</v>
      </c>
      <c r="B41" s="471">
        <v>49077711</v>
      </c>
      <c r="C41" s="472">
        <v>76.387856043079523</v>
      </c>
      <c r="D41" s="471">
        <v>49068526</v>
      </c>
      <c r="E41" s="472">
        <f>+D41/'- 3 -'!F41*100</f>
        <v>77.586503723473456</v>
      </c>
      <c r="F41" s="471">
        <v>11022.506681639528</v>
      </c>
      <c r="G41" s="471">
        <f>+D41/'- 7 -'!E41</f>
        <v>10908.965317919075</v>
      </c>
      <c r="I41" s="462" t="str">
        <f t="shared" si="1"/>
        <v/>
      </c>
      <c r="J41" s="499">
        <f>+'- 15 -'!B41</f>
        <v>34607492</v>
      </c>
      <c r="K41" s="498">
        <f>+'- 15 -'!E41</f>
        <v>12866088</v>
      </c>
      <c r="L41" s="498">
        <f>+'- 16 -'!G41</f>
        <v>1594946</v>
      </c>
      <c r="M41" s="499">
        <f t="shared" si="0"/>
        <v>49068526</v>
      </c>
    </row>
    <row r="42" spans="1:13" ht="14.1" customHeight="1" x14ac:dyDescent="0.2">
      <c r="A42" s="463" t="s">
        <v>140</v>
      </c>
      <c r="B42" s="464">
        <v>15546310</v>
      </c>
      <c r="C42" s="465">
        <v>74.688598330123853</v>
      </c>
      <c r="D42" s="464">
        <v>15379318</v>
      </c>
      <c r="E42" s="465">
        <f>+D42/'- 3 -'!F42*100</f>
        <v>75.357673275210288</v>
      </c>
      <c r="F42" s="464">
        <v>11245.070524412296</v>
      </c>
      <c r="G42" s="464">
        <f>+D42/'- 7 -'!E42</f>
        <v>11224.960221881613</v>
      </c>
      <c r="I42" s="462" t="str">
        <f t="shared" si="1"/>
        <v/>
      </c>
      <c r="J42" s="499">
        <f>+'- 15 -'!B42</f>
        <v>11633957</v>
      </c>
      <c r="K42" s="498">
        <f>+'- 15 -'!E42</f>
        <v>3361252</v>
      </c>
      <c r="L42" s="498">
        <f>+'- 16 -'!G42</f>
        <v>384109</v>
      </c>
      <c r="M42" s="499">
        <f t="shared" si="0"/>
        <v>15379318</v>
      </c>
    </row>
    <row r="43" spans="1:13" ht="14.1" customHeight="1" x14ac:dyDescent="0.2">
      <c r="A43" s="470" t="s">
        <v>141</v>
      </c>
      <c r="B43" s="471">
        <v>10277828</v>
      </c>
      <c r="C43" s="472">
        <v>75.856509085256903</v>
      </c>
      <c r="D43" s="471">
        <v>10101288</v>
      </c>
      <c r="E43" s="472">
        <f>+D43/'- 3 -'!F43*100</f>
        <v>78.677097244487427</v>
      </c>
      <c r="F43" s="471">
        <v>10365.938477054968</v>
      </c>
      <c r="G43" s="471">
        <f>+D43/'- 7 -'!E43</f>
        <v>10076.097755610972</v>
      </c>
      <c r="I43" s="462" t="str">
        <f t="shared" si="1"/>
        <v/>
      </c>
      <c r="J43" s="499">
        <f>+'- 15 -'!B43</f>
        <v>7673433</v>
      </c>
      <c r="K43" s="498">
        <f>+'- 15 -'!E43</f>
        <v>2017454</v>
      </c>
      <c r="L43" s="498">
        <f>+'- 16 -'!G43</f>
        <v>410401</v>
      </c>
      <c r="M43" s="499">
        <f t="shared" si="0"/>
        <v>10101288</v>
      </c>
    </row>
    <row r="44" spans="1:13" ht="14.1" customHeight="1" x14ac:dyDescent="0.2">
      <c r="A44" s="463" t="s">
        <v>142</v>
      </c>
      <c r="B44" s="464">
        <v>8244617</v>
      </c>
      <c r="C44" s="465">
        <v>74.138298944723346</v>
      </c>
      <c r="D44" s="464">
        <v>7923722</v>
      </c>
      <c r="E44" s="465">
        <f>+D44/'- 3 -'!F44*100</f>
        <v>74.600240623402726</v>
      </c>
      <c r="F44" s="464">
        <v>11612.136619718311</v>
      </c>
      <c r="G44" s="464">
        <f>+D44/'- 7 -'!E44</f>
        <v>11450.465317919075</v>
      </c>
      <c r="I44" s="462" t="str">
        <f t="shared" si="1"/>
        <v/>
      </c>
      <c r="J44" s="499">
        <f>+'- 15 -'!B44</f>
        <v>6304707</v>
      </c>
      <c r="K44" s="498">
        <f>+'- 15 -'!E44</f>
        <v>1420406</v>
      </c>
      <c r="L44" s="498">
        <f>+'- 16 -'!G44</f>
        <v>198609</v>
      </c>
      <c r="M44" s="499">
        <f t="shared" si="0"/>
        <v>7923722</v>
      </c>
    </row>
    <row r="45" spans="1:13" ht="14.1" customHeight="1" x14ac:dyDescent="0.2">
      <c r="A45" s="470" t="s">
        <v>143</v>
      </c>
      <c r="B45" s="471">
        <v>16030875</v>
      </c>
      <c r="C45" s="472">
        <v>79.86872052759702</v>
      </c>
      <c r="D45" s="471">
        <v>16736688</v>
      </c>
      <c r="E45" s="472">
        <f>+D45/'- 3 -'!F45*100</f>
        <v>80.82124843124322</v>
      </c>
      <c r="F45" s="471">
        <v>8820.2888583218701</v>
      </c>
      <c r="G45" s="471">
        <f>+D45/'- 7 -'!E45</f>
        <v>8739.7848563968673</v>
      </c>
      <c r="I45" s="462" t="str">
        <f t="shared" si="1"/>
        <v/>
      </c>
      <c r="J45" s="499">
        <f>+'- 15 -'!B45</f>
        <v>13402580</v>
      </c>
      <c r="K45" s="498">
        <f>+'- 15 -'!E45</f>
        <v>2918420</v>
      </c>
      <c r="L45" s="498">
        <f>+'- 16 -'!G45</f>
        <v>415688</v>
      </c>
      <c r="M45" s="499">
        <f t="shared" si="0"/>
        <v>16736688</v>
      </c>
    </row>
    <row r="46" spans="1:13" ht="14.1" customHeight="1" x14ac:dyDescent="0.2">
      <c r="A46" s="463" t="s">
        <v>144</v>
      </c>
      <c r="B46" s="464">
        <v>317322752</v>
      </c>
      <c r="C46" s="465">
        <v>81.13208332049517</v>
      </c>
      <c r="D46" s="464">
        <v>325307709</v>
      </c>
      <c r="E46" s="465">
        <f>+D46/'- 3 -'!F46*100</f>
        <v>80.688592932778391</v>
      </c>
      <c r="F46" s="464">
        <v>10652.882987830466</v>
      </c>
      <c r="G46" s="464">
        <f>+D46/'- 7 -'!E46</f>
        <v>11012.559673930338</v>
      </c>
      <c r="I46" s="462" t="str">
        <f t="shared" si="1"/>
        <v/>
      </c>
      <c r="J46" s="499">
        <f>+'- 15 -'!B46</f>
        <v>219905112</v>
      </c>
      <c r="K46" s="498">
        <f>+'- 15 -'!E46</f>
        <v>95544053</v>
      </c>
      <c r="L46" s="498">
        <f>+'- 16 -'!G46</f>
        <v>9858544</v>
      </c>
      <c r="M46" s="499">
        <f t="shared" si="0"/>
        <v>325307709</v>
      </c>
    </row>
    <row r="47" spans="1:13" ht="5.0999999999999996" customHeight="1" x14ac:dyDescent="0.2">
      <c r="B47" s="462"/>
      <c r="C47" s="462"/>
      <c r="D47" s="462"/>
      <c r="E47" s="462"/>
      <c r="F47" s="462"/>
      <c r="G47" s="462"/>
      <c r="I47" s="462" t="str">
        <f t="shared" si="1"/>
        <v/>
      </c>
      <c r="J47" s="499">
        <f>+'- 15 -'!B47</f>
        <v>0</v>
      </c>
      <c r="K47" s="498">
        <f>+'- 15 -'!E47</f>
        <v>0</v>
      </c>
      <c r="L47" s="498">
        <f>+'- 16 -'!G47</f>
        <v>0</v>
      </c>
      <c r="M47" s="499">
        <f t="shared" si="0"/>
        <v>0</v>
      </c>
    </row>
    <row r="48" spans="1:13" ht="14.1" customHeight="1" x14ac:dyDescent="0.2">
      <c r="A48" s="473" t="s">
        <v>145</v>
      </c>
      <c r="B48" s="474">
        <v>1858593177</v>
      </c>
      <c r="C48" s="475">
        <v>78.789887818053302</v>
      </c>
      <c r="D48" s="474">
        <f>SUM(D11:D46)</f>
        <v>1892414685</v>
      </c>
      <c r="E48" s="475">
        <f>+D48/'- 3 -'!F48*100</f>
        <v>79.649258440854311</v>
      </c>
      <c r="F48" s="474">
        <v>10375.98926163873</v>
      </c>
      <c r="G48" s="474">
        <f>+D48/'- 7 -'!E48</f>
        <v>10500.31227699702</v>
      </c>
      <c r="I48" s="462" t="str">
        <f t="shared" si="1"/>
        <v/>
      </c>
      <c r="J48" s="499">
        <f>+'- 15 -'!B48</f>
        <v>1368818256</v>
      </c>
      <c r="K48" s="498">
        <f>+'- 15 -'!E48</f>
        <v>446049387</v>
      </c>
      <c r="L48" s="498">
        <f>+'- 16 -'!G48</f>
        <v>77547042</v>
      </c>
      <c r="M48" s="499">
        <f t="shared" si="0"/>
        <v>1892414685</v>
      </c>
    </row>
    <row r="49" spans="1:7" ht="5.0999999999999996" customHeight="1" x14ac:dyDescent="0.2">
      <c r="B49" s="462"/>
      <c r="C49" s="462"/>
      <c r="D49" s="462"/>
      <c r="E49" s="462"/>
      <c r="F49" s="462"/>
      <c r="G49" s="462"/>
    </row>
    <row r="50" spans="1:7" ht="49.5" customHeight="1" x14ac:dyDescent="0.2">
      <c r="A50" s="466"/>
      <c r="B50" s="467"/>
      <c r="C50" s="467"/>
      <c r="D50" s="467"/>
      <c r="E50" s="467"/>
      <c r="F50" s="467"/>
      <c r="G50" s="467"/>
    </row>
    <row r="51" spans="1:7" ht="12" customHeight="1" x14ac:dyDescent="0.2">
      <c r="A51" s="860" t="s">
        <v>593</v>
      </c>
      <c r="B51" s="861"/>
      <c r="C51" s="861"/>
      <c r="D51" s="861"/>
      <c r="E51" s="861"/>
      <c r="F51" s="861"/>
      <c r="G51" s="861"/>
    </row>
    <row r="52" spans="1:7" x14ac:dyDescent="0.2">
      <c r="A52" s="862"/>
      <c r="B52" s="862"/>
      <c r="C52" s="862"/>
      <c r="D52" s="862"/>
      <c r="E52" s="862"/>
      <c r="F52" s="862"/>
      <c r="G52" s="862"/>
    </row>
    <row r="53" spans="1:7" ht="10.5" customHeight="1" x14ac:dyDescent="0.2">
      <c r="A53" s="468" t="s">
        <v>377</v>
      </c>
      <c r="B53" s="468"/>
      <c r="C53" s="468"/>
    </row>
    <row r="54" spans="1:7" ht="12" customHeight="1" x14ac:dyDescent="0.2">
      <c r="B54" s="468"/>
      <c r="C54" s="468"/>
    </row>
    <row r="55" spans="1:7" ht="12" customHeight="1" x14ac:dyDescent="0.2">
      <c r="A55" s="469"/>
      <c r="B55" s="468"/>
      <c r="C55" s="468"/>
    </row>
    <row r="56" spans="1:7" ht="12" customHeight="1" x14ac:dyDescent="0.2">
      <c r="A56" s="469"/>
      <c r="B56" s="468"/>
      <c r="C56" s="468"/>
    </row>
    <row r="57" spans="1:7" ht="14.45" customHeight="1" x14ac:dyDescent="0.2">
      <c r="A57" s="468"/>
    </row>
  </sheetData>
  <mergeCells count="3">
    <mergeCell ref="F6:G8"/>
    <mergeCell ref="B6:E8"/>
    <mergeCell ref="A51:G52"/>
  </mergeCells>
  <phoneticPr fontId="19" type="noConversion"/>
  <pageMargins left="0.51181102362204722" right="0.51181102362204722" top="0.59055118110236227" bottom="0.19685039370078741" header="0.31496062992125984" footer="0.51181102362204722"/>
  <pageSetup scale="95" orientation="portrait" r:id="rId1"/>
  <headerFooter alignWithMargins="0">
    <oddHeader>&amp;C&amp;"Arial,Regular"&amp;10&amp;A</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I58"/>
  <sheetViews>
    <sheetView showGridLines="0" showZeros="0" workbookViewId="0"/>
  </sheetViews>
  <sheetFormatPr defaultColWidth="12.83203125" defaultRowHeight="12" x14ac:dyDescent="0.2"/>
  <cols>
    <col min="1" max="1" width="30.83203125" style="2" customWidth="1"/>
    <col min="2" max="8" width="12.83203125" style="2" customWidth="1"/>
    <col min="9" max="16384" width="12.83203125" style="2"/>
  </cols>
  <sheetData>
    <row r="1" spans="1:9" ht="6.95" customHeight="1" x14ac:dyDescent="0.2">
      <c r="A1" s="7"/>
      <c r="B1" s="8"/>
      <c r="C1" s="8"/>
    </row>
    <row r="2" spans="1:9" ht="15.95" customHeight="1" x14ac:dyDescent="0.2">
      <c r="A2" s="245" t="s">
        <v>231</v>
      </c>
      <c r="B2" s="246"/>
      <c r="C2" s="246"/>
      <c r="D2" s="246"/>
      <c r="E2" s="246"/>
      <c r="F2" s="142"/>
      <c r="G2" s="142"/>
      <c r="H2" s="142"/>
      <c r="I2" s="142"/>
    </row>
    <row r="3" spans="1:9" ht="15.95" customHeight="1" x14ac:dyDescent="0.2">
      <c r="A3" s="544" t="str">
        <f>B9&amp;" AND "&amp;C9&amp;" ACTUAL"</f>
        <v>2018/19 AND 2019/20 ACTUAL</v>
      </c>
      <c r="B3" s="247"/>
      <c r="C3" s="248"/>
      <c r="D3" s="248"/>
      <c r="E3" s="248"/>
      <c r="F3" s="249"/>
      <c r="G3" s="249"/>
      <c r="H3" s="249"/>
      <c r="I3" s="249"/>
    </row>
    <row r="4" spans="1:9" ht="15.95" customHeight="1" x14ac:dyDescent="0.2">
      <c r="B4" s="31"/>
      <c r="C4" s="8"/>
    </row>
    <row r="5" spans="1:9" ht="15.95" customHeight="1" x14ac:dyDescent="0.2">
      <c r="B5" s="227"/>
      <c r="C5" s="8"/>
    </row>
    <row r="6" spans="1:9" ht="15.95" customHeight="1" x14ac:dyDescent="0.2">
      <c r="B6" s="872" t="s">
        <v>597</v>
      </c>
      <c r="C6" s="873"/>
      <c r="D6" s="571"/>
      <c r="E6" s="377"/>
      <c r="F6" s="867" t="s">
        <v>595</v>
      </c>
      <c r="G6" s="868"/>
      <c r="H6" s="380"/>
      <c r="I6" s="381"/>
    </row>
    <row r="7" spans="1:9" ht="15.95" customHeight="1" x14ac:dyDescent="0.2">
      <c r="B7" s="874"/>
      <c r="C7" s="875"/>
      <c r="D7" s="870" t="s">
        <v>596</v>
      </c>
      <c r="E7" s="864"/>
      <c r="F7" s="869"/>
      <c r="G7" s="864"/>
      <c r="H7" s="863" t="s">
        <v>594</v>
      </c>
      <c r="I7" s="864"/>
    </row>
    <row r="8" spans="1:9" ht="15.95" customHeight="1" x14ac:dyDescent="0.2">
      <c r="A8" s="403"/>
      <c r="B8" s="876"/>
      <c r="C8" s="877"/>
      <c r="D8" s="871"/>
      <c r="E8" s="866"/>
      <c r="F8" s="865"/>
      <c r="G8" s="866"/>
      <c r="H8" s="865"/>
      <c r="I8" s="866"/>
    </row>
    <row r="9" spans="1:9" ht="15.95" customHeight="1" x14ac:dyDescent="0.2">
      <c r="A9" s="35" t="s">
        <v>42</v>
      </c>
      <c r="B9" s="572" t="str">
        <f>PrevY</f>
        <v>2018/19</v>
      </c>
      <c r="C9" s="573" t="str">
        <f>+CurrY</f>
        <v>2019/20</v>
      </c>
      <c r="D9" s="490" t="str">
        <f>+B9</f>
        <v>2018/19</v>
      </c>
      <c r="E9" s="491" t="s">
        <v>638</v>
      </c>
      <c r="F9" s="491">
        <v>2018</v>
      </c>
      <c r="G9" s="491" t="s">
        <v>639</v>
      </c>
      <c r="H9" s="491">
        <f>+F9</f>
        <v>2018</v>
      </c>
      <c r="I9" s="491" t="s">
        <v>640</v>
      </c>
    </row>
    <row r="10" spans="1:9" ht="5.0999999999999996" customHeight="1" x14ac:dyDescent="0.2">
      <c r="A10" s="6"/>
      <c r="C10" s="250"/>
    </row>
    <row r="11" spans="1:9" ht="14.1" customHeight="1" x14ac:dyDescent="0.2">
      <c r="A11" s="352" t="s">
        <v>110</v>
      </c>
      <c r="B11" s="352">
        <v>11072</v>
      </c>
      <c r="C11" s="352">
        <f>'- 4 -'!E11</f>
        <v>10600</v>
      </c>
      <c r="D11" s="353">
        <v>13.933292345527205</v>
      </c>
      <c r="E11" s="353">
        <f>'- 9 -'!C11</f>
        <v>15.144561725562184</v>
      </c>
      <c r="F11" s="352">
        <v>443871</v>
      </c>
      <c r="G11" s="352">
        <f>'- 55 -'!F11</f>
        <v>442823</v>
      </c>
      <c r="H11" s="353">
        <v>11.271041117372127</v>
      </c>
      <c r="I11" s="353">
        <f>'- 53 -'!G11</f>
        <v>11.486322541917898</v>
      </c>
    </row>
    <row r="12" spans="1:9" ht="14.1" customHeight="1" x14ac:dyDescent="0.2">
      <c r="A12" s="151" t="s">
        <v>111</v>
      </c>
      <c r="B12" s="151">
        <v>15647</v>
      </c>
      <c r="C12" s="151">
        <f>'- 4 -'!E12</f>
        <v>15179</v>
      </c>
      <c r="D12" s="238">
        <v>10.904434235084196</v>
      </c>
      <c r="E12" s="238">
        <f>'- 9 -'!C12</f>
        <v>11.358562050823636</v>
      </c>
      <c r="F12" s="151">
        <v>488493</v>
      </c>
      <c r="G12" s="151">
        <f>'- 55 -'!F12</f>
        <v>476373</v>
      </c>
      <c r="H12" s="238">
        <v>14.405126590347793</v>
      </c>
      <c r="I12" s="238">
        <f>'- 53 -'!G12</f>
        <v>14.751350092961783</v>
      </c>
    </row>
    <row r="13" spans="1:9" ht="14.1" customHeight="1" x14ac:dyDescent="0.2">
      <c r="A13" s="352" t="s">
        <v>112</v>
      </c>
      <c r="B13" s="352">
        <v>11745</v>
      </c>
      <c r="C13" s="352">
        <f>'- 4 -'!E13</f>
        <v>12040</v>
      </c>
      <c r="D13" s="353">
        <v>12.819169635106416</v>
      </c>
      <c r="E13" s="353">
        <f>'- 9 -'!C13</f>
        <v>12.830770142531186</v>
      </c>
      <c r="F13" s="352">
        <v>373897</v>
      </c>
      <c r="G13" s="352">
        <f>'- 55 -'!F13</f>
        <v>376546</v>
      </c>
      <c r="H13" s="353">
        <v>15.047634195746236</v>
      </c>
      <c r="I13" s="353">
        <f>'- 53 -'!G13</f>
        <v>14.9897454714289</v>
      </c>
    </row>
    <row r="14" spans="1:9" ht="14.1" customHeight="1" x14ac:dyDescent="0.2">
      <c r="A14" s="151" t="s">
        <v>358</v>
      </c>
      <c r="B14" s="151">
        <v>15686</v>
      </c>
      <c r="C14" s="151">
        <f>'- 4 -'!E14</f>
        <v>15942</v>
      </c>
      <c r="D14" s="238">
        <v>11.748758363091573</v>
      </c>
      <c r="E14" s="238">
        <f>'- 9 -'!C14</f>
        <v>10.746014795254645</v>
      </c>
      <c r="F14" s="151">
        <v>470417</v>
      </c>
      <c r="G14" s="151">
        <f>'- 55 -'!F14</f>
        <v>468154</v>
      </c>
      <c r="H14" s="238">
        <v>0</v>
      </c>
      <c r="I14" s="238">
        <f>'- 53 -'!G14</f>
        <v>0</v>
      </c>
    </row>
    <row r="15" spans="1:9" ht="14.1" customHeight="1" x14ac:dyDescent="0.2">
      <c r="A15" s="352" t="s">
        <v>113</v>
      </c>
      <c r="B15" s="352">
        <v>14293</v>
      </c>
      <c r="C15" s="352">
        <f>'- 4 -'!E15</f>
        <v>13520</v>
      </c>
      <c r="D15" s="353">
        <v>12.627626285203398</v>
      </c>
      <c r="E15" s="353">
        <f>'- 9 -'!C15</f>
        <v>13.326313861930048</v>
      </c>
      <c r="F15" s="352">
        <v>716133</v>
      </c>
      <c r="G15" s="352">
        <f>'- 55 -'!F15</f>
        <v>726888</v>
      </c>
      <c r="H15" s="353">
        <v>10.984411245544862</v>
      </c>
      <c r="I15" s="353">
        <f>'- 53 -'!G15</f>
        <v>11.050115356295413</v>
      </c>
    </row>
    <row r="16" spans="1:9" ht="14.1" customHeight="1" x14ac:dyDescent="0.2">
      <c r="A16" s="151" t="s">
        <v>114</v>
      </c>
      <c r="B16" s="151">
        <v>16518</v>
      </c>
      <c r="C16" s="151">
        <f>'- 4 -'!E16</f>
        <v>15674</v>
      </c>
      <c r="D16" s="238">
        <v>10.956363636363637</v>
      </c>
      <c r="E16" s="238">
        <f>'- 9 -'!C16</f>
        <v>11.411912225705329</v>
      </c>
      <c r="F16" s="151">
        <v>212509</v>
      </c>
      <c r="G16" s="151">
        <f>'- 55 -'!F16</f>
        <v>208296</v>
      </c>
      <c r="H16" s="238">
        <v>21.435859804311313</v>
      </c>
      <c r="I16" s="238">
        <f>'- 53 -'!G16</f>
        <v>22.052312869828118</v>
      </c>
    </row>
    <row r="17" spans="1:9" ht="14.1" customHeight="1" x14ac:dyDescent="0.2">
      <c r="A17" s="352" t="s">
        <v>115</v>
      </c>
      <c r="B17" s="352">
        <v>12642</v>
      </c>
      <c r="C17" s="352">
        <f>'- 4 -'!E17</f>
        <v>12383</v>
      </c>
      <c r="D17" s="353">
        <v>12.785357270362626</v>
      </c>
      <c r="E17" s="353">
        <f>'- 9 -'!C17</f>
        <v>12.863313236749754</v>
      </c>
      <c r="F17" s="352">
        <v>911122</v>
      </c>
      <c r="G17" s="352">
        <f>'- 55 -'!F17</f>
        <v>913210</v>
      </c>
      <c r="H17" s="353">
        <v>7.7231349411031802</v>
      </c>
      <c r="I17" s="353">
        <f>'- 53 -'!G17</f>
        <v>7.6846886980415343</v>
      </c>
    </row>
    <row r="18" spans="1:9" ht="14.1" customHeight="1" x14ac:dyDescent="0.2">
      <c r="A18" s="151" t="s">
        <v>116</v>
      </c>
      <c r="B18" s="151">
        <v>21679</v>
      </c>
      <c r="C18" s="151">
        <f>'- 4 -'!E18</f>
        <v>21560</v>
      </c>
      <c r="D18" s="238">
        <v>11.763800127020628</v>
      </c>
      <c r="E18" s="238">
        <f>'- 9 -'!C18</f>
        <v>11.447322904254913</v>
      </c>
      <c r="F18" s="151">
        <v>110861</v>
      </c>
      <c r="G18" s="151">
        <f>'- 55 -'!F18</f>
        <v>114365</v>
      </c>
      <c r="H18" s="238">
        <v>12.864999489105124</v>
      </c>
      <c r="I18" s="238">
        <f>'- 53 -'!G18</f>
        <v>13.201998516983744</v>
      </c>
    </row>
    <row r="19" spans="1:9" ht="14.1" customHeight="1" x14ac:dyDescent="0.2">
      <c r="A19" s="352" t="s">
        <v>117</v>
      </c>
      <c r="B19" s="352">
        <v>11332</v>
      </c>
      <c r="C19" s="352">
        <f>'- 4 -'!E19</f>
        <v>11274</v>
      </c>
      <c r="D19" s="353">
        <v>14.531419730735045</v>
      </c>
      <c r="E19" s="353">
        <f>'- 9 -'!C19</f>
        <v>14.316408789494215</v>
      </c>
      <c r="F19" s="352">
        <v>292500</v>
      </c>
      <c r="G19" s="352">
        <f>'- 55 -'!F19</f>
        <v>300968</v>
      </c>
      <c r="H19" s="353">
        <v>15.080288048099247</v>
      </c>
      <c r="I19" s="353">
        <f>'- 53 -'!G19</f>
        <v>15.016559458756454</v>
      </c>
    </row>
    <row r="20" spans="1:9" ht="14.1" customHeight="1" x14ac:dyDescent="0.2">
      <c r="A20" s="151" t="s">
        <v>118</v>
      </c>
      <c r="B20" s="151">
        <v>11067</v>
      </c>
      <c r="C20" s="151">
        <f>'- 4 -'!E20</f>
        <v>11020</v>
      </c>
      <c r="D20" s="238">
        <v>14.299580891557957</v>
      </c>
      <c r="E20" s="238">
        <f>'- 9 -'!C20</f>
        <v>14.403081564486587</v>
      </c>
      <c r="F20" s="151">
        <v>270044</v>
      </c>
      <c r="G20" s="151">
        <f>'- 55 -'!F20</f>
        <v>273984</v>
      </c>
      <c r="H20" s="238">
        <v>15.142682992713993</v>
      </c>
      <c r="I20" s="238">
        <f>'- 53 -'!G20</f>
        <v>15.16602816530512</v>
      </c>
    </row>
    <row r="21" spans="1:9" ht="14.1" customHeight="1" x14ac:dyDescent="0.2">
      <c r="A21" s="352" t="s">
        <v>119</v>
      </c>
      <c r="B21" s="352">
        <v>13008</v>
      </c>
      <c r="C21" s="352">
        <f>'- 4 -'!E21</f>
        <v>13246</v>
      </c>
      <c r="D21" s="353">
        <v>12.067091295116773</v>
      </c>
      <c r="E21" s="353">
        <f>'- 9 -'!C21</f>
        <v>12.08786503382718</v>
      </c>
      <c r="F21" s="352">
        <v>491479</v>
      </c>
      <c r="G21" s="352">
        <f>'- 55 -'!F21</f>
        <v>495401</v>
      </c>
      <c r="H21" s="353">
        <v>13.587764129088127</v>
      </c>
      <c r="I21" s="353">
        <f>'- 53 -'!G21</f>
        <v>13.587103560656447</v>
      </c>
    </row>
    <row r="22" spans="1:9" ht="14.1" customHeight="1" x14ac:dyDescent="0.2">
      <c r="A22" s="151" t="s">
        <v>120</v>
      </c>
      <c r="B22" s="151">
        <v>13816</v>
      </c>
      <c r="C22" s="151">
        <f>'- 4 -'!E22</f>
        <v>12973</v>
      </c>
      <c r="D22" s="238">
        <v>11.829238824003221</v>
      </c>
      <c r="E22" s="238">
        <f>'- 9 -'!C22</f>
        <v>12.439222042139384</v>
      </c>
      <c r="F22" s="151">
        <v>172077</v>
      </c>
      <c r="G22" s="151">
        <f>'- 55 -'!F22</f>
        <v>174815</v>
      </c>
      <c r="H22" s="238">
        <v>17.534076892125718</v>
      </c>
      <c r="I22" s="238">
        <f>'- 53 -'!G22</f>
        <v>17.297746064654469</v>
      </c>
    </row>
    <row r="23" spans="1:9" ht="14.1" customHeight="1" x14ac:dyDescent="0.2">
      <c r="A23" s="352" t="s">
        <v>121</v>
      </c>
      <c r="B23" s="352">
        <v>16021</v>
      </c>
      <c r="C23" s="352">
        <f>'- 4 -'!E23</f>
        <v>15957</v>
      </c>
      <c r="D23" s="353">
        <v>11.514970059880239</v>
      </c>
      <c r="E23" s="353">
        <f>'- 9 -'!C23</f>
        <v>11.511955855303494</v>
      </c>
      <c r="F23" s="352">
        <v>329425</v>
      </c>
      <c r="G23" s="352">
        <f>'- 55 -'!F23</f>
        <v>336160</v>
      </c>
      <c r="H23" s="353">
        <v>14.84507254638002</v>
      </c>
      <c r="I23" s="353">
        <f>'- 53 -'!G23</f>
        <v>15.006442145356372</v>
      </c>
    </row>
    <row r="24" spans="1:9" ht="14.1" customHeight="1" x14ac:dyDescent="0.2">
      <c r="A24" s="151" t="s">
        <v>122</v>
      </c>
      <c r="B24" s="151">
        <v>14899</v>
      </c>
      <c r="C24" s="151">
        <f>'- 4 -'!E24</f>
        <v>15409</v>
      </c>
      <c r="D24" s="238">
        <v>11.948829953198128</v>
      </c>
      <c r="E24" s="238">
        <f>'- 9 -'!C24</f>
        <v>11.530408006158584</v>
      </c>
      <c r="F24" s="151">
        <v>525879</v>
      </c>
      <c r="G24" s="151">
        <f>'- 55 -'!F24</f>
        <v>540409</v>
      </c>
      <c r="H24" s="238">
        <v>14.823461615655591</v>
      </c>
      <c r="I24" s="238">
        <f>'- 53 -'!G24</f>
        <v>14.930961681174766</v>
      </c>
    </row>
    <row r="25" spans="1:9" ht="14.1" customHeight="1" x14ac:dyDescent="0.2">
      <c r="A25" s="352" t="s">
        <v>123</v>
      </c>
      <c r="B25" s="352">
        <v>12812</v>
      </c>
      <c r="C25" s="352">
        <f>'- 4 -'!E25</f>
        <v>12714</v>
      </c>
      <c r="D25" s="353">
        <v>13.665472910927457</v>
      </c>
      <c r="E25" s="353">
        <f>'- 9 -'!C25</f>
        <v>13.729505572801292</v>
      </c>
      <c r="F25" s="352">
        <v>494126</v>
      </c>
      <c r="G25" s="352">
        <f>'- 55 -'!F25</f>
        <v>488071</v>
      </c>
      <c r="H25" s="353">
        <v>13.246291105609478</v>
      </c>
      <c r="I25" s="353">
        <f>'- 53 -'!G25</f>
        <v>13.693239545334105</v>
      </c>
    </row>
    <row r="26" spans="1:9" ht="14.1" customHeight="1" x14ac:dyDescent="0.2">
      <c r="A26" s="151" t="s">
        <v>124</v>
      </c>
      <c r="B26" s="151">
        <v>13609</v>
      </c>
      <c r="C26" s="151">
        <f>'- 4 -'!E26</f>
        <v>13329</v>
      </c>
      <c r="D26" s="238">
        <v>12.811208633584917</v>
      </c>
      <c r="E26" s="238">
        <f>'- 9 -'!C26</f>
        <v>13.124062566959502</v>
      </c>
      <c r="F26" s="151">
        <v>380734</v>
      </c>
      <c r="G26" s="151">
        <f>'- 55 -'!F26</f>
        <v>384710</v>
      </c>
      <c r="H26" s="238">
        <v>15.344073757481109</v>
      </c>
      <c r="I26" s="238">
        <f>'- 53 -'!G26</f>
        <v>15.62601256542076</v>
      </c>
    </row>
    <row r="27" spans="1:9" ht="14.1" customHeight="1" x14ac:dyDescent="0.2">
      <c r="A27" s="352" t="s">
        <v>125</v>
      </c>
      <c r="B27" s="352">
        <v>13875</v>
      </c>
      <c r="C27" s="352">
        <f>'- 4 -'!E27</f>
        <v>13775</v>
      </c>
      <c r="D27" s="353">
        <v>12.340047344158812</v>
      </c>
      <c r="E27" s="353">
        <f>'- 9 -'!C27</f>
        <v>12.415682569674066</v>
      </c>
      <c r="F27" s="352">
        <v>165950</v>
      </c>
      <c r="G27" s="352">
        <f>'- 55 -'!F27</f>
        <v>155992</v>
      </c>
      <c r="H27" s="353">
        <v>18.623440635922936</v>
      </c>
      <c r="I27" s="353">
        <f>'- 53 -'!G27</f>
        <v>18.548245275772118</v>
      </c>
    </row>
    <row r="28" spans="1:9" ht="14.1" customHeight="1" x14ac:dyDescent="0.2">
      <c r="A28" s="151" t="s">
        <v>126</v>
      </c>
      <c r="B28" s="151">
        <v>14640</v>
      </c>
      <c r="C28" s="151">
        <f>'- 4 -'!E28</f>
        <v>14095</v>
      </c>
      <c r="D28" s="238">
        <v>11.330955941562175</v>
      </c>
      <c r="E28" s="238">
        <f>'- 9 -'!C28</f>
        <v>11.554109031733116</v>
      </c>
      <c r="F28" s="151">
        <v>615280</v>
      </c>
      <c r="G28" s="151">
        <f>'- 55 -'!F28</f>
        <v>624146</v>
      </c>
      <c r="H28" s="238">
        <v>10.382553001288626</v>
      </c>
      <c r="I28" s="238">
        <f>'- 53 -'!G28</f>
        <v>10.509212790706657</v>
      </c>
    </row>
    <row r="29" spans="1:9" ht="14.1" customHeight="1" x14ac:dyDescent="0.2">
      <c r="A29" s="352" t="s">
        <v>127</v>
      </c>
      <c r="B29" s="352">
        <v>11938</v>
      </c>
      <c r="C29" s="352">
        <f>'- 4 -'!E29</f>
        <v>11760</v>
      </c>
      <c r="D29" s="353">
        <v>14.326654962305071</v>
      </c>
      <c r="E29" s="353">
        <f>'- 9 -'!C29</f>
        <v>14.320225674472576</v>
      </c>
      <c r="F29" s="352">
        <v>629714</v>
      </c>
      <c r="G29" s="352">
        <f>'- 55 -'!F29</f>
        <v>619867</v>
      </c>
      <c r="H29" s="353">
        <v>12.320643189237414</v>
      </c>
      <c r="I29" s="353">
        <f>'- 53 -'!G29</f>
        <v>12.421633672645005</v>
      </c>
    </row>
    <row r="30" spans="1:9" ht="14.1" customHeight="1" x14ac:dyDescent="0.2">
      <c r="A30" s="151" t="s">
        <v>128</v>
      </c>
      <c r="B30" s="151">
        <v>15044</v>
      </c>
      <c r="C30" s="151">
        <f>'- 4 -'!E30</f>
        <v>15156</v>
      </c>
      <c r="D30" s="238">
        <v>10.158808933002481</v>
      </c>
      <c r="E30" s="238">
        <f>'- 9 -'!C30</f>
        <v>11.22114016850859</v>
      </c>
      <c r="F30" s="151">
        <v>542101</v>
      </c>
      <c r="G30" s="151">
        <f>'- 55 -'!F30</f>
        <v>538429</v>
      </c>
      <c r="H30" s="238">
        <v>13.687465975048767</v>
      </c>
      <c r="I30" s="238">
        <f>'- 53 -'!G30</f>
        <v>13.925449550643869</v>
      </c>
    </row>
    <row r="31" spans="1:9" ht="14.1" customHeight="1" x14ac:dyDescent="0.2">
      <c r="A31" s="352" t="s">
        <v>129</v>
      </c>
      <c r="B31" s="352">
        <v>11574</v>
      </c>
      <c r="C31" s="352">
        <f>'- 4 -'!E31</f>
        <v>11966</v>
      </c>
      <c r="D31" s="353">
        <v>12.87577620610487</v>
      </c>
      <c r="E31" s="353">
        <f>'- 9 -'!C31</f>
        <v>12.523476823679662</v>
      </c>
      <c r="F31" s="352">
        <v>426810</v>
      </c>
      <c r="G31" s="352">
        <f>'- 55 -'!F31</f>
        <v>433714</v>
      </c>
      <c r="H31" s="353">
        <v>13.740876348270882</v>
      </c>
      <c r="I31" s="353">
        <f>'- 53 -'!G31</f>
        <v>13.877117315626123</v>
      </c>
    </row>
    <row r="32" spans="1:9" ht="14.1" customHeight="1" x14ac:dyDescent="0.2">
      <c r="A32" s="151" t="s">
        <v>130</v>
      </c>
      <c r="B32" s="151">
        <v>13370</v>
      </c>
      <c r="C32" s="151">
        <f>'- 4 -'!E32</f>
        <v>13189</v>
      </c>
      <c r="D32" s="238">
        <v>11.740047455839704</v>
      </c>
      <c r="E32" s="238">
        <f>'- 9 -'!C32</f>
        <v>11.718066210163208</v>
      </c>
      <c r="F32" s="151">
        <v>647758</v>
      </c>
      <c r="G32" s="151">
        <f>'- 55 -'!F32</f>
        <v>640500</v>
      </c>
      <c r="H32" s="238">
        <v>11.148902100818832</v>
      </c>
      <c r="I32" s="238">
        <f>'- 53 -'!G32</f>
        <v>11.297749248910849</v>
      </c>
    </row>
    <row r="33" spans="1:9" ht="14.1" customHeight="1" x14ac:dyDescent="0.2">
      <c r="A33" s="352" t="s">
        <v>131</v>
      </c>
      <c r="B33" s="352">
        <v>13669</v>
      </c>
      <c r="C33" s="352">
        <f>'- 4 -'!E33</f>
        <v>13658</v>
      </c>
      <c r="D33" s="353">
        <v>12.382938847072339</v>
      </c>
      <c r="E33" s="353">
        <f>'- 9 -'!C33</f>
        <v>12.456848172303955</v>
      </c>
      <c r="F33" s="352">
        <v>665633</v>
      </c>
      <c r="G33" s="352">
        <f>'- 55 -'!F33</f>
        <v>681966</v>
      </c>
      <c r="H33" s="353">
        <v>9.6027104673578432</v>
      </c>
      <c r="I33" s="353">
        <f>'- 53 -'!G33</f>
        <v>9.7615904922220675</v>
      </c>
    </row>
    <row r="34" spans="1:9" ht="14.1" customHeight="1" x14ac:dyDescent="0.2">
      <c r="A34" s="151" t="s">
        <v>132</v>
      </c>
      <c r="B34" s="151">
        <v>14072</v>
      </c>
      <c r="C34" s="151">
        <f>'- 4 -'!E34</f>
        <v>13669</v>
      </c>
      <c r="D34" s="238">
        <v>12.405366990732846</v>
      </c>
      <c r="E34" s="238">
        <f>'- 9 -'!C34</f>
        <v>12.384028512557776</v>
      </c>
      <c r="F34" s="151">
        <v>669534</v>
      </c>
      <c r="G34" s="151">
        <f>'- 55 -'!F34</f>
        <v>666588</v>
      </c>
      <c r="H34" s="238">
        <v>13.845233134698701</v>
      </c>
      <c r="I34" s="238">
        <f>'- 53 -'!G34</f>
        <v>13.570957495993561</v>
      </c>
    </row>
    <row r="35" spans="1:9" ht="14.1" customHeight="1" x14ac:dyDescent="0.2">
      <c r="A35" s="352" t="s">
        <v>133</v>
      </c>
      <c r="B35" s="352">
        <v>11819</v>
      </c>
      <c r="C35" s="352">
        <f>'- 4 -'!E35</f>
        <v>11645</v>
      </c>
      <c r="D35" s="353">
        <v>13.977951988584456</v>
      </c>
      <c r="E35" s="353">
        <f>'- 9 -'!C35</f>
        <v>13.782800506617477</v>
      </c>
      <c r="F35" s="352">
        <v>428344</v>
      </c>
      <c r="G35" s="352">
        <f>'- 55 -'!F35</f>
        <v>426834</v>
      </c>
      <c r="H35" s="353">
        <v>13.349366573748449</v>
      </c>
      <c r="I35" s="353">
        <f>'- 53 -'!G35</f>
        <v>13.469857957350786</v>
      </c>
    </row>
    <row r="36" spans="1:9" ht="14.1" customHeight="1" x14ac:dyDescent="0.2">
      <c r="A36" s="151" t="s">
        <v>134</v>
      </c>
      <c r="B36" s="151">
        <v>14215</v>
      </c>
      <c r="C36" s="151">
        <f>'- 4 -'!E36</f>
        <v>13694</v>
      </c>
      <c r="D36" s="238">
        <v>12.384745887733274</v>
      </c>
      <c r="E36" s="238">
        <f>'- 9 -'!C36</f>
        <v>12.655754626557547</v>
      </c>
      <c r="F36" s="151">
        <v>645772</v>
      </c>
      <c r="G36" s="151">
        <f>'- 55 -'!F36</f>
        <v>647693</v>
      </c>
      <c r="H36" s="238">
        <v>11.374173564208691</v>
      </c>
      <c r="I36" s="238">
        <f>'- 53 -'!G36</f>
        <v>11.503875854616103</v>
      </c>
    </row>
    <row r="37" spans="1:9" ht="14.1" customHeight="1" x14ac:dyDescent="0.2">
      <c r="A37" s="352" t="s">
        <v>135</v>
      </c>
      <c r="B37" s="352">
        <v>12191</v>
      </c>
      <c r="C37" s="352">
        <f>'- 4 -'!E37</f>
        <v>12639</v>
      </c>
      <c r="D37" s="353">
        <v>14.175518875633271</v>
      </c>
      <c r="E37" s="353">
        <f>'- 9 -'!C37</f>
        <v>13.566127497621311</v>
      </c>
      <c r="F37" s="352">
        <v>337104</v>
      </c>
      <c r="G37" s="352">
        <f>'- 55 -'!F37</f>
        <v>336075</v>
      </c>
      <c r="H37" s="353">
        <v>14.647972464335137</v>
      </c>
      <c r="I37" s="353">
        <f>'- 53 -'!G37</f>
        <v>14.611023778880496</v>
      </c>
    </row>
    <row r="38" spans="1:9" ht="14.1" customHeight="1" x14ac:dyDescent="0.2">
      <c r="A38" s="151" t="s">
        <v>136</v>
      </c>
      <c r="B38" s="151">
        <v>12369</v>
      </c>
      <c r="C38" s="151">
        <f>'- 4 -'!E38</f>
        <v>12500</v>
      </c>
      <c r="D38" s="238">
        <v>13.755961650768931</v>
      </c>
      <c r="E38" s="238">
        <f>'- 9 -'!C38</f>
        <v>13.896365267573533</v>
      </c>
      <c r="F38" s="151">
        <v>327538</v>
      </c>
      <c r="G38" s="151">
        <f>'- 55 -'!F38</f>
        <v>333857</v>
      </c>
      <c r="H38" s="238">
        <v>16.456050685732176</v>
      </c>
      <c r="I38" s="238">
        <f>'- 53 -'!G38</f>
        <v>16.719452662151756</v>
      </c>
    </row>
    <row r="39" spans="1:9" ht="14.1" customHeight="1" x14ac:dyDescent="0.2">
      <c r="A39" s="352" t="s">
        <v>137</v>
      </c>
      <c r="B39" s="352">
        <v>14744</v>
      </c>
      <c r="C39" s="352">
        <f>'- 4 -'!E39</f>
        <v>14417</v>
      </c>
      <c r="D39" s="353">
        <v>11.370857921016794</v>
      </c>
      <c r="E39" s="353">
        <f>'- 9 -'!C39</f>
        <v>11.698968427633634</v>
      </c>
      <c r="F39" s="352">
        <v>816595</v>
      </c>
      <c r="G39" s="352">
        <f>'- 55 -'!F39</f>
        <v>828432</v>
      </c>
      <c r="H39" s="353">
        <v>10.40118907652824</v>
      </c>
      <c r="I39" s="353">
        <f>'- 53 -'!G39</f>
        <v>10.544882043697607</v>
      </c>
    </row>
    <row r="40" spans="1:9" ht="14.1" customHeight="1" x14ac:dyDescent="0.2">
      <c r="A40" s="151" t="s">
        <v>138</v>
      </c>
      <c r="B40" s="151">
        <v>12888</v>
      </c>
      <c r="C40" s="151">
        <f>'- 4 -'!E40</f>
        <v>12931</v>
      </c>
      <c r="D40" s="238">
        <v>13.168606985146525</v>
      </c>
      <c r="E40" s="238">
        <f>'- 9 -'!C40</f>
        <v>13.217470884558692</v>
      </c>
      <c r="F40" s="151">
        <v>611416</v>
      </c>
      <c r="G40" s="151">
        <f>'- 55 -'!F40</f>
        <v>596595</v>
      </c>
      <c r="H40" s="238">
        <v>12.768238376888654</v>
      </c>
      <c r="I40" s="238">
        <f>'- 53 -'!G40</f>
        <v>13.404722390017115</v>
      </c>
    </row>
    <row r="41" spans="1:9" ht="14.1" customHeight="1" x14ac:dyDescent="0.2">
      <c r="A41" s="352" t="s">
        <v>139</v>
      </c>
      <c r="B41" s="352">
        <v>14430</v>
      </c>
      <c r="C41" s="352">
        <f>'- 4 -'!E41</f>
        <v>14060</v>
      </c>
      <c r="D41" s="353">
        <v>11.820691852284492</v>
      </c>
      <c r="E41" s="353">
        <f>'- 9 -'!C41</f>
        <v>12.446043165467627</v>
      </c>
      <c r="F41" s="352">
        <v>555919</v>
      </c>
      <c r="G41" s="352">
        <f>'- 55 -'!F41</f>
        <v>566990</v>
      </c>
      <c r="H41" s="353">
        <v>13.844166527257309</v>
      </c>
      <c r="I41" s="353">
        <f>'- 53 -'!G41</f>
        <v>13.844195282178411</v>
      </c>
    </row>
    <row r="42" spans="1:9" ht="14.1" customHeight="1" x14ac:dyDescent="0.2">
      <c r="A42" s="151" t="s">
        <v>140</v>
      </c>
      <c r="B42" s="151">
        <v>15056</v>
      </c>
      <c r="C42" s="151">
        <f>'- 4 -'!E42</f>
        <v>14896</v>
      </c>
      <c r="D42" s="238">
        <v>12.406892219330523</v>
      </c>
      <c r="E42" s="238">
        <f>'- 9 -'!C42</f>
        <v>12.302235790607885</v>
      </c>
      <c r="F42" s="151">
        <v>421447</v>
      </c>
      <c r="G42" s="151">
        <f>'- 55 -'!F42</f>
        <v>428070</v>
      </c>
      <c r="H42" s="238">
        <v>13.706920436023552</v>
      </c>
      <c r="I42" s="238">
        <f>'- 53 -'!G42</f>
        <v>13.820179324333209</v>
      </c>
    </row>
    <row r="43" spans="1:9" ht="14.1" customHeight="1" x14ac:dyDescent="0.2">
      <c r="A43" s="352" t="s">
        <v>141</v>
      </c>
      <c r="B43" s="352">
        <v>13665</v>
      </c>
      <c r="C43" s="352">
        <f>'- 4 -'!E43</f>
        <v>12807</v>
      </c>
      <c r="D43" s="353">
        <v>12.203827927872483</v>
      </c>
      <c r="E43" s="353">
        <f>'- 9 -'!C43</f>
        <v>12.5</v>
      </c>
      <c r="F43" s="352">
        <v>645598</v>
      </c>
      <c r="G43" s="352">
        <f>'- 55 -'!F43</f>
        <v>636721</v>
      </c>
      <c r="H43" s="353">
        <v>11.680394541064121</v>
      </c>
      <c r="I43" s="353">
        <f>'- 53 -'!G43</f>
        <v>11.815484709837808</v>
      </c>
    </row>
    <row r="44" spans="1:9" ht="14.1" customHeight="1" x14ac:dyDescent="0.2">
      <c r="A44" s="151" t="s">
        <v>142</v>
      </c>
      <c r="B44" s="151">
        <v>15663</v>
      </c>
      <c r="C44" s="151">
        <f>'- 4 -'!E44</f>
        <v>15349</v>
      </c>
      <c r="D44" s="238">
        <v>10.773899848254933</v>
      </c>
      <c r="E44" s="238">
        <f>'- 9 -'!C44</f>
        <v>10.923441199684293</v>
      </c>
      <c r="F44" s="151">
        <v>312314</v>
      </c>
      <c r="G44" s="151">
        <f>'- 55 -'!F44</f>
        <v>317474</v>
      </c>
      <c r="H44" s="238">
        <v>15.233409101015328</v>
      </c>
      <c r="I44" s="238">
        <f>'- 53 -'!G44</f>
        <v>15.269744217659301</v>
      </c>
    </row>
    <row r="45" spans="1:9" ht="14.1" customHeight="1" x14ac:dyDescent="0.2">
      <c r="A45" s="352" t="s">
        <v>143</v>
      </c>
      <c r="B45" s="352">
        <v>11043</v>
      </c>
      <c r="C45" s="352">
        <f>'- 4 -'!E45</f>
        <v>10814</v>
      </c>
      <c r="D45" s="353">
        <v>13.934677604845509</v>
      </c>
      <c r="E45" s="353">
        <f>'- 9 -'!C45</f>
        <v>14.324718554811684</v>
      </c>
      <c r="F45" s="352">
        <v>354882</v>
      </c>
      <c r="G45" s="352">
        <f>'- 55 -'!F45</f>
        <v>346680</v>
      </c>
      <c r="H45" s="353">
        <v>15.38011599528307</v>
      </c>
      <c r="I45" s="353">
        <f>'- 53 -'!G45</f>
        <v>15.31993360361558</v>
      </c>
    </row>
    <row r="46" spans="1:9" ht="14.1" customHeight="1" x14ac:dyDescent="0.2">
      <c r="A46" s="151" t="s">
        <v>144</v>
      </c>
      <c r="B46" s="151">
        <v>13130</v>
      </c>
      <c r="C46" s="151">
        <f>'- 4 -'!E46</f>
        <v>13648</v>
      </c>
      <c r="D46" s="238">
        <v>13.749261474834755</v>
      </c>
      <c r="E46" s="238">
        <f>'- 9 -'!C46</f>
        <v>13.242820381777264</v>
      </c>
      <c r="F46" s="151">
        <v>438442</v>
      </c>
      <c r="G46" s="151">
        <f>'- 55 -'!F46</f>
        <v>440963</v>
      </c>
      <c r="H46" s="238">
        <v>14.600930463851817</v>
      </c>
      <c r="I46" s="238">
        <f>'- 53 -'!G46</f>
        <v>14.971629944486613</v>
      </c>
    </row>
    <row r="47" spans="1:9" ht="5.0999999999999996" customHeight="1" x14ac:dyDescent="0.2">
      <c r="A47"/>
      <c r="B47"/>
      <c r="C47"/>
      <c r="D47" s="378"/>
      <c r="E47" s="378"/>
      <c r="F47"/>
      <c r="G47"/>
      <c r="H47" s="378"/>
      <c r="I47" s="378"/>
    </row>
    <row r="48" spans="1:9" ht="14.1" customHeight="1" x14ac:dyDescent="0.2">
      <c r="A48" s="355" t="s">
        <v>145</v>
      </c>
      <c r="B48" s="356">
        <v>13169</v>
      </c>
      <c r="C48" s="356">
        <f>'- 4 -'!E48</f>
        <v>13183</v>
      </c>
      <c r="D48" s="379">
        <v>13.158668533661633</v>
      </c>
      <c r="E48" s="379">
        <f>'- 9 -'!C48</f>
        <v>13.081881497212439</v>
      </c>
      <c r="F48" s="356">
        <v>455040.37634035602</v>
      </c>
      <c r="G48" s="356">
        <f>'- 55 -'!F48</f>
        <v>455805.06645406026</v>
      </c>
      <c r="H48" s="379">
        <v>13.562356267784009</v>
      </c>
      <c r="I48" s="379">
        <f>'- 53 -'!G48</f>
        <v>13.766429265754697</v>
      </c>
    </row>
    <row r="49" spans="1:9" ht="5.0999999999999996" customHeight="1" x14ac:dyDescent="0.2">
      <c r="A49" s="130"/>
      <c r="B49" s="152"/>
      <c r="C49" s="152"/>
      <c r="D49" s="240"/>
      <c r="E49" s="240"/>
      <c r="F49" s="152"/>
      <c r="G49" s="152"/>
      <c r="H49" s="240"/>
      <c r="I49" s="240"/>
    </row>
    <row r="50" spans="1:9" ht="14.1" customHeight="1" x14ac:dyDescent="0.2">
      <c r="A50" s="151" t="s">
        <v>146</v>
      </c>
      <c r="B50" s="151">
        <v>18288</v>
      </c>
      <c r="C50" s="151">
        <f>'- 4 -'!E50</f>
        <v>16245</v>
      </c>
      <c r="D50" s="238">
        <v>9.3766233766233764</v>
      </c>
      <c r="E50" s="238">
        <f>'- 9 -'!C50</f>
        <v>9.4199305899851264</v>
      </c>
      <c r="F50" s="151"/>
      <c r="G50" s="151"/>
      <c r="H50" s="238">
        <v>0</v>
      </c>
      <c r="I50" s="238">
        <f>'- 53 -'!G50</f>
        <v>0</v>
      </c>
    </row>
    <row r="51" spans="1:9" ht="14.1" customHeight="1" x14ac:dyDescent="0.2">
      <c r="A51" s="352" t="s">
        <v>599</v>
      </c>
      <c r="B51" s="352">
        <v>16028</v>
      </c>
      <c r="C51" s="352">
        <f>'- 4 -'!E51</f>
        <v>15395</v>
      </c>
      <c r="D51" s="353">
        <v>27.343215507411628</v>
      </c>
      <c r="E51" s="353">
        <f>'- 9 -'!C51</f>
        <v>29.38095238095238</v>
      </c>
      <c r="F51" s="352"/>
      <c r="G51" s="352"/>
      <c r="H51" s="353">
        <v>0</v>
      </c>
      <c r="I51" s="353">
        <f>'- 53 -'!G51</f>
        <v>0</v>
      </c>
    </row>
    <row r="52" spans="1:9" ht="50.1" customHeight="1" x14ac:dyDescent="0.2">
      <c r="A52" s="23"/>
      <c r="B52" s="23"/>
      <c r="C52" s="23"/>
      <c r="D52" s="23"/>
      <c r="E52" s="23"/>
      <c r="F52" s="23"/>
      <c r="G52" s="23"/>
      <c r="H52" s="23"/>
      <c r="I52" s="23"/>
    </row>
    <row r="53" spans="1:9" ht="15" customHeight="1" x14ac:dyDescent="0.2">
      <c r="A53" s="38" t="s">
        <v>335</v>
      </c>
      <c r="B53" s="38"/>
      <c r="C53" s="38"/>
    </row>
    <row r="54" spans="1:9" ht="12" customHeight="1" x14ac:dyDescent="0.2">
      <c r="A54" s="38" t="s">
        <v>336</v>
      </c>
      <c r="B54" s="38"/>
      <c r="C54" s="38"/>
    </row>
    <row r="55" spans="1:9" ht="12" customHeight="1" x14ac:dyDescent="0.2">
      <c r="A55" s="133" t="s">
        <v>415</v>
      </c>
      <c r="B55" s="38"/>
      <c r="C55" s="38"/>
    </row>
    <row r="56" spans="1:9" ht="12" customHeight="1" x14ac:dyDescent="0.2">
      <c r="A56" s="133" t="s">
        <v>416</v>
      </c>
      <c r="B56" s="38"/>
      <c r="C56" s="38"/>
    </row>
    <row r="57" spans="1:9" ht="12" customHeight="1" x14ac:dyDescent="0.2">
      <c r="A57" s="38"/>
      <c r="B57" s="38"/>
      <c r="C57" s="38"/>
    </row>
    <row r="58" spans="1:9" ht="12" customHeight="1" x14ac:dyDescent="0.2">
      <c r="B58" s="38"/>
      <c r="C58" s="38"/>
    </row>
  </sheetData>
  <mergeCells count="4">
    <mergeCell ref="H7:I8"/>
    <mergeCell ref="F6:G8"/>
    <mergeCell ref="D7:E8"/>
    <mergeCell ref="B6:C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7"/>
  <sheetViews>
    <sheetView showGridLines="0" showZeros="0" workbookViewId="0"/>
  </sheetViews>
  <sheetFormatPr defaultColWidth="16.83203125" defaultRowHeight="12" x14ac:dyDescent="0.2"/>
  <cols>
    <col min="1" max="1" width="32.83203125" style="2" customWidth="1"/>
    <col min="2" max="6" width="16.83203125" style="2" customWidth="1"/>
    <col min="7" max="16384" width="16.83203125" style="2"/>
  </cols>
  <sheetData>
    <row r="1" spans="1:7" ht="6.95" customHeight="1" x14ac:dyDescent="0.2">
      <c r="A1" s="7"/>
      <c r="B1" s="8"/>
      <c r="C1" s="8"/>
      <c r="D1" s="8"/>
      <c r="E1" s="8"/>
      <c r="F1" s="8"/>
      <c r="G1" s="8"/>
    </row>
    <row r="2" spans="1:7" ht="15.95" customHeight="1" x14ac:dyDescent="0.2">
      <c r="A2" s="63"/>
      <c r="B2" s="72" t="s">
        <v>86</v>
      </c>
      <c r="C2" s="10"/>
      <c r="D2" s="10"/>
      <c r="E2" s="10"/>
      <c r="F2" s="73"/>
      <c r="G2" s="73"/>
    </row>
    <row r="3" spans="1:7" ht="15.95" customHeight="1" x14ac:dyDescent="0.2">
      <c r="A3" s="542"/>
      <c r="B3" s="74" t="s">
        <v>227</v>
      </c>
      <c r="C3" s="12"/>
      <c r="D3" s="12"/>
      <c r="E3" s="12"/>
      <c r="F3" s="75"/>
      <c r="G3" s="75"/>
    </row>
    <row r="4" spans="1:7" ht="15.95" customHeight="1" x14ac:dyDescent="0.2">
      <c r="B4" s="8"/>
      <c r="C4" s="8"/>
      <c r="D4" s="8"/>
      <c r="E4" s="8"/>
      <c r="F4" s="8"/>
      <c r="G4" s="8"/>
    </row>
    <row r="5" spans="1:7" ht="15.95" customHeight="1" x14ac:dyDescent="0.2"/>
    <row r="6" spans="1:7" ht="15.95" customHeight="1" x14ac:dyDescent="0.2">
      <c r="B6" s="528" t="s">
        <v>238</v>
      </c>
      <c r="C6" s="529"/>
      <c r="D6" s="530"/>
      <c r="E6" s="531" t="s">
        <v>239</v>
      </c>
      <c r="F6" s="531" t="s">
        <v>240</v>
      </c>
      <c r="G6" s="532" t="s">
        <v>240</v>
      </c>
    </row>
    <row r="7" spans="1:7" ht="15.95" customHeight="1" x14ac:dyDescent="0.2">
      <c r="B7" s="630" t="s">
        <v>644</v>
      </c>
      <c r="C7" s="631"/>
      <c r="D7" s="632"/>
      <c r="E7" s="394" t="s">
        <v>644</v>
      </c>
      <c r="F7" s="452" t="s">
        <v>625</v>
      </c>
      <c r="G7" s="452" t="s">
        <v>621</v>
      </c>
    </row>
    <row r="8" spans="1:7" ht="15.95" customHeight="1" x14ac:dyDescent="0.2">
      <c r="A8" s="403"/>
      <c r="B8" s="600" t="s">
        <v>454</v>
      </c>
      <c r="C8" s="623" t="s">
        <v>455</v>
      </c>
      <c r="D8" s="623" t="s">
        <v>456</v>
      </c>
      <c r="E8" s="624" t="s">
        <v>451</v>
      </c>
      <c r="F8" s="624" t="s">
        <v>456</v>
      </c>
      <c r="G8" s="628" t="s">
        <v>456</v>
      </c>
    </row>
    <row r="9" spans="1:7" ht="15.95" customHeight="1" x14ac:dyDescent="0.2">
      <c r="A9" s="404" t="s">
        <v>42</v>
      </c>
      <c r="B9" s="633"/>
      <c r="C9" s="634"/>
      <c r="D9" s="634"/>
      <c r="E9" s="627"/>
      <c r="F9" s="627"/>
      <c r="G9" s="629"/>
    </row>
    <row r="10" spans="1:7" ht="5.0999999999999996" customHeight="1" x14ac:dyDescent="0.2">
      <c r="A10" s="6"/>
    </row>
    <row r="11" spans="1:7" ht="14.1" customHeight="1" x14ac:dyDescent="0.2">
      <c r="A11" s="284" t="s">
        <v>110</v>
      </c>
      <c r="B11" s="285">
        <v>2034</v>
      </c>
      <c r="C11" s="285">
        <v>0</v>
      </c>
      <c r="D11" s="285">
        <f>+B11-C11</f>
        <v>2034</v>
      </c>
      <c r="E11" s="291">
        <f>'- 7 -'!E11</f>
        <v>1980</v>
      </c>
      <c r="F11" s="291">
        <v>1812.9</v>
      </c>
      <c r="G11" s="291">
        <v>1783.2</v>
      </c>
    </row>
    <row r="12" spans="1:7" ht="14.1" customHeight="1" x14ac:dyDescent="0.2">
      <c r="A12" s="19" t="s">
        <v>111</v>
      </c>
      <c r="B12" s="20">
        <v>2254</v>
      </c>
      <c r="C12" s="20">
        <v>0</v>
      </c>
      <c r="D12" s="20">
        <f t="shared" ref="D12:D46" si="0">+B12-C12</f>
        <v>2254</v>
      </c>
      <c r="E12" s="70">
        <f>'- 7 -'!E12</f>
        <v>2175.36</v>
      </c>
      <c r="F12" s="70">
        <v>2040.3</v>
      </c>
      <c r="G12" s="70">
        <v>1973.3</v>
      </c>
    </row>
    <row r="13" spans="1:7" ht="14.1" customHeight="1" x14ac:dyDescent="0.2">
      <c r="A13" s="284" t="s">
        <v>112</v>
      </c>
      <c r="B13" s="285">
        <v>9004</v>
      </c>
      <c r="C13" s="285">
        <v>0</v>
      </c>
      <c r="D13" s="285">
        <f t="shared" si="0"/>
        <v>9004</v>
      </c>
      <c r="E13" s="291">
        <f>'- 7 -'!E13</f>
        <v>8660</v>
      </c>
      <c r="F13" s="291">
        <v>8525.4</v>
      </c>
      <c r="G13" s="291">
        <v>8405.7999999999993</v>
      </c>
    </row>
    <row r="14" spans="1:7" ht="14.1" customHeight="1" x14ac:dyDescent="0.2">
      <c r="A14" s="19" t="s">
        <v>358</v>
      </c>
      <c r="B14" s="20">
        <v>5840</v>
      </c>
      <c r="C14" s="20">
        <v>38</v>
      </c>
      <c r="D14" s="20">
        <f t="shared" si="0"/>
        <v>5802</v>
      </c>
      <c r="E14" s="70">
        <f>'- 7 -'!E14</f>
        <v>5534.5199999999995</v>
      </c>
      <c r="F14" s="70">
        <v>5391.1</v>
      </c>
      <c r="G14" s="70">
        <v>5319.8</v>
      </c>
    </row>
    <row r="15" spans="1:7" ht="14.1" customHeight="1" x14ac:dyDescent="0.2">
      <c r="A15" s="284" t="s">
        <v>113</v>
      </c>
      <c r="B15" s="285">
        <v>1489</v>
      </c>
      <c r="C15" s="285">
        <v>0</v>
      </c>
      <c r="D15" s="285">
        <f t="shared" si="0"/>
        <v>1489</v>
      </c>
      <c r="E15" s="291">
        <f>'- 7 -'!E15</f>
        <v>1455.5</v>
      </c>
      <c r="F15" s="291">
        <v>1400.4</v>
      </c>
      <c r="G15" s="291">
        <v>1362.8</v>
      </c>
    </row>
    <row r="16" spans="1:7" ht="14.1" customHeight="1" x14ac:dyDescent="0.2">
      <c r="A16" s="19" t="s">
        <v>114</v>
      </c>
      <c r="B16" s="20">
        <v>987</v>
      </c>
      <c r="C16" s="20">
        <v>0</v>
      </c>
      <c r="D16" s="20">
        <f t="shared" si="0"/>
        <v>987</v>
      </c>
      <c r="E16" s="70">
        <f>'- 7 -'!E16</f>
        <v>910.1</v>
      </c>
      <c r="F16" s="70">
        <v>903.9</v>
      </c>
      <c r="G16" s="70">
        <v>893.9</v>
      </c>
    </row>
    <row r="17" spans="1:7" ht="14.1" customHeight="1" x14ac:dyDescent="0.2">
      <c r="A17" s="284" t="s">
        <v>115</v>
      </c>
      <c r="B17" s="285">
        <v>1474</v>
      </c>
      <c r="C17" s="285">
        <v>0</v>
      </c>
      <c r="D17" s="285">
        <f t="shared" si="0"/>
        <v>1474</v>
      </c>
      <c r="E17" s="291">
        <f>'- 7 -'!E17</f>
        <v>1429.5</v>
      </c>
      <c r="F17" s="291">
        <v>1356.5</v>
      </c>
      <c r="G17" s="291">
        <v>1320.8</v>
      </c>
    </row>
    <row r="18" spans="1:7" ht="14.1" customHeight="1" x14ac:dyDescent="0.2">
      <c r="A18" s="19" t="s">
        <v>116</v>
      </c>
      <c r="B18" s="20">
        <v>6670</v>
      </c>
      <c r="C18" s="20">
        <v>439</v>
      </c>
      <c r="D18" s="20">
        <f t="shared" si="0"/>
        <v>6231</v>
      </c>
      <c r="E18" s="70">
        <f>'- 7 -'!E18</f>
        <v>5956.5</v>
      </c>
      <c r="F18" s="70">
        <v>2132.1</v>
      </c>
      <c r="G18" s="70">
        <v>2200.4</v>
      </c>
    </row>
    <row r="19" spans="1:7" ht="14.1" customHeight="1" x14ac:dyDescent="0.2">
      <c r="A19" s="284" t="s">
        <v>117</v>
      </c>
      <c r="B19" s="285">
        <v>4549</v>
      </c>
      <c r="C19" s="285">
        <v>0</v>
      </c>
      <c r="D19" s="285">
        <f t="shared" si="0"/>
        <v>4549</v>
      </c>
      <c r="E19" s="291">
        <f>'- 7 -'!E19</f>
        <v>4404.3</v>
      </c>
      <c r="F19" s="291">
        <v>4370.7999999999993</v>
      </c>
      <c r="G19" s="291">
        <v>4387.5</v>
      </c>
    </row>
    <row r="20" spans="1:7" ht="14.1" customHeight="1" x14ac:dyDescent="0.2">
      <c r="A20" s="19" t="s">
        <v>118</v>
      </c>
      <c r="B20" s="20">
        <v>8353</v>
      </c>
      <c r="C20" s="20">
        <v>0</v>
      </c>
      <c r="D20" s="20">
        <f t="shared" si="0"/>
        <v>8353</v>
      </c>
      <c r="E20" s="70">
        <f>'- 7 -'!E20</f>
        <v>8020.5</v>
      </c>
      <c r="F20" s="70">
        <v>7878.3</v>
      </c>
      <c r="G20" s="70">
        <v>7787.6</v>
      </c>
    </row>
    <row r="21" spans="1:7" ht="14.1" customHeight="1" x14ac:dyDescent="0.2">
      <c r="A21" s="284" t="s">
        <v>119</v>
      </c>
      <c r="B21" s="285">
        <v>2931</v>
      </c>
      <c r="C21" s="285">
        <v>0</v>
      </c>
      <c r="D21" s="285">
        <f t="shared" si="0"/>
        <v>2931</v>
      </c>
      <c r="E21" s="291">
        <f>'- 7 -'!E21</f>
        <v>2823</v>
      </c>
      <c r="F21" s="291">
        <v>2835.8</v>
      </c>
      <c r="G21" s="291">
        <v>2780.8</v>
      </c>
    </row>
    <row r="22" spans="1:7" ht="14.1" customHeight="1" x14ac:dyDescent="0.2">
      <c r="A22" s="19" t="s">
        <v>120</v>
      </c>
      <c r="B22" s="20">
        <v>1518</v>
      </c>
      <c r="C22" s="20">
        <v>0</v>
      </c>
      <c r="D22" s="20">
        <f t="shared" si="0"/>
        <v>1518</v>
      </c>
      <c r="E22" s="70">
        <f>'- 7 -'!E22</f>
        <v>1535</v>
      </c>
      <c r="F22" s="70">
        <v>1468.6</v>
      </c>
      <c r="G22" s="70">
        <v>1493.4</v>
      </c>
    </row>
    <row r="23" spans="1:7" ht="14.1" customHeight="1" x14ac:dyDescent="0.2">
      <c r="A23" s="284" t="s">
        <v>121</v>
      </c>
      <c r="B23" s="285">
        <v>978</v>
      </c>
      <c r="C23" s="285">
        <v>0</v>
      </c>
      <c r="D23" s="285">
        <f t="shared" si="0"/>
        <v>978</v>
      </c>
      <c r="E23" s="291">
        <f>'- 7 -'!E23</f>
        <v>938.8</v>
      </c>
      <c r="F23" s="291">
        <v>938.5</v>
      </c>
      <c r="G23" s="291">
        <v>955</v>
      </c>
    </row>
    <row r="24" spans="1:7" ht="14.1" customHeight="1" x14ac:dyDescent="0.2">
      <c r="A24" s="19" t="s">
        <v>122</v>
      </c>
      <c r="B24" s="20">
        <v>3883</v>
      </c>
      <c r="C24" s="20">
        <v>0</v>
      </c>
      <c r="D24" s="20">
        <f t="shared" si="0"/>
        <v>3883</v>
      </c>
      <c r="E24" s="70">
        <f>'- 7 -'!E24</f>
        <v>3744.5</v>
      </c>
      <c r="F24" s="70">
        <v>3756.1</v>
      </c>
      <c r="G24" s="70">
        <v>3815.3</v>
      </c>
    </row>
    <row r="25" spans="1:7" ht="14.1" customHeight="1" x14ac:dyDescent="0.2">
      <c r="A25" s="284" t="s">
        <v>123</v>
      </c>
      <c r="B25" s="285">
        <v>15619</v>
      </c>
      <c r="C25" s="285">
        <v>0</v>
      </c>
      <c r="D25" s="285">
        <f t="shared" si="0"/>
        <v>15619</v>
      </c>
      <c r="E25" s="291">
        <f>'- 7 -'!E25</f>
        <v>15011.099999999999</v>
      </c>
      <c r="F25" s="291">
        <v>14559.7</v>
      </c>
      <c r="G25" s="291">
        <v>14338.7</v>
      </c>
    </row>
    <row r="26" spans="1:7" ht="14.1" customHeight="1" x14ac:dyDescent="0.2">
      <c r="A26" s="19" t="s">
        <v>124</v>
      </c>
      <c r="B26" s="20">
        <v>3183</v>
      </c>
      <c r="C26" s="20">
        <v>0</v>
      </c>
      <c r="D26" s="20">
        <f t="shared" si="0"/>
        <v>3183</v>
      </c>
      <c r="E26" s="70">
        <f>'- 7 -'!E26</f>
        <v>3062.5</v>
      </c>
      <c r="F26" s="70">
        <v>2881.5</v>
      </c>
      <c r="G26" s="70">
        <v>2846.2</v>
      </c>
    </row>
    <row r="27" spans="1:7" ht="14.1" customHeight="1" x14ac:dyDescent="0.2">
      <c r="A27" s="284" t="s">
        <v>125</v>
      </c>
      <c r="B27" s="285">
        <v>3153</v>
      </c>
      <c r="C27" s="285">
        <v>0</v>
      </c>
      <c r="D27" s="285">
        <f t="shared" si="0"/>
        <v>3153</v>
      </c>
      <c r="E27" s="291">
        <f>'- 7 -'!E27</f>
        <v>3022.66</v>
      </c>
      <c r="F27" s="291">
        <v>2927.4</v>
      </c>
      <c r="G27" s="291">
        <v>2983.9</v>
      </c>
    </row>
    <row r="28" spans="1:7" ht="14.1" customHeight="1" x14ac:dyDescent="0.2">
      <c r="A28" s="19" t="s">
        <v>126</v>
      </c>
      <c r="B28" s="20">
        <v>2098</v>
      </c>
      <c r="C28" s="20">
        <v>29</v>
      </c>
      <c r="D28" s="20">
        <f t="shared" si="0"/>
        <v>2069</v>
      </c>
      <c r="E28" s="70">
        <f>'- 7 -'!E28</f>
        <v>1988</v>
      </c>
      <c r="F28" s="70">
        <v>1483.7</v>
      </c>
      <c r="G28" s="70">
        <v>1463.6</v>
      </c>
    </row>
    <row r="29" spans="1:7" ht="14.1" customHeight="1" x14ac:dyDescent="0.2">
      <c r="A29" s="284" t="s">
        <v>127</v>
      </c>
      <c r="B29" s="285">
        <v>14916</v>
      </c>
      <c r="C29" s="285">
        <v>0</v>
      </c>
      <c r="D29" s="285">
        <f t="shared" si="0"/>
        <v>14916</v>
      </c>
      <c r="E29" s="291">
        <f>'- 7 -'!E29</f>
        <v>14315.5</v>
      </c>
      <c r="F29" s="291">
        <v>13661.2</v>
      </c>
      <c r="G29" s="291">
        <v>13192.699999999999</v>
      </c>
    </row>
    <row r="30" spans="1:7" ht="14.1" customHeight="1" x14ac:dyDescent="0.2">
      <c r="A30" s="19" t="s">
        <v>128</v>
      </c>
      <c r="B30" s="20">
        <v>1068</v>
      </c>
      <c r="C30" s="20">
        <v>0</v>
      </c>
      <c r="D30" s="20">
        <f t="shared" si="0"/>
        <v>1068</v>
      </c>
      <c r="E30" s="70">
        <f>'- 7 -'!E30</f>
        <v>1025.5</v>
      </c>
      <c r="F30" s="70">
        <v>1023.5</v>
      </c>
      <c r="G30" s="70">
        <v>1007.2</v>
      </c>
    </row>
    <row r="31" spans="1:7" ht="14.1" customHeight="1" x14ac:dyDescent="0.2">
      <c r="A31" s="284" t="s">
        <v>129</v>
      </c>
      <c r="B31" s="285">
        <v>3463</v>
      </c>
      <c r="C31" s="285">
        <v>0</v>
      </c>
      <c r="D31" s="285">
        <f t="shared" si="0"/>
        <v>3463</v>
      </c>
      <c r="E31" s="291">
        <f>'- 7 -'!E31</f>
        <v>3334</v>
      </c>
      <c r="F31" s="291">
        <v>3043.2</v>
      </c>
      <c r="G31" s="291">
        <v>3109.4</v>
      </c>
    </row>
    <row r="32" spans="1:7" ht="14.1" customHeight="1" x14ac:dyDescent="0.2">
      <c r="A32" s="19" t="s">
        <v>130</v>
      </c>
      <c r="B32" s="20">
        <v>2376</v>
      </c>
      <c r="C32" s="20">
        <v>0</v>
      </c>
      <c r="D32" s="20">
        <f t="shared" si="0"/>
        <v>2376</v>
      </c>
      <c r="E32" s="70">
        <f>'- 7 -'!E32</f>
        <v>2276</v>
      </c>
      <c r="F32" s="70">
        <v>2226</v>
      </c>
      <c r="G32" s="70">
        <v>2184.3000000000002</v>
      </c>
    </row>
    <row r="33" spans="1:8" ht="14.1" customHeight="1" x14ac:dyDescent="0.2">
      <c r="A33" s="284" t="s">
        <v>131</v>
      </c>
      <c r="B33" s="285">
        <v>2143</v>
      </c>
      <c r="C33" s="285">
        <v>0</v>
      </c>
      <c r="D33" s="285">
        <f t="shared" si="0"/>
        <v>2143</v>
      </c>
      <c r="E33" s="291">
        <f>'- 7 -'!E33</f>
        <v>2053.1999999999998</v>
      </c>
      <c r="F33" s="291">
        <v>1996.3</v>
      </c>
      <c r="G33" s="291">
        <v>2057.7999999999997</v>
      </c>
    </row>
    <row r="34" spans="1:8" ht="14.1" customHeight="1" x14ac:dyDescent="0.2">
      <c r="A34" s="19" t="s">
        <v>132</v>
      </c>
      <c r="B34" s="20">
        <v>2324</v>
      </c>
      <c r="C34" s="20">
        <v>0</v>
      </c>
      <c r="D34" s="20">
        <f t="shared" si="0"/>
        <v>2324</v>
      </c>
      <c r="E34" s="70">
        <f>'- 7 -'!E34</f>
        <v>2223.7999999999997</v>
      </c>
      <c r="F34" s="70">
        <v>2180.6</v>
      </c>
      <c r="G34" s="70">
        <v>2097.8000000000002</v>
      </c>
    </row>
    <row r="35" spans="1:8" ht="14.1" customHeight="1" x14ac:dyDescent="0.2">
      <c r="A35" s="284" t="s">
        <v>133</v>
      </c>
      <c r="B35" s="285">
        <v>16851</v>
      </c>
      <c r="C35" s="285">
        <v>0</v>
      </c>
      <c r="D35" s="285">
        <f t="shared" si="0"/>
        <v>16851</v>
      </c>
      <c r="E35" s="291">
        <f>'- 7 -'!E35</f>
        <v>16214.5</v>
      </c>
      <c r="F35" s="291">
        <v>15899.5</v>
      </c>
      <c r="G35" s="291">
        <v>15713.5</v>
      </c>
    </row>
    <row r="36" spans="1:8" ht="14.1" customHeight="1" x14ac:dyDescent="0.2">
      <c r="A36" s="19" t="s">
        <v>134</v>
      </c>
      <c r="B36" s="20">
        <v>1795</v>
      </c>
      <c r="C36" s="20">
        <v>0</v>
      </c>
      <c r="D36" s="20">
        <f t="shared" si="0"/>
        <v>1795</v>
      </c>
      <c r="E36" s="70">
        <f>'- 7 -'!E36</f>
        <v>1716.5</v>
      </c>
      <c r="F36" s="70">
        <v>1578.6999999999998</v>
      </c>
      <c r="G36" s="70">
        <v>1575.6</v>
      </c>
    </row>
    <row r="37" spans="1:8" ht="14.1" customHeight="1" x14ac:dyDescent="0.2">
      <c r="A37" s="284" t="s">
        <v>135</v>
      </c>
      <c r="B37" s="285">
        <v>4481</v>
      </c>
      <c r="C37" s="285">
        <v>0</v>
      </c>
      <c r="D37" s="285">
        <f t="shared" si="0"/>
        <v>4481</v>
      </c>
      <c r="E37" s="291">
        <f>'- 7 -'!E37</f>
        <v>4277.3999999999996</v>
      </c>
      <c r="F37" s="291">
        <v>4329.3</v>
      </c>
      <c r="G37" s="291">
        <v>4186.1000000000004</v>
      </c>
    </row>
    <row r="38" spans="1:8" ht="14.1" customHeight="1" x14ac:dyDescent="0.2">
      <c r="A38" s="19" t="s">
        <v>136</v>
      </c>
      <c r="B38" s="20">
        <v>11800</v>
      </c>
      <c r="C38" s="20">
        <v>0</v>
      </c>
      <c r="D38" s="20">
        <f t="shared" si="0"/>
        <v>11800</v>
      </c>
      <c r="E38" s="70">
        <f>'- 7 -'!E38</f>
        <v>11462</v>
      </c>
      <c r="F38" s="70">
        <v>11128.7</v>
      </c>
      <c r="G38" s="70">
        <v>10975.2</v>
      </c>
    </row>
    <row r="39" spans="1:8" ht="14.1" customHeight="1" x14ac:dyDescent="0.2">
      <c r="A39" s="284" t="s">
        <v>137</v>
      </c>
      <c r="B39" s="285">
        <v>1565</v>
      </c>
      <c r="C39" s="285">
        <v>0</v>
      </c>
      <c r="D39" s="285">
        <f t="shared" si="0"/>
        <v>1565</v>
      </c>
      <c r="E39" s="291">
        <f>'- 7 -'!E39</f>
        <v>1497</v>
      </c>
      <c r="F39" s="291">
        <v>1485.4</v>
      </c>
      <c r="G39" s="291">
        <v>1513</v>
      </c>
    </row>
    <row r="40" spans="1:8" ht="14.1" customHeight="1" x14ac:dyDescent="0.2">
      <c r="A40" s="19" t="s">
        <v>138</v>
      </c>
      <c r="B40" s="20">
        <v>8459</v>
      </c>
      <c r="C40" s="20">
        <v>0</v>
      </c>
      <c r="D40" s="20">
        <f t="shared" si="0"/>
        <v>8459</v>
      </c>
      <c r="E40" s="70">
        <f>'- 7 -'!E40</f>
        <v>8160.0700000000006</v>
      </c>
      <c r="F40" s="70">
        <v>8061.2</v>
      </c>
      <c r="G40" s="70">
        <v>7973.3</v>
      </c>
    </row>
    <row r="41" spans="1:8" ht="14.1" customHeight="1" x14ac:dyDescent="0.2">
      <c r="A41" s="284" t="s">
        <v>139</v>
      </c>
      <c r="B41" s="285">
        <v>4702</v>
      </c>
      <c r="C41" s="285">
        <v>0</v>
      </c>
      <c r="D41" s="285">
        <f t="shared" si="0"/>
        <v>4702</v>
      </c>
      <c r="E41" s="291">
        <f>'- 7 -'!E41</f>
        <v>4498</v>
      </c>
      <c r="F41" s="291">
        <v>4395.8999999999996</v>
      </c>
      <c r="G41" s="291">
        <v>4402</v>
      </c>
    </row>
    <row r="42" spans="1:8" ht="14.1" customHeight="1" x14ac:dyDescent="0.2">
      <c r="A42" s="19" t="s">
        <v>140</v>
      </c>
      <c r="B42" s="20">
        <v>1416</v>
      </c>
      <c r="C42" s="20">
        <v>0</v>
      </c>
      <c r="D42" s="20">
        <f t="shared" si="0"/>
        <v>1416</v>
      </c>
      <c r="E42" s="70">
        <f>'- 7 -'!E42</f>
        <v>1370.1000000000001</v>
      </c>
      <c r="F42" s="70">
        <v>1354.5</v>
      </c>
      <c r="G42" s="70">
        <v>1369.5</v>
      </c>
    </row>
    <row r="43" spans="1:8" ht="14.1" customHeight="1" x14ac:dyDescent="0.2">
      <c r="A43" s="284" t="s">
        <v>141</v>
      </c>
      <c r="B43" s="285">
        <v>1043</v>
      </c>
      <c r="C43" s="285">
        <v>0</v>
      </c>
      <c r="D43" s="285">
        <f t="shared" si="0"/>
        <v>1043</v>
      </c>
      <c r="E43" s="291">
        <f>'- 7 -'!E43</f>
        <v>1002.5</v>
      </c>
      <c r="F43" s="291">
        <v>991.5</v>
      </c>
      <c r="G43" s="291">
        <v>969</v>
      </c>
    </row>
    <row r="44" spans="1:8" ht="14.1" customHeight="1" x14ac:dyDescent="0.2">
      <c r="A44" s="19" t="s">
        <v>142</v>
      </c>
      <c r="B44" s="20">
        <v>732</v>
      </c>
      <c r="C44" s="20">
        <v>9</v>
      </c>
      <c r="D44" s="20">
        <f t="shared" si="0"/>
        <v>723</v>
      </c>
      <c r="E44" s="70">
        <f>'- 7 -'!E44</f>
        <v>692</v>
      </c>
      <c r="F44" s="70">
        <v>708.2</v>
      </c>
      <c r="G44" s="70">
        <v>693.8</v>
      </c>
    </row>
    <row r="45" spans="1:8" ht="14.1" customHeight="1" x14ac:dyDescent="0.2">
      <c r="A45" s="284" t="s">
        <v>143</v>
      </c>
      <c r="B45" s="285">
        <v>2009</v>
      </c>
      <c r="C45" s="285">
        <v>0</v>
      </c>
      <c r="D45" s="285">
        <f t="shared" si="0"/>
        <v>2009</v>
      </c>
      <c r="E45" s="291">
        <f>'- 7 -'!E45</f>
        <v>1915</v>
      </c>
      <c r="F45" s="291">
        <v>1779.1</v>
      </c>
      <c r="G45" s="291">
        <v>1700.3999999999999</v>
      </c>
    </row>
    <row r="46" spans="1:8" ht="14.1" customHeight="1" x14ac:dyDescent="0.2">
      <c r="A46" s="19" t="s">
        <v>144</v>
      </c>
      <c r="B46" s="20">
        <v>32743</v>
      </c>
      <c r="C46" s="20">
        <v>1693</v>
      </c>
      <c r="D46" s="20">
        <f t="shared" si="0"/>
        <v>31050</v>
      </c>
      <c r="E46" s="70">
        <f>'- 7 -'!E46</f>
        <v>29539.7</v>
      </c>
      <c r="F46" s="70">
        <v>29503.8</v>
      </c>
      <c r="G46" s="70">
        <v>29669.699999999997</v>
      </c>
    </row>
    <row r="47" spans="1:8" ht="5.0999999999999996" customHeight="1" x14ac:dyDescent="0.2">
      <c r="A47"/>
      <c r="B47"/>
      <c r="C47"/>
      <c r="D47"/>
      <c r="E47"/>
      <c r="F47"/>
      <c r="G47"/>
      <c r="H47"/>
    </row>
    <row r="48" spans="1:8" ht="14.1" customHeight="1" x14ac:dyDescent="0.2">
      <c r="A48" s="286" t="s">
        <v>145</v>
      </c>
      <c r="B48" s="287">
        <f t="shared" ref="B48:G48" si="1">SUM(B11:B46)</f>
        <v>189903</v>
      </c>
      <c r="C48" s="287">
        <f t="shared" si="1"/>
        <v>2208</v>
      </c>
      <c r="D48" s="287">
        <f t="shared" si="1"/>
        <v>187695</v>
      </c>
      <c r="E48" s="294">
        <f t="shared" si="1"/>
        <v>180224.61000000002</v>
      </c>
      <c r="F48" s="294">
        <f t="shared" si="1"/>
        <v>172009.60000000001</v>
      </c>
      <c r="G48" s="294">
        <f t="shared" si="1"/>
        <v>170502.3</v>
      </c>
      <c r="H48" s="501"/>
    </row>
    <row r="49" spans="1:7" ht="5.0999999999999996" customHeight="1" x14ac:dyDescent="0.2">
      <c r="A49" s="21" t="s">
        <v>7</v>
      </c>
      <c r="B49" s="22"/>
      <c r="C49" s="22"/>
      <c r="D49" s="22"/>
      <c r="E49" s="71"/>
      <c r="F49" s="71"/>
      <c r="G49" s="71"/>
    </row>
    <row r="50" spans="1:7" ht="14.1" customHeight="1" x14ac:dyDescent="0.2">
      <c r="A50" s="284" t="s">
        <v>146</v>
      </c>
      <c r="B50" s="285">
        <v>211</v>
      </c>
      <c r="C50" s="285">
        <v>12</v>
      </c>
      <c r="D50" s="285">
        <f>+B50-C50</f>
        <v>199</v>
      </c>
      <c r="E50" s="291">
        <f>'- 7 -'!E50</f>
        <v>190</v>
      </c>
      <c r="F50" s="291">
        <v>176.5</v>
      </c>
      <c r="G50" s="291">
        <v>154</v>
      </c>
    </row>
    <row r="51" spans="1:7" ht="14.1" customHeight="1" x14ac:dyDescent="0.2">
      <c r="A51" s="19" t="s">
        <v>599</v>
      </c>
      <c r="B51" s="20"/>
      <c r="C51" s="20"/>
      <c r="D51" s="20">
        <f>+B51-C51</f>
        <v>0</v>
      </c>
      <c r="E51" s="70">
        <f>'- 7 -'!E51</f>
        <v>1234</v>
      </c>
      <c r="F51" s="70"/>
      <c r="G51" s="70"/>
    </row>
    <row r="52" spans="1:7" ht="50.1" customHeight="1" x14ac:dyDescent="0.2">
      <c r="A52" s="23"/>
      <c r="B52" s="23"/>
      <c r="C52" s="23"/>
      <c r="D52" s="23"/>
      <c r="E52" s="23"/>
      <c r="F52" s="79"/>
      <c r="G52" s="79"/>
    </row>
    <row r="53" spans="1:7" ht="15" customHeight="1" x14ac:dyDescent="0.2">
      <c r="A53" s="2" t="s">
        <v>241</v>
      </c>
      <c r="C53" s="80"/>
      <c r="D53" s="80"/>
      <c r="E53" s="80"/>
      <c r="F53" s="80"/>
    </row>
    <row r="54" spans="1:7" ht="12" customHeight="1" x14ac:dyDescent="0.2">
      <c r="A54" s="626" t="s">
        <v>626</v>
      </c>
      <c r="B54" s="626"/>
      <c r="C54" s="626"/>
      <c r="D54" s="626"/>
      <c r="E54" s="626"/>
      <c r="F54" s="626"/>
      <c r="G54" s="626"/>
    </row>
    <row r="55" spans="1:7" ht="12" customHeight="1" x14ac:dyDescent="0.2">
      <c r="A55" s="626"/>
      <c r="B55" s="626"/>
      <c r="C55" s="626"/>
      <c r="D55" s="626"/>
      <c r="E55" s="626"/>
      <c r="F55" s="626"/>
      <c r="G55" s="626"/>
    </row>
    <row r="56" spans="1:7" ht="12" customHeight="1" x14ac:dyDescent="0.2">
      <c r="A56" s="599" t="s">
        <v>645</v>
      </c>
      <c r="B56" s="599"/>
      <c r="C56" s="599"/>
      <c r="D56" s="599"/>
      <c r="E56" s="599"/>
      <c r="F56" s="599"/>
      <c r="G56" s="599"/>
    </row>
    <row r="57" spans="1:7" x14ac:dyDescent="0.2">
      <c r="A57" s="599"/>
      <c r="B57" s="599"/>
      <c r="C57" s="599"/>
      <c r="D57" s="599"/>
      <c r="E57" s="599"/>
      <c r="F57" s="599"/>
      <c r="G57" s="599"/>
    </row>
  </sheetData>
  <mergeCells count="9">
    <mergeCell ref="F8:F9"/>
    <mergeCell ref="G8:G9"/>
    <mergeCell ref="A56:G57"/>
    <mergeCell ref="A54:G55"/>
    <mergeCell ref="B7:D7"/>
    <mergeCell ref="B8:B9"/>
    <mergeCell ref="C8:C9"/>
    <mergeCell ref="D8:D9"/>
    <mergeCell ref="E8:E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49"/>
  <dimension ref="A1:AD91"/>
  <sheetViews>
    <sheetView showGridLines="0" defaultGridColor="0" colorId="22" workbookViewId="0">
      <pane xSplit="1" ySplit="10" topLeftCell="B11" activePane="bottomRight" state="frozen"/>
      <selection activeCell="D22" sqref="D22"/>
      <selection pane="topRight" activeCell="D22" sqref="D22"/>
      <selection pane="bottomLeft" activeCell="D22" sqref="D22"/>
      <selection pane="bottomRight" sqref="A1:AF1048576"/>
    </sheetView>
  </sheetViews>
  <sheetFormatPr defaultColWidth="15.83203125" defaultRowHeight="12" x14ac:dyDescent="0.2"/>
  <cols>
    <col min="1" max="1" width="5.83203125" style="2" customWidth="1"/>
    <col min="2" max="2" width="30.83203125" style="2" hidden="1" customWidth="1"/>
    <col min="3" max="15" width="15.83203125" style="2" hidden="1" customWidth="1"/>
    <col min="16" max="16" width="9.1640625" style="2" hidden="1" customWidth="1"/>
    <col min="17" max="18" width="15.83203125" style="2" hidden="1" customWidth="1"/>
    <col min="19" max="19" width="17.1640625" style="2" hidden="1" customWidth="1"/>
    <col min="20" max="21" width="15.83203125" style="2" hidden="1" customWidth="1"/>
    <col min="22" max="22" width="3.5" style="2" hidden="1" customWidth="1"/>
    <col min="23" max="23" width="0" style="2" hidden="1" customWidth="1"/>
    <col min="24" max="24" width="1.83203125" style="2" hidden="1" customWidth="1"/>
    <col min="25" max="25" width="21.33203125" style="2" hidden="1" customWidth="1"/>
    <col min="26" max="26" width="14.1640625" style="2" hidden="1" customWidth="1"/>
    <col min="27" max="27" width="2.1640625" style="2" hidden="1" customWidth="1"/>
    <col min="28" max="28" width="23.6640625" style="2" hidden="1" customWidth="1"/>
    <col min="29" max="31" width="0" style="2" hidden="1" customWidth="1"/>
    <col min="32" max="16384" width="15.83203125" style="2"/>
  </cols>
  <sheetData>
    <row r="1" spans="1:29" ht="6" customHeight="1" x14ac:dyDescent="0.2">
      <c r="A1" s="7"/>
      <c r="B1" s="205"/>
      <c r="C1" s="205"/>
      <c r="D1" s="205"/>
      <c r="E1" s="205"/>
      <c r="F1" s="205"/>
      <c r="G1" s="205"/>
      <c r="H1" s="205"/>
      <c r="I1" s="205"/>
      <c r="J1" s="205"/>
      <c r="K1" s="205"/>
      <c r="L1" s="205"/>
      <c r="M1" s="205"/>
      <c r="N1" s="205"/>
      <c r="O1" s="205"/>
      <c r="P1" s="205"/>
      <c r="Q1" s="205"/>
      <c r="R1" s="205"/>
      <c r="S1" s="205"/>
      <c r="T1" s="205"/>
      <c r="U1" s="205"/>
    </row>
    <row r="2" spans="1:29" x14ac:dyDescent="0.2">
      <c r="A2" s="205"/>
      <c r="B2" s="184"/>
      <c r="C2" s="184"/>
      <c r="D2" s="184"/>
      <c r="E2" s="184"/>
      <c r="F2" s="184"/>
      <c r="G2" s="184"/>
      <c r="H2" s="184"/>
      <c r="I2" s="184"/>
      <c r="J2" s="184"/>
      <c r="K2" s="184"/>
      <c r="L2" s="184"/>
      <c r="M2" s="184"/>
      <c r="N2" s="184"/>
      <c r="O2" s="184"/>
      <c r="P2" s="184"/>
      <c r="Q2" s="184"/>
      <c r="R2" s="184"/>
      <c r="S2" s="184"/>
      <c r="T2" s="184"/>
      <c r="U2" s="184"/>
    </row>
    <row r="3" spans="1:29" x14ac:dyDescent="0.2">
      <c r="A3" s="270" t="s">
        <v>49</v>
      </c>
      <c r="B3" s="2" t="s">
        <v>84</v>
      </c>
      <c r="C3" s="205"/>
      <c r="D3" s="205"/>
      <c r="E3" s="205"/>
      <c r="F3" s="205"/>
      <c r="G3" s="205"/>
      <c r="H3" s="205"/>
      <c r="I3" s="205"/>
      <c r="J3" s="205"/>
      <c r="K3" s="205"/>
      <c r="L3" s="205"/>
      <c r="M3" s="205"/>
      <c r="N3" s="205"/>
      <c r="O3" s="205"/>
      <c r="P3" s="205"/>
      <c r="Q3" s="205"/>
      <c r="R3" s="205"/>
      <c r="S3" s="205"/>
      <c r="T3" s="205"/>
      <c r="U3" s="205"/>
      <c r="W3" s="2" t="s">
        <v>642</v>
      </c>
    </row>
    <row r="4" spans="1:29" x14ac:dyDescent="0.2">
      <c r="A4" s="2" t="s">
        <v>333</v>
      </c>
      <c r="B4" s="276" t="s">
        <v>623</v>
      </c>
      <c r="C4" s="184"/>
      <c r="D4" s="184"/>
      <c r="E4" s="184"/>
      <c r="F4" s="184"/>
      <c r="G4" s="184"/>
      <c r="H4" s="184"/>
      <c r="I4" s="184"/>
      <c r="J4" s="184"/>
      <c r="K4" s="184"/>
      <c r="L4" s="184"/>
      <c r="M4" s="184"/>
      <c r="N4" s="184"/>
      <c r="O4" s="184"/>
      <c r="P4" s="184"/>
      <c r="Q4" s="184"/>
      <c r="R4" s="184"/>
      <c r="S4" s="184"/>
      <c r="T4" s="184"/>
      <c r="U4" s="184"/>
      <c r="W4" s="133" t="s">
        <v>643</v>
      </c>
    </row>
    <row r="5" spans="1:29" x14ac:dyDescent="0.2">
      <c r="A5" s="2" t="s">
        <v>332</v>
      </c>
      <c r="B5" s="276" t="s">
        <v>634</v>
      </c>
      <c r="C5" s="271" t="s">
        <v>33</v>
      </c>
      <c r="D5" s="272"/>
      <c r="E5" s="272"/>
      <c r="F5" s="272"/>
      <c r="G5" s="272"/>
      <c r="H5" s="272"/>
      <c r="I5" s="272"/>
      <c r="J5" s="272"/>
      <c r="K5" s="272"/>
      <c r="L5" s="272"/>
      <c r="M5" s="273"/>
      <c r="N5" s="184"/>
      <c r="O5" s="184"/>
      <c r="P5" s="184"/>
      <c r="Q5" s="184"/>
      <c r="R5" s="184"/>
      <c r="S5" s="184"/>
      <c r="T5" s="184"/>
      <c r="U5" s="184"/>
      <c r="W5" s="2" t="s">
        <v>373</v>
      </c>
    </row>
    <row r="6" spans="1:29" x14ac:dyDescent="0.2">
      <c r="A6" s="2" t="s">
        <v>4</v>
      </c>
      <c r="B6" s="489">
        <v>2019</v>
      </c>
      <c r="N6" s="881" t="s">
        <v>611</v>
      </c>
      <c r="O6" s="579"/>
      <c r="W6" s="133" t="s">
        <v>641</v>
      </c>
      <c r="AB6" s="2" t="s">
        <v>633</v>
      </c>
    </row>
    <row r="7" spans="1:29" x14ac:dyDescent="0.2">
      <c r="A7" s="2" t="s">
        <v>5</v>
      </c>
      <c r="B7" s="274" t="str">
        <f>TEXT((B6+1),"0")</f>
        <v>2020</v>
      </c>
      <c r="M7" s="4" t="s">
        <v>235</v>
      </c>
      <c r="N7" s="881"/>
      <c r="O7" s="579"/>
      <c r="P7" s="4"/>
      <c r="Q7" s="4" t="s">
        <v>427</v>
      </c>
      <c r="R7" s="4" t="s">
        <v>31</v>
      </c>
      <c r="S7" s="4" t="s">
        <v>432</v>
      </c>
      <c r="T7" s="4"/>
      <c r="U7" s="4"/>
      <c r="W7" s="2" t="s">
        <v>370</v>
      </c>
      <c r="Y7" s="546" t="s">
        <v>607</v>
      </c>
      <c r="AB7" s="4" t="s">
        <v>31</v>
      </c>
    </row>
    <row r="8" spans="1:29" x14ac:dyDescent="0.2">
      <c r="C8" s="275" t="s">
        <v>40</v>
      </c>
      <c r="D8" s="8"/>
      <c r="E8" s="8"/>
      <c r="F8" s="8"/>
      <c r="G8" s="8"/>
      <c r="H8" s="8"/>
      <c r="I8" s="8"/>
      <c r="J8" s="8">
        <v>700</v>
      </c>
      <c r="K8" s="4" t="s">
        <v>31</v>
      </c>
      <c r="L8" s="4" t="s">
        <v>232</v>
      </c>
      <c r="M8" s="4" t="s">
        <v>233</v>
      </c>
      <c r="N8" s="881"/>
      <c r="O8" s="579" t="s">
        <v>612</v>
      </c>
      <c r="P8" s="4" t="s">
        <v>617</v>
      </c>
      <c r="Q8" s="4" t="s">
        <v>428</v>
      </c>
      <c r="R8" s="4" t="s">
        <v>59</v>
      </c>
      <c r="S8" s="4" t="s">
        <v>433</v>
      </c>
      <c r="T8" s="4" t="s">
        <v>432</v>
      </c>
      <c r="U8" s="4"/>
      <c r="W8" s="2" t="s">
        <v>371</v>
      </c>
      <c r="Y8" s="526" t="s">
        <v>329</v>
      </c>
      <c r="Z8" s="2" t="s">
        <v>330</v>
      </c>
      <c r="AB8" s="4" t="s">
        <v>41</v>
      </c>
      <c r="AC8" s="545" t="s">
        <v>41</v>
      </c>
    </row>
    <row r="9" spans="1:29" x14ac:dyDescent="0.2">
      <c r="A9" s="276" t="s">
        <v>149</v>
      </c>
      <c r="B9" s="2" t="s">
        <v>150</v>
      </c>
      <c r="C9" s="2">
        <v>100</v>
      </c>
      <c r="D9" s="2">
        <v>200</v>
      </c>
      <c r="E9" s="2">
        <v>300</v>
      </c>
      <c r="F9" s="2">
        <v>400</v>
      </c>
      <c r="G9" s="2">
        <v>500</v>
      </c>
      <c r="H9" s="2">
        <v>600</v>
      </c>
      <c r="I9" s="2">
        <v>700</v>
      </c>
      <c r="J9" s="4" t="s">
        <v>46</v>
      </c>
      <c r="K9" s="4" t="s">
        <v>47</v>
      </c>
      <c r="L9" s="4" t="s">
        <v>88</v>
      </c>
      <c r="M9" s="4" t="s">
        <v>103</v>
      </c>
      <c r="N9" s="881"/>
      <c r="O9" s="579" t="s">
        <v>613</v>
      </c>
      <c r="P9" s="4" t="s">
        <v>618</v>
      </c>
      <c r="Q9" s="4" t="s">
        <v>429</v>
      </c>
      <c r="R9" s="4" t="s">
        <v>65</v>
      </c>
      <c r="S9" s="4" t="s">
        <v>434</v>
      </c>
      <c r="T9" s="4" t="s">
        <v>435</v>
      </c>
      <c r="U9" s="4" t="s">
        <v>436</v>
      </c>
      <c r="W9" s="2" t="s">
        <v>372</v>
      </c>
      <c r="Y9" s="526" t="s">
        <v>63</v>
      </c>
      <c r="Z9" s="2" t="s">
        <v>63</v>
      </c>
      <c r="AB9" s="415" t="s">
        <v>646</v>
      </c>
      <c r="AC9" s="4" t="s">
        <v>395</v>
      </c>
    </row>
    <row r="10" spans="1:29" x14ac:dyDescent="0.2">
      <c r="C10" s="549" t="s">
        <v>418</v>
      </c>
      <c r="D10" s="549" t="s">
        <v>420</v>
      </c>
      <c r="E10" s="549" t="s">
        <v>421</v>
      </c>
      <c r="F10" s="549" t="s">
        <v>422</v>
      </c>
      <c r="G10" s="549" t="s">
        <v>423</v>
      </c>
      <c r="H10" s="549" t="s">
        <v>424</v>
      </c>
      <c r="I10" s="549" t="s">
        <v>419</v>
      </c>
      <c r="J10" s="549" t="s">
        <v>417</v>
      </c>
      <c r="L10" s="549" t="s">
        <v>425</v>
      </c>
      <c r="M10" s="549" t="s">
        <v>426</v>
      </c>
      <c r="N10" s="549" t="s">
        <v>614</v>
      </c>
      <c r="O10" s="549" t="s">
        <v>613</v>
      </c>
      <c r="P10" s="549"/>
      <c r="Q10" s="549" t="s">
        <v>430</v>
      </c>
      <c r="R10" s="549" t="s">
        <v>431</v>
      </c>
      <c r="S10" s="549" t="s">
        <v>437</v>
      </c>
      <c r="T10" s="549" t="s">
        <v>438</v>
      </c>
      <c r="U10" s="549" t="s">
        <v>439</v>
      </c>
    </row>
    <row r="11" spans="1:29" ht="10.9" customHeight="1" x14ac:dyDescent="0.2">
      <c r="A11" s="274" t="s">
        <v>151</v>
      </c>
      <c r="B11" s="2" t="s">
        <v>110</v>
      </c>
      <c r="C11" s="57">
        <v>72260</v>
      </c>
      <c r="D11" s="57">
        <v>0</v>
      </c>
      <c r="E11" s="57">
        <v>0</v>
      </c>
      <c r="F11" s="57">
        <v>0</v>
      </c>
      <c r="G11" s="57">
        <v>0</v>
      </c>
      <c r="H11" s="57">
        <v>4905</v>
      </c>
      <c r="I11" s="57">
        <v>0</v>
      </c>
      <c r="J11" s="57">
        <v>0</v>
      </c>
      <c r="K11" s="57">
        <f t="shared" ref="K11:K42" si="0">SUM(C11:I11)-J11</f>
        <v>77165</v>
      </c>
      <c r="L11" s="57">
        <v>19126</v>
      </c>
      <c r="M11" s="57">
        <v>0</v>
      </c>
      <c r="N11" s="57">
        <v>0</v>
      </c>
      <c r="O11" s="57">
        <v>0</v>
      </c>
      <c r="P11" s="584">
        <v>3.39</v>
      </c>
      <c r="Q11" s="57">
        <v>0</v>
      </c>
      <c r="R11" s="57">
        <v>2550371</v>
      </c>
      <c r="S11" s="57">
        <v>190355</v>
      </c>
      <c r="T11" s="57">
        <v>307800</v>
      </c>
      <c r="U11" s="57">
        <v>295820</v>
      </c>
      <c r="W11" s="2">
        <v>442823</v>
      </c>
      <c r="Y11" s="2">
        <v>9565500</v>
      </c>
      <c r="Z11" s="2">
        <v>9229279</v>
      </c>
      <c r="AB11" s="2">
        <v>277365</v>
      </c>
    </row>
    <row r="12" spans="1:29" ht="10.9" customHeight="1" x14ac:dyDescent="0.2">
      <c r="A12" s="274" t="s">
        <v>152</v>
      </c>
      <c r="B12" s="2" t="s">
        <v>111</v>
      </c>
      <c r="C12" s="57">
        <v>544613</v>
      </c>
      <c r="D12" s="57">
        <v>0</v>
      </c>
      <c r="E12" s="57">
        <v>33859</v>
      </c>
      <c r="F12" s="57">
        <v>0</v>
      </c>
      <c r="G12" s="57">
        <v>0</v>
      </c>
      <c r="H12" s="57">
        <v>0</v>
      </c>
      <c r="I12" s="57">
        <v>0</v>
      </c>
      <c r="J12" s="57">
        <v>0</v>
      </c>
      <c r="K12" s="57">
        <f t="shared" si="0"/>
        <v>578472</v>
      </c>
      <c r="L12" s="57">
        <v>10375</v>
      </c>
      <c r="M12" s="57">
        <v>0</v>
      </c>
      <c r="N12" s="57">
        <v>0</v>
      </c>
      <c r="O12" s="57">
        <v>0</v>
      </c>
      <c r="P12" s="584">
        <v>3.36</v>
      </c>
      <c r="Q12" s="57">
        <v>0</v>
      </c>
      <c r="R12" s="57">
        <v>3298007</v>
      </c>
      <c r="S12" s="57">
        <v>218313</v>
      </c>
      <c r="T12" s="57">
        <v>535800</v>
      </c>
      <c r="U12" s="57">
        <v>369775</v>
      </c>
      <c r="W12" s="2">
        <v>476373</v>
      </c>
      <c r="Y12" s="2">
        <v>17468500</v>
      </c>
      <c r="Z12" s="2">
        <v>14839929</v>
      </c>
      <c r="AB12" s="2">
        <v>408525</v>
      </c>
    </row>
    <row r="13" spans="1:29" ht="10.9" customHeight="1" x14ac:dyDescent="0.2">
      <c r="A13" s="274" t="s">
        <v>153</v>
      </c>
      <c r="B13" s="2" t="s">
        <v>112</v>
      </c>
      <c r="C13" s="57">
        <v>74100</v>
      </c>
      <c r="D13" s="57">
        <v>0</v>
      </c>
      <c r="E13" s="57">
        <v>0</v>
      </c>
      <c r="F13" s="57">
        <v>0</v>
      </c>
      <c r="G13" s="57">
        <v>0</v>
      </c>
      <c r="H13" s="57">
        <v>0</v>
      </c>
      <c r="I13" s="57">
        <v>0</v>
      </c>
      <c r="J13" s="57">
        <v>0</v>
      </c>
      <c r="K13" s="57">
        <f t="shared" si="0"/>
        <v>74100</v>
      </c>
      <c r="L13" s="57">
        <v>87251</v>
      </c>
      <c r="M13" s="57">
        <v>0</v>
      </c>
      <c r="N13" s="57">
        <v>0</v>
      </c>
      <c r="O13" s="57">
        <v>0</v>
      </c>
      <c r="P13" s="584">
        <v>2.94</v>
      </c>
      <c r="Q13" s="57">
        <v>0</v>
      </c>
      <c r="R13" s="57">
        <v>7536532</v>
      </c>
      <c r="S13" s="57">
        <v>639405</v>
      </c>
      <c r="T13" s="57">
        <v>1263500</v>
      </c>
      <c r="U13" s="57">
        <v>1394580</v>
      </c>
      <c r="W13" s="2">
        <v>376546</v>
      </c>
      <c r="Y13" s="2">
        <v>49688534</v>
      </c>
      <c r="Z13" s="2">
        <v>48456525</v>
      </c>
      <c r="AB13" s="2">
        <v>1062022</v>
      </c>
    </row>
    <row r="14" spans="1:29" ht="10.9" customHeight="1" x14ac:dyDescent="0.2">
      <c r="A14" s="274" t="s">
        <v>154</v>
      </c>
      <c r="B14" s="2" t="s">
        <v>147</v>
      </c>
      <c r="C14" s="57">
        <v>943053</v>
      </c>
      <c r="D14" s="57">
        <v>0</v>
      </c>
      <c r="E14" s="57">
        <v>0</v>
      </c>
      <c r="F14" s="57">
        <v>0</v>
      </c>
      <c r="G14" s="57">
        <v>0</v>
      </c>
      <c r="H14" s="57">
        <v>9600</v>
      </c>
      <c r="I14" s="57">
        <v>0</v>
      </c>
      <c r="J14" s="57">
        <v>0</v>
      </c>
      <c r="K14" s="57">
        <f t="shared" si="0"/>
        <v>952653</v>
      </c>
      <c r="L14" s="57">
        <v>0</v>
      </c>
      <c r="M14" s="57">
        <v>0</v>
      </c>
      <c r="N14" s="57">
        <v>0</v>
      </c>
      <c r="O14" s="57">
        <v>0</v>
      </c>
      <c r="P14" s="584">
        <v>2.7</v>
      </c>
      <c r="Q14" s="57">
        <v>0</v>
      </c>
      <c r="R14" s="57">
        <v>8232910</v>
      </c>
      <c r="S14" s="57">
        <v>482484</v>
      </c>
      <c r="T14" s="57">
        <v>389500</v>
      </c>
      <c r="U14" s="57">
        <v>316950</v>
      </c>
      <c r="W14" s="2">
        <v>468154</v>
      </c>
      <c r="Y14" s="2">
        <v>0</v>
      </c>
      <c r="Z14" s="2">
        <v>0</v>
      </c>
      <c r="AB14" s="2">
        <v>1028457</v>
      </c>
    </row>
    <row r="15" spans="1:29" ht="10.9" customHeight="1" x14ac:dyDescent="0.2">
      <c r="A15" s="274" t="s">
        <v>155</v>
      </c>
      <c r="B15" s="2" t="s">
        <v>113</v>
      </c>
      <c r="C15" s="57">
        <v>53500</v>
      </c>
      <c r="D15" s="57">
        <v>0</v>
      </c>
      <c r="E15" s="57">
        <v>0</v>
      </c>
      <c r="F15" s="57">
        <v>0</v>
      </c>
      <c r="G15" s="57">
        <v>550</v>
      </c>
      <c r="H15" s="57">
        <v>8950</v>
      </c>
      <c r="I15" s="57">
        <v>0</v>
      </c>
      <c r="J15" s="57">
        <v>0</v>
      </c>
      <c r="K15" s="57">
        <f t="shared" si="0"/>
        <v>63000</v>
      </c>
      <c r="L15" s="57">
        <v>37279</v>
      </c>
      <c r="M15" s="57">
        <v>0</v>
      </c>
      <c r="N15" s="57">
        <v>0</v>
      </c>
      <c r="O15" s="57">
        <v>0</v>
      </c>
      <c r="P15" s="584">
        <v>3.46</v>
      </c>
      <c r="Q15" s="57">
        <v>0</v>
      </c>
      <c r="R15" s="57">
        <v>2079615</v>
      </c>
      <c r="S15" s="57">
        <v>148442</v>
      </c>
      <c r="T15" s="57">
        <v>359100</v>
      </c>
      <c r="U15" s="57">
        <v>327515</v>
      </c>
      <c r="W15" s="2">
        <v>726888</v>
      </c>
      <c r="Y15" s="2">
        <v>12777212</v>
      </c>
      <c r="Z15" s="2">
        <v>11245070</v>
      </c>
      <c r="AB15" s="2">
        <v>291254</v>
      </c>
    </row>
    <row r="16" spans="1:29" ht="10.9" customHeight="1" x14ac:dyDescent="0.2">
      <c r="A16" s="274" t="s">
        <v>156</v>
      </c>
      <c r="B16" s="2" t="s">
        <v>114</v>
      </c>
      <c r="C16" s="57">
        <v>0</v>
      </c>
      <c r="D16" s="57">
        <v>0</v>
      </c>
      <c r="E16" s="57">
        <v>0</v>
      </c>
      <c r="F16" s="57">
        <v>0</v>
      </c>
      <c r="G16" s="57">
        <v>0</v>
      </c>
      <c r="H16" s="57">
        <v>0</v>
      </c>
      <c r="I16" s="57">
        <v>0</v>
      </c>
      <c r="J16" s="57">
        <v>0</v>
      </c>
      <c r="K16" s="57">
        <f t="shared" si="0"/>
        <v>0</v>
      </c>
      <c r="L16" s="57">
        <v>21009</v>
      </c>
      <c r="M16" s="57">
        <v>0</v>
      </c>
      <c r="N16" s="57">
        <v>0</v>
      </c>
      <c r="O16" s="57">
        <v>0</v>
      </c>
      <c r="P16" s="584">
        <v>4.25</v>
      </c>
      <c r="Q16" s="57">
        <v>0</v>
      </c>
      <c r="R16" s="57">
        <v>1451479</v>
      </c>
      <c r="S16" s="57">
        <v>101237</v>
      </c>
      <c r="T16" s="57">
        <v>285000</v>
      </c>
      <c r="U16" s="57">
        <v>84520</v>
      </c>
      <c r="W16" s="2">
        <v>208296</v>
      </c>
      <c r="Y16" s="2">
        <v>5006312</v>
      </c>
      <c r="Z16" s="2">
        <v>4504503</v>
      </c>
      <c r="AB16" s="2">
        <v>209745</v>
      </c>
    </row>
    <row r="17" spans="1:30" ht="10.9" customHeight="1" x14ac:dyDescent="0.2">
      <c r="A17" s="274" t="s">
        <v>157</v>
      </c>
      <c r="B17" s="2" t="s">
        <v>115</v>
      </c>
      <c r="C17" s="57">
        <v>91375</v>
      </c>
      <c r="D17" s="57">
        <v>0</v>
      </c>
      <c r="E17" s="57">
        <v>0</v>
      </c>
      <c r="F17" s="57">
        <v>0</v>
      </c>
      <c r="G17" s="57">
        <v>3019</v>
      </c>
      <c r="H17" s="57">
        <v>0</v>
      </c>
      <c r="I17" s="57">
        <v>0</v>
      </c>
      <c r="J17" s="57">
        <v>0</v>
      </c>
      <c r="K17" s="57">
        <f t="shared" si="0"/>
        <v>94394</v>
      </c>
      <c r="L17" s="57">
        <v>30325</v>
      </c>
      <c r="M17" s="57">
        <v>0</v>
      </c>
      <c r="N17" s="57">
        <v>11500</v>
      </c>
      <c r="O17" s="57">
        <v>0</v>
      </c>
      <c r="P17" s="584">
        <v>3.47</v>
      </c>
      <c r="Q17" s="57">
        <v>0</v>
      </c>
      <c r="R17" s="57">
        <v>1774885</v>
      </c>
      <c r="S17" s="57">
        <v>146503</v>
      </c>
      <c r="T17" s="57">
        <v>336300</v>
      </c>
      <c r="U17" s="57">
        <v>109876</v>
      </c>
      <c r="W17" s="2">
        <v>913210</v>
      </c>
      <c r="Y17" s="2">
        <v>9966977</v>
      </c>
      <c r="Z17" s="2">
        <v>9498508</v>
      </c>
      <c r="AB17" s="2">
        <v>263119</v>
      </c>
    </row>
    <row r="18" spans="1:30" ht="10.9" customHeight="1" x14ac:dyDescent="0.2">
      <c r="A18" s="274" t="s">
        <v>158</v>
      </c>
      <c r="B18" s="2" t="s">
        <v>116</v>
      </c>
      <c r="C18" s="57">
        <v>2724753</v>
      </c>
      <c r="D18" s="57">
        <v>0</v>
      </c>
      <c r="E18" s="57">
        <v>1667641</v>
      </c>
      <c r="F18" s="57">
        <v>0</v>
      </c>
      <c r="G18" s="57">
        <v>97897</v>
      </c>
      <c r="H18" s="57">
        <v>15596</v>
      </c>
      <c r="I18" s="57">
        <v>76746</v>
      </c>
      <c r="J18" s="57">
        <v>0</v>
      </c>
      <c r="K18" s="57">
        <f t="shared" si="0"/>
        <v>4582633</v>
      </c>
      <c r="L18" s="57">
        <v>0</v>
      </c>
      <c r="M18" s="57">
        <v>0</v>
      </c>
      <c r="N18" s="57">
        <v>0</v>
      </c>
      <c r="O18" s="57">
        <v>0</v>
      </c>
      <c r="P18" s="584">
        <v>2.7</v>
      </c>
      <c r="Q18" s="57">
        <v>0</v>
      </c>
      <c r="R18" s="57">
        <v>6636052</v>
      </c>
      <c r="S18" s="57">
        <v>313419</v>
      </c>
      <c r="T18" s="57">
        <v>972800</v>
      </c>
      <c r="U18" s="57">
        <v>538815</v>
      </c>
      <c r="W18" s="2">
        <v>114365</v>
      </c>
      <c r="Y18" s="2">
        <v>3569486</v>
      </c>
      <c r="Z18" s="2">
        <v>3357170</v>
      </c>
      <c r="AB18" s="2">
        <v>1464439</v>
      </c>
    </row>
    <row r="19" spans="1:30" ht="10.9" customHeight="1" x14ac:dyDescent="0.2">
      <c r="A19" s="274" t="s">
        <v>159</v>
      </c>
      <c r="B19" s="2" t="s">
        <v>117</v>
      </c>
      <c r="C19" s="57">
        <v>378112</v>
      </c>
      <c r="D19" s="57">
        <v>0</v>
      </c>
      <c r="E19" s="57">
        <v>0</v>
      </c>
      <c r="F19" s="57">
        <v>27000</v>
      </c>
      <c r="G19" s="57">
        <v>0</v>
      </c>
      <c r="H19" s="57">
        <v>17451</v>
      </c>
      <c r="I19" s="57">
        <v>0</v>
      </c>
      <c r="J19" s="57">
        <v>0</v>
      </c>
      <c r="K19" s="57">
        <f t="shared" si="0"/>
        <v>422563</v>
      </c>
      <c r="L19" s="57">
        <v>19733</v>
      </c>
      <c r="M19" s="57">
        <v>0</v>
      </c>
      <c r="N19" s="57">
        <v>0</v>
      </c>
      <c r="O19" s="57">
        <v>0</v>
      </c>
      <c r="P19" s="584">
        <v>3.0300000000000002</v>
      </c>
      <c r="Q19" s="57">
        <v>0</v>
      </c>
      <c r="R19" s="57">
        <v>4835592</v>
      </c>
      <c r="S19" s="57">
        <v>327810</v>
      </c>
      <c r="T19" s="57">
        <v>811300</v>
      </c>
      <c r="U19" s="57">
        <v>802940</v>
      </c>
      <c r="W19" s="2">
        <v>300968</v>
      </c>
      <c r="Y19" s="2">
        <v>20130368</v>
      </c>
      <c r="Z19" s="2">
        <v>19699586</v>
      </c>
      <c r="AB19" s="2">
        <v>720884</v>
      </c>
    </row>
    <row r="20" spans="1:30" ht="10.9" customHeight="1" x14ac:dyDescent="0.2">
      <c r="A20" s="274" t="s">
        <v>160</v>
      </c>
      <c r="B20" s="2" t="s">
        <v>118</v>
      </c>
      <c r="C20" s="57">
        <v>2183735</v>
      </c>
      <c r="D20" s="57">
        <v>0</v>
      </c>
      <c r="E20" s="57">
        <v>0</v>
      </c>
      <c r="F20" s="57">
        <v>0</v>
      </c>
      <c r="G20" s="57">
        <v>0</v>
      </c>
      <c r="H20" s="57">
        <v>0</v>
      </c>
      <c r="I20" s="57">
        <v>0</v>
      </c>
      <c r="J20" s="57">
        <v>0</v>
      </c>
      <c r="K20" s="57">
        <f t="shared" si="0"/>
        <v>2183735</v>
      </c>
      <c r="L20" s="57">
        <v>59599</v>
      </c>
      <c r="M20" s="57">
        <v>0</v>
      </c>
      <c r="N20" s="57">
        <v>0</v>
      </c>
      <c r="O20" s="57">
        <v>0</v>
      </c>
      <c r="P20" s="584">
        <v>2.94</v>
      </c>
      <c r="Q20" s="57">
        <v>0</v>
      </c>
      <c r="R20" s="57">
        <v>8606561</v>
      </c>
      <c r="S20" s="57">
        <v>590873</v>
      </c>
      <c r="T20" s="57">
        <v>1493400</v>
      </c>
      <c r="U20" s="57">
        <v>1367111</v>
      </c>
      <c r="W20" s="2">
        <v>273984</v>
      </c>
      <c r="Y20" s="2">
        <v>35348579</v>
      </c>
      <c r="Z20" s="2">
        <v>34343162</v>
      </c>
      <c r="AB20" s="2">
        <v>1125463</v>
      </c>
    </row>
    <row r="21" spans="1:30" ht="10.9" customHeight="1" x14ac:dyDescent="0.2">
      <c r="A21" s="274" t="s">
        <v>161</v>
      </c>
      <c r="B21" s="2" t="s">
        <v>119</v>
      </c>
      <c r="C21" s="57">
        <v>154804</v>
      </c>
      <c r="D21" s="57">
        <v>177415</v>
      </c>
      <c r="E21" s="57">
        <v>0</v>
      </c>
      <c r="F21" s="57">
        <v>0</v>
      </c>
      <c r="G21" s="57">
        <v>5239</v>
      </c>
      <c r="H21" s="57">
        <v>68193</v>
      </c>
      <c r="I21" s="57">
        <v>0</v>
      </c>
      <c r="J21" s="57">
        <v>0</v>
      </c>
      <c r="K21" s="57">
        <f t="shared" si="0"/>
        <v>405651</v>
      </c>
      <c r="L21" s="57">
        <v>33861</v>
      </c>
      <c r="M21" s="57">
        <v>0</v>
      </c>
      <c r="N21" s="57">
        <v>0</v>
      </c>
      <c r="O21" s="57">
        <v>0</v>
      </c>
      <c r="P21" s="584">
        <v>3.26</v>
      </c>
      <c r="Q21" s="57">
        <v>0</v>
      </c>
      <c r="R21" s="57">
        <v>3267111</v>
      </c>
      <c r="S21" s="57">
        <v>292087</v>
      </c>
      <c r="T21" s="57">
        <v>537700</v>
      </c>
      <c r="U21" s="57">
        <v>505007</v>
      </c>
      <c r="W21" s="2">
        <v>495401</v>
      </c>
      <c r="Y21" s="2">
        <v>20336024</v>
      </c>
      <c r="Z21" s="2">
        <v>19476323</v>
      </c>
      <c r="AB21" s="2">
        <v>459274</v>
      </c>
    </row>
    <row r="22" spans="1:30" ht="10.9" customHeight="1" x14ac:dyDescent="0.2">
      <c r="A22" s="274" t="s">
        <v>162</v>
      </c>
      <c r="B22" s="2" t="s">
        <v>120</v>
      </c>
      <c r="C22" s="57">
        <v>1244</v>
      </c>
      <c r="D22" s="57">
        <v>0</v>
      </c>
      <c r="E22" s="57">
        <v>0</v>
      </c>
      <c r="F22" s="57">
        <v>0</v>
      </c>
      <c r="G22" s="57">
        <v>0</v>
      </c>
      <c r="H22" s="57">
        <v>6127</v>
      </c>
      <c r="I22" s="57">
        <v>0</v>
      </c>
      <c r="J22" s="57">
        <v>0</v>
      </c>
      <c r="K22" s="57">
        <f t="shared" si="0"/>
        <v>7371</v>
      </c>
      <c r="L22" s="57">
        <v>16432</v>
      </c>
      <c r="M22" s="57">
        <v>0</v>
      </c>
      <c r="N22" s="57">
        <v>0</v>
      </c>
      <c r="O22" s="57">
        <v>0</v>
      </c>
      <c r="P22" s="584">
        <v>4.25</v>
      </c>
      <c r="Q22" s="57">
        <v>0</v>
      </c>
      <c r="R22" s="57">
        <v>2701123</v>
      </c>
      <c r="S22" s="57">
        <v>187981</v>
      </c>
      <c r="T22" s="57">
        <v>491150</v>
      </c>
      <c r="U22" s="57">
        <v>266238</v>
      </c>
      <c r="W22" s="2">
        <v>174815</v>
      </c>
      <c r="Y22" s="2">
        <v>4721872</v>
      </c>
      <c r="Z22" s="2">
        <v>4515601</v>
      </c>
      <c r="AB22" s="2">
        <v>340888</v>
      </c>
    </row>
    <row r="23" spans="1:30" ht="10.9" customHeight="1" x14ac:dyDescent="0.2">
      <c r="A23" s="274" t="s">
        <v>163</v>
      </c>
      <c r="B23" s="2" t="s">
        <v>121</v>
      </c>
      <c r="C23" s="57">
        <v>86964</v>
      </c>
      <c r="D23" s="57">
        <v>0</v>
      </c>
      <c r="E23" s="57">
        <v>0</v>
      </c>
      <c r="F23" s="57">
        <v>0</v>
      </c>
      <c r="G23" s="57">
        <v>0</v>
      </c>
      <c r="H23" s="57">
        <v>1500</v>
      </c>
      <c r="I23" s="57">
        <v>0</v>
      </c>
      <c r="J23" s="57">
        <v>0</v>
      </c>
      <c r="K23" s="57">
        <f t="shared" si="0"/>
        <v>88464</v>
      </c>
      <c r="L23" s="57">
        <v>28839</v>
      </c>
      <c r="M23" s="57">
        <v>0</v>
      </c>
      <c r="N23" s="57">
        <v>0</v>
      </c>
      <c r="O23" s="57">
        <v>0</v>
      </c>
      <c r="P23" s="584">
        <v>3.53</v>
      </c>
      <c r="Q23" s="57">
        <v>0</v>
      </c>
      <c r="R23" s="57">
        <v>1971317</v>
      </c>
      <c r="S23" s="57">
        <v>102297</v>
      </c>
      <c r="T23" s="57">
        <v>304000</v>
      </c>
      <c r="U23" s="57">
        <v>242995</v>
      </c>
      <c r="W23" s="2">
        <v>336160</v>
      </c>
      <c r="Y23" s="2">
        <v>5350178</v>
      </c>
      <c r="Z23" s="2">
        <v>4927532</v>
      </c>
      <c r="AB23" s="2">
        <v>233256</v>
      </c>
    </row>
    <row r="24" spans="1:30" ht="10.9" customHeight="1" x14ac:dyDescent="0.2">
      <c r="A24" s="274" t="s">
        <v>164</v>
      </c>
      <c r="B24" s="2" t="s">
        <v>122</v>
      </c>
      <c r="C24" s="57">
        <v>182512</v>
      </c>
      <c r="D24" s="57">
        <v>0</v>
      </c>
      <c r="E24" s="57">
        <v>0</v>
      </c>
      <c r="F24" s="57">
        <v>0</v>
      </c>
      <c r="G24" s="57">
        <v>0</v>
      </c>
      <c r="H24" s="57">
        <v>0</v>
      </c>
      <c r="I24" s="57">
        <v>0</v>
      </c>
      <c r="J24" s="57">
        <v>0</v>
      </c>
      <c r="K24" s="57">
        <f t="shared" si="0"/>
        <v>182512</v>
      </c>
      <c r="L24" s="57">
        <v>64977</v>
      </c>
      <c r="M24" s="57">
        <v>0</v>
      </c>
      <c r="N24" s="57">
        <v>0</v>
      </c>
      <c r="O24" s="57">
        <v>0</v>
      </c>
      <c r="P24" s="584">
        <v>3.1300000000000003</v>
      </c>
      <c r="Q24" s="57">
        <v>0</v>
      </c>
      <c r="R24" s="57">
        <v>5073601</v>
      </c>
      <c r="S24" s="57">
        <v>345562</v>
      </c>
      <c r="T24" s="57">
        <v>984200</v>
      </c>
      <c r="U24" s="57">
        <v>667708</v>
      </c>
      <c r="W24" s="2">
        <v>540409</v>
      </c>
      <c r="Y24" s="2">
        <v>33387421</v>
      </c>
      <c r="Z24" s="2">
        <v>30801157</v>
      </c>
      <c r="AB24" s="2">
        <v>711729</v>
      </c>
    </row>
    <row r="25" spans="1:30" ht="10.9" customHeight="1" x14ac:dyDescent="0.2">
      <c r="A25" s="274" t="s">
        <v>165</v>
      </c>
      <c r="B25" s="2" t="s">
        <v>123</v>
      </c>
      <c r="C25" s="57">
        <v>560736</v>
      </c>
      <c r="D25" s="57">
        <v>415263</v>
      </c>
      <c r="E25" s="57">
        <v>23359</v>
      </c>
      <c r="F25" s="57">
        <v>0</v>
      </c>
      <c r="G25" s="57">
        <v>4700</v>
      </c>
      <c r="H25" s="57">
        <v>32300</v>
      </c>
      <c r="I25" s="57">
        <v>0</v>
      </c>
      <c r="J25" s="57">
        <v>0</v>
      </c>
      <c r="K25" s="57">
        <f t="shared" si="0"/>
        <v>1036358</v>
      </c>
      <c r="L25" s="57">
        <v>76493</v>
      </c>
      <c r="M25" s="57">
        <v>2064215</v>
      </c>
      <c r="N25" s="57">
        <v>0</v>
      </c>
      <c r="O25" s="57">
        <v>0</v>
      </c>
      <c r="P25" s="584">
        <v>2.7</v>
      </c>
      <c r="Q25" s="57">
        <v>0</v>
      </c>
      <c r="R25" s="57">
        <v>15934483</v>
      </c>
      <c r="S25" s="57">
        <v>1091978</v>
      </c>
      <c r="T25" s="57">
        <v>3099850</v>
      </c>
      <c r="U25" s="57">
        <v>4496464</v>
      </c>
      <c r="W25" s="2">
        <v>488071</v>
      </c>
      <c r="Y25" s="2">
        <v>114925992</v>
      </c>
      <c r="Z25" s="2">
        <v>110565323</v>
      </c>
      <c r="AB25" s="2">
        <v>2320144</v>
      </c>
    </row>
    <row r="26" spans="1:30" ht="10.9" customHeight="1" x14ac:dyDescent="0.2">
      <c r="A26" s="274" t="s">
        <v>166</v>
      </c>
      <c r="B26" s="2" t="s">
        <v>124</v>
      </c>
      <c r="C26" s="57">
        <v>0</v>
      </c>
      <c r="D26" s="57">
        <v>0</v>
      </c>
      <c r="E26" s="57">
        <v>0</v>
      </c>
      <c r="F26" s="57">
        <v>0</v>
      </c>
      <c r="G26" s="57">
        <v>0</v>
      </c>
      <c r="H26" s="57">
        <v>3520</v>
      </c>
      <c r="I26" s="57">
        <v>0</v>
      </c>
      <c r="J26" s="57">
        <v>0</v>
      </c>
      <c r="K26" s="57">
        <f t="shared" si="0"/>
        <v>3520</v>
      </c>
      <c r="L26" s="57">
        <v>11565</v>
      </c>
      <c r="M26" s="57">
        <v>0</v>
      </c>
      <c r="N26" s="57">
        <v>0</v>
      </c>
      <c r="O26" s="57">
        <v>0</v>
      </c>
      <c r="P26" s="584">
        <v>3.2300000000000004</v>
      </c>
      <c r="Q26" s="57">
        <v>0</v>
      </c>
      <c r="R26" s="57">
        <v>4000545</v>
      </c>
      <c r="S26" s="57">
        <v>308321</v>
      </c>
      <c r="T26" s="57">
        <v>563350</v>
      </c>
      <c r="U26" s="57">
        <v>297933</v>
      </c>
      <c r="W26" s="2">
        <v>384710</v>
      </c>
      <c r="Y26" s="2">
        <v>17452913</v>
      </c>
      <c r="Z26" s="2">
        <v>16992673</v>
      </c>
      <c r="AB26" s="2">
        <v>769803</v>
      </c>
    </row>
    <row r="27" spans="1:30" ht="10.9" customHeight="1" x14ac:dyDescent="0.2">
      <c r="A27" s="274" t="s">
        <v>167</v>
      </c>
      <c r="B27" s="2" t="s">
        <v>125</v>
      </c>
      <c r="C27" s="57">
        <v>6500</v>
      </c>
      <c r="D27" s="57">
        <v>0</v>
      </c>
      <c r="E27" s="57">
        <v>0</v>
      </c>
      <c r="F27" s="57">
        <v>0</v>
      </c>
      <c r="G27" s="57">
        <v>0</v>
      </c>
      <c r="H27" s="57">
        <v>0</v>
      </c>
      <c r="I27" s="57">
        <v>0</v>
      </c>
      <c r="J27" s="57">
        <v>0</v>
      </c>
      <c r="K27" s="57">
        <f t="shared" si="0"/>
        <v>6500</v>
      </c>
      <c r="L27" s="57">
        <v>57267</v>
      </c>
      <c r="M27" s="57">
        <v>0</v>
      </c>
      <c r="N27" s="57">
        <v>0</v>
      </c>
      <c r="O27" s="57">
        <v>0</v>
      </c>
      <c r="P27" s="584">
        <v>4.25</v>
      </c>
      <c r="Q27" s="57">
        <v>0</v>
      </c>
      <c r="R27" s="57">
        <v>5036521</v>
      </c>
      <c r="S27" s="57">
        <v>327869</v>
      </c>
      <c r="T27" s="57">
        <v>695400</v>
      </c>
      <c r="U27" s="57">
        <v>944511</v>
      </c>
      <c r="W27" s="2">
        <v>155992</v>
      </c>
      <c r="Y27" s="2">
        <v>9384407</v>
      </c>
      <c r="Z27" s="2">
        <v>8660374</v>
      </c>
      <c r="AB27" s="2">
        <v>467621</v>
      </c>
    </row>
    <row r="28" spans="1:30" ht="10.9" customHeight="1" x14ac:dyDescent="0.2">
      <c r="A28" s="274" t="s">
        <v>168</v>
      </c>
      <c r="B28" s="2" t="s">
        <v>126</v>
      </c>
      <c r="C28" s="57">
        <v>104563</v>
      </c>
      <c r="D28" s="57">
        <v>0</v>
      </c>
      <c r="E28" s="57">
        <v>0</v>
      </c>
      <c r="F28" s="57">
        <v>0</v>
      </c>
      <c r="G28" s="57">
        <v>0</v>
      </c>
      <c r="H28" s="57">
        <v>0</v>
      </c>
      <c r="I28" s="57">
        <v>0</v>
      </c>
      <c r="J28" s="57">
        <v>0</v>
      </c>
      <c r="K28" s="57">
        <f t="shared" si="0"/>
        <v>104563</v>
      </c>
      <c r="L28" s="57">
        <v>8249</v>
      </c>
      <c r="M28" s="57">
        <v>0</v>
      </c>
      <c r="N28" s="57">
        <v>255273</v>
      </c>
      <c r="O28" s="57">
        <v>0</v>
      </c>
      <c r="P28" s="584">
        <v>3.38</v>
      </c>
      <c r="Q28" s="57">
        <v>0</v>
      </c>
      <c r="R28" s="57">
        <v>2259142</v>
      </c>
      <c r="S28" s="57">
        <v>161724</v>
      </c>
      <c r="T28" s="57">
        <v>270750</v>
      </c>
      <c r="U28" s="57">
        <v>162701</v>
      </c>
      <c r="W28" s="2">
        <v>624146</v>
      </c>
      <c r="Y28" s="2">
        <v>10905954</v>
      </c>
      <c r="Z28" s="2">
        <v>10120968</v>
      </c>
      <c r="AB28" s="2">
        <v>393271</v>
      </c>
      <c r="AC28" s="2">
        <v>50000</v>
      </c>
      <c r="AD28" s="2" t="s">
        <v>394</v>
      </c>
    </row>
    <row r="29" spans="1:30" ht="10.9" customHeight="1" x14ac:dyDescent="0.2">
      <c r="A29" s="274" t="s">
        <v>169</v>
      </c>
      <c r="B29" s="2" t="s">
        <v>127</v>
      </c>
      <c r="C29" s="57">
        <v>1875822</v>
      </c>
      <c r="D29" s="57">
        <v>0</v>
      </c>
      <c r="E29" s="57">
        <v>0</v>
      </c>
      <c r="F29" s="57">
        <v>0</v>
      </c>
      <c r="G29" s="57">
        <v>7000</v>
      </c>
      <c r="H29" s="57">
        <v>0</v>
      </c>
      <c r="I29" s="57">
        <v>0</v>
      </c>
      <c r="J29" s="57">
        <v>0</v>
      </c>
      <c r="K29" s="57">
        <f t="shared" si="0"/>
        <v>1882822</v>
      </c>
      <c r="L29" s="57">
        <v>61837</v>
      </c>
      <c r="M29" s="57">
        <v>747712</v>
      </c>
      <c r="N29" s="57">
        <v>0</v>
      </c>
      <c r="O29" s="57">
        <v>0</v>
      </c>
      <c r="P29" s="584">
        <v>2.7</v>
      </c>
      <c r="Q29" s="57">
        <v>0</v>
      </c>
      <c r="R29" s="57">
        <v>14798037</v>
      </c>
      <c r="S29" s="57">
        <v>1024590</v>
      </c>
      <c r="T29" s="57">
        <v>2798700</v>
      </c>
      <c r="U29" s="57">
        <v>3201195</v>
      </c>
      <c r="W29" s="2">
        <v>619867</v>
      </c>
      <c r="Y29" s="2">
        <v>111171266</v>
      </c>
      <c r="Z29" s="2">
        <v>107931473</v>
      </c>
      <c r="AB29" s="2">
        <v>1845846</v>
      </c>
    </row>
    <row r="30" spans="1:30" ht="10.9" customHeight="1" x14ac:dyDescent="0.2">
      <c r="A30" s="274" t="s">
        <v>170</v>
      </c>
      <c r="B30" s="2" t="s">
        <v>128</v>
      </c>
      <c r="C30" s="57">
        <v>36482</v>
      </c>
      <c r="D30" s="57">
        <v>0</v>
      </c>
      <c r="E30" s="57">
        <v>0</v>
      </c>
      <c r="F30" s="57">
        <v>0</v>
      </c>
      <c r="G30" s="57">
        <v>0</v>
      </c>
      <c r="H30" s="57">
        <v>0</v>
      </c>
      <c r="I30" s="57">
        <v>0</v>
      </c>
      <c r="J30" s="57">
        <v>0</v>
      </c>
      <c r="K30" s="57">
        <f t="shared" si="0"/>
        <v>36482</v>
      </c>
      <c r="L30" s="57">
        <v>22548</v>
      </c>
      <c r="M30" s="57">
        <v>0</v>
      </c>
      <c r="N30" s="57">
        <v>0</v>
      </c>
      <c r="O30" s="57">
        <v>0</v>
      </c>
      <c r="P30" s="584">
        <v>3.53</v>
      </c>
      <c r="Q30" s="57">
        <v>0</v>
      </c>
      <c r="R30" s="57">
        <v>1622987</v>
      </c>
      <c r="S30" s="57">
        <v>109515</v>
      </c>
      <c r="T30" s="57">
        <v>210900</v>
      </c>
      <c r="U30" s="57">
        <v>253560</v>
      </c>
      <c r="W30" s="2">
        <v>538429</v>
      </c>
      <c r="Y30" s="2">
        <v>7925641</v>
      </c>
      <c r="Z30" s="2">
        <v>7606582</v>
      </c>
      <c r="AB30" s="2">
        <v>209725</v>
      </c>
    </row>
    <row r="31" spans="1:30" ht="10.9" customHeight="1" x14ac:dyDescent="0.2">
      <c r="A31" s="274" t="s">
        <v>171</v>
      </c>
      <c r="B31" s="2" t="s">
        <v>129</v>
      </c>
      <c r="C31" s="57">
        <v>52650</v>
      </c>
      <c r="D31" s="57">
        <v>0</v>
      </c>
      <c r="E31" s="57">
        <v>0</v>
      </c>
      <c r="F31" s="57">
        <v>0</v>
      </c>
      <c r="G31" s="57">
        <v>0</v>
      </c>
      <c r="H31" s="57">
        <v>0</v>
      </c>
      <c r="I31" s="57">
        <v>0</v>
      </c>
      <c r="J31" s="57">
        <v>0</v>
      </c>
      <c r="K31" s="57">
        <f t="shared" si="0"/>
        <v>52650</v>
      </c>
      <c r="L31" s="57">
        <v>49422</v>
      </c>
      <c r="M31" s="57">
        <v>0</v>
      </c>
      <c r="N31" s="57">
        <v>0</v>
      </c>
      <c r="O31" s="57">
        <v>0</v>
      </c>
      <c r="P31" s="584">
        <v>3.19</v>
      </c>
      <c r="Q31" s="57">
        <v>0</v>
      </c>
      <c r="R31" s="57">
        <v>3799655</v>
      </c>
      <c r="S31" s="57">
        <v>301277</v>
      </c>
      <c r="T31" s="57">
        <v>870200</v>
      </c>
      <c r="U31" s="57">
        <v>650804</v>
      </c>
      <c r="W31" s="2">
        <v>433714</v>
      </c>
      <c r="Y31" s="2">
        <v>19072109</v>
      </c>
      <c r="Z31" s="2">
        <v>18723418</v>
      </c>
      <c r="AB31" s="2">
        <v>606504</v>
      </c>
    </row>
    <row r="32" spans="1:30" ht="10.9" customHeight="1" x14ac:dyDescent="0.2">
      <c r="A32" s="274" t="s">
        <v>172</v>
      </c>
      <c r="B32" s="2" t="s">
        <v>130</v>
      </c>
      <c r="C32" s="57">
        <v>212802</v>
      </c>
      <c r="D32" s="57">
        <v>0</v>
      </c>
      <c r="E32" s="57">
        <v>705</v>
      </c>
      <c r="F32" s="57">
        <v>0</v>
      </c>
      <c r="G32" s="57">
        <v>0</v>
      </c>
      <c r="H32" s="57">
        <v>4655</v>
      </c>
      <c r="I32" s="57">
        <v>0</v>
      </c>
      <c r="J32" s="57">
        <v>0</v>
      </c>
      <c r="K32" s="57">
        <f t="shared" si="0"/>
        <v>218162</v>
      </c>
      <c r="L32" s="57">
        <v>33468</v>
      </c>
      <c r="M32" s="57">
        <v>0</v>
      </c>
      <c r="N32" s="57">
        <v>0</v>
      </c>
      <c r="O32" s="57">
        <v>0</v>
      </c>
      <c r="P32" s="584">
        <v>3.34</v>
      </c>
      <c r="Q32" s="57">
        <v>0</v>
      </c>
      <c r="R32" s="57">
        <v>3236904</v>
      </c>
      <c r="S32" s="57">
        <v>235956</v>
      </c>
      <c r="T32" s="57">
        <v>326800</v>
      </c>
      <c r="U32" s="57">
        <v>363436</v>
      </c>
      <c r="W32" s="2">
        <v>640500</v>
      </c>
      <c r="Y32" s="2">
        <v>18383881</v>
      </c>
      <c r="Z32" s="2">
        <v>17276435</v>
      </c>
      <c r="AB32" s="2">
        <v>387496</v>
      </c>
    </row>
    <row r="33" spans="1:28" ht="10.9" customHeight="1" x14ac:dyDescent="0.2">
      <c r="A33" s="274" t="s">
        <v>173</v>
      </c>
      <c r="B33" s="2" t="s">
        <v>131</v>
      </c>
      <c r="C33" s="57">
        <v>89954</v>
      </c>
      <c r="D33" s="57">
        <v>0</v>
      </c>
      <c r="E33" s="57">
        <v>0</v>
      </c>
      <c r="F33" s="57">
        <v>0</v>
      </c>
      <c r="G33" s="57">
        <v>0</v>
      </c>
      <c r="H33" s="57">
        <v>9103</v>
      </c>
      <c r="I33" s="57">
        <v>4200</v>
      </c>
      <c r="J33" s="57">
        <v>0</v>
      </c>
      <c r="K33" s="57">
        <f t="shared" si="0"/>
        <v>103257</v>
      </c>
      <c r="L33" s="57">
        <v>33466</v>
      </c>
      <c r="M33" s="57">
        <v>0</v>
      </c>
      <c r="N33" s="57">
        <v>0</v>
      </c>
      <c r="O33" s="57">
        <v>0</v>
      </c>
      <c r="P33" s="584">
        <v>3.37</v>
      </c>
      <c r="Q33" s="57">
        <v>0</v>
      </c>
      <c r="R33" s="57">
        <v>3199261</v>
      </c>
      <c r="S33" s="57">
        <v>215601</v>
      </c>
      <c r="T33" s="57">
        <v>304000</v>
      </c>
      <c r="U33" s="57">
        <v>338080</v>
      </c>
      <c r="W33" s="2">
        <v>681966</v>
      </c>
      <c r="Y33" s="2">
        <v>15697697</v>
      </c>
      <c r="Z33" s="2">
        <v>14839114</v>
      </c>
      <c r="AB33" s="2">
        <v>491955</v>
      </c>
    </row>
    <row r="34" spans="1:28" ht="10.9" customHeight="1" x14ac:dyDescent="0.2">
      <c r="A34" s="274" t="s">
        <v>174</v>
      </c>
      <c r="B34" s="2" t="s">
        <v>132</v>
      </c>
      <c r="C34" s="57">
        <v>333520</v>
      </c>
      <c r="D34" s="57">
        <v>20176</v>
      </c>
      <c r="E34" s="57">
        <v>0</v>
      </c>
      <c r="F34" s="57">
        <v>0</v>
      </c>
      <c r="G34" s="57">
        <v>0</v>
      </c>
      <c r="H34" s="57">
        <v>4540</v>
      </c>
      <c r="I34" s="57">
        <v>0</v>
      </c>
      <c r="J34" s="57">
        <v>0</v>
      </c>
      <c r="K34" s="57">
        <f t="shared" si="0"/>
        <v>358236</v>
      </c>
      <c r="L34" s="57">
        <v>34948</v>
      </c>
      <c r="M34" s="57">
        <v>0</v>
      </c>
      <c r="N34" s="57">
        <v>0</v>
      </c>
      <c r="O34" s="57">
        <v>0</v>
      </c>
      <c r="P34" s="584">
        <v>3.35</v>
      </c>
      <c r="Q34" s="57">
        <v>0</v>
      </c>
      <c r="R34" s="57">
        <v>3597059</v>
      </c>
      <c r="S34" s="57">
        <v>226782</v>
      </c>
      <c r="T34" s="57">
        <v>555750</v>
      </c>
      <c r="U34" s="57">
        <v>511346</v>
      </c>
      <c r="W34" s="2">
        <v>666588</v>
      </c>
      <c r="Y34" s="2">
        <v>22175501</v>
      </c>
      <c r="Z34" s="2">
        <v>21340072</v>
      </c>
      <c r="AB34" s="2">
        <v>373410</v>
      </c>
    </row>
    <row r="35" spans="1:28" ht="10.9" customHeight="1" x14ac:dyDescent="0.2">
      <c r="A35" s="274" t="s">
        <v>175</v>
      </c>
      <c r="B35" s="2" t="s">
        <v>133</v>
      </c>
      <c r="C35" s="57">
        <v>687257</v>
      </c>
      <c r="D35" s="57">
        <v>0</v>
      </c>
      <c r="E35" s="57">
        <v>0</v>
      </c>
      <c r="F35" s="57">
        <v>0</v>
      </c>
      <c r="G35" s="57">
        <v>800</v>
      </c>
      <c r="H35" s="57">
        <v>30725</v>
      </c>
      <c r="I35" s="57">
        <v>0</v>
      </c>
      <c r="J35" s="57">
        <v>0</v>
      </c>
      <c r="K35" s="57">
        <f t="shared" si="0"/>
        <v>718782</v>
      </c>
      <c r="L35" s="57">
        <v>117790</v>
      </c>
      <c r="M35" s="57">
        <v>425029</v>
      </c>
      <c r="N35" s="57">
        <v>0</v>
      </c>
      <c r="O35" s="57">
        <v>0</v>
      </c>
      <c r="P35" s="584">
        <v>2.7</v>
      </c>
      <c r="Q35" s="57">
        <v>0</v>
      </c>
      <c r="R35" s="57">
        <v>17004271</v>
      </c>
      <c r="S35" s="57">
        <v>1192463</v>
      </c>
      <c r="T35" s="57">
        <v>4062200</v>
      </c>
      <c r="U35" s="57">
        <v>4187966</v>
      </c>
      <c r="W35" s="2">
        <v>426834</v>
      </c>
      <c r="Y35" s="2">
        <v>94204527</v>
      </c>
      <c r="Z35" s="2">
        <v>93210845</v>
      </c>
      <c r="AB35" s="2">
        <v>2451088</v>
      </c>
    </row>
    <row r="36" spans="1:28" ht="10.9" customHeight="1" x14ac:dyDescent="0.2">
      <c r="A36" s="274" t="s">
        <v>176</v>
      </c>
      <c r="B36" s="2" t="s">
        <v>134</v>
      </c>
      <c r="C36" s="57">
        <v>333101</v>
      </c>
      <c r="D36" s="57">
        <v>0</v>
      </c>
      <c r="E36" s="57">
        <v>0</v>
      </c>
      <c r="F36" s="57">
        <v>0</v>
      </c>
      <c r="G36" s="57">
        <v>0</v>
      </c>
      <c r="H36" s="57">
        <v>1250</v>
      </c>
      <c r="I36" s="57">
        <v>0</v>
      </c>
      <c r="J36" s="57">
        <v>0</v>
      </c>
      <c r="K36" s="57">
        <f t="shared" si="0"/>
        <v>334351</v>
      </c>
      <c r="L36" s="57">
        <v>39689</v>
      </c>
      <c r="M36" s="57">
        <v>0</v>
      </c>
      <c r="N36" s="57">
        <v>8809</v>
      </c>
      <c r="O36" s="57">
        <v>0</v>
      </c>
      <c r="P36" s="584">
        <v>3.42</v>
      </c>
      <c r="Q36" s="57">
        <v>0</v>
      </c>
      <c r="R36" s="57">
        <v>2073522</v>
      </c>
      <c r="S36" s="57">
        <v>168921</v>
      </c>
      <c r="T36" s="57">
        <v>294500</v>
      </c>
      <c r="U36" s="57">
        <v>126780</v>
      </c>
      <c r="W36" s="2">
        <v>647693</v>
      </c>
      <c r="Y36" s="2">
        <v>12927909</v>
      </c>
      <c r="Z36" s="2">
        <v>12194269</v>
      </c>
      <c r="AB36" s="2">
        <v>321899</v>
      </c>
    </row>
    <row r="37" spans="1:28" ht="10.9" customHeight="1" x14ac:dyDescent="0.2">
      <c r="A37" s="274" t="s">
        <v>177</v>
      </c>
      <c r="B37" s="2" t="s">
        <v>135</v>
      </c>
      <c r="C37" s="57">
        <v>460395</v>
      </c>
      <c r="D37" s="57">
        <v>76367</v>
      </c>
      <c r="E37" s="57">
        <v>0</v>
      </c>
      <c r="F37" s="57">
        <v>0</v>
      </c>
      <c r="G37" s="57">
        <v>0</v>
      </c>
      <c r="H37" s="57">
        <v>34732</v>
      </c>
      <c r="I37" s="57">
        <v>0</v>
      </c>
      <c r="J37" s="57">
        <v>0</v>
      </c>
      <c r="K37" s="57">
        <f t="shared" si="0"/>
        <v>571494</v>
      </c>
      <c r="L37" s="57">
        <v>46914</v>
      </c>
      <c r="M37" s="57">
        <v>0</v>
      </c>
      <c r="N37" s="57">
        <v>0</v>
      </c>
      <c r="O37" s="57">
        <v>0</v>
      </c>
      <c r="P37" s="584">
        <v>3.05</v>
      </c>
      <c r="Q37" s="57">
        <v>0</v>
      </c>
      <c r="R37" s="57">
        <v>5851947</v>
      </c>
      <c r="S37" s="57">
        <v>415613</v>
      </c>
      <c r="T37" s="57">
        <v>1240700</v>
      </c>
      <c r="U37" s="57">
        <v>961415</v>
      </c>
      <c r="W37" s="2">
        <v>336075</v>
      </c>
      <c r="Y37" s="2">
        <v>29509784</v>
      </c>
      <c r="Z37" s="2">
        <v>27790388</v>
      </c>
      <c r="AB37" s="2">
        <v>592613</v>
      </c>
    </row>
    <row r="38" spans="1:28" ht="10.9" customHeight="1" x14ac:dyDescent="0.2">
      <c r="A38" s="274" t="s">
        <v>178</v>
      </c>
      <c r="B38" s="2" t="s">
        <v>136</v>
      </c>
      <c r="C38" s="57">
        <v>791873</v>
      </c>
      <c r="D38" s="57">
        <v>228600</v>
      </c>
      <c r="E38" s="57">
        <v>29045</v>
      </c>
      <c r="F38" s="57">
        <v>40927</v>
      </c>
      <c r="G38" s="57">
        <v>-69972</v>
      </c>
      <c r="H38" s="57">
        <v>86967</v>
      </c>
      <c r="I38" s="57">
        <v>0</v>
      </c>
      <c r="J38" s="57">
        <v>0</v>
      </c>
      <c r="K38" s="57">
        <f t="shared" si="0"/>
        <v>1107440</v>
      </c>
      <c r="L38" s="57">
        <v>106316</v>
      </c>
      <c r="M38" s="57">
        <v>0</v>
      </c>
      <c r="N38" s="57">
        <v>0</v>
      </c>
      <c r="O38" s="57">
        <v>0</v>
      </c>
      <c r="P38" s="584">
        <v>2.7</v>
      </c>
      <c r="Q38" s="57">
        <v>0</v>
      </c>
      <c r="R38" s="57">
        <v>11084981</v>
      </c>
      <c r="S38" s="57">
        <v>834653</v>
      </c>
      <c r="T38" s="57">
        <v>2265750</v>
      </c>
      <c r="U38" s="57">
        <v>3180065</v>
      </c>
      <c r="W38" s="2">
        <v>333857</v>
      </c>
      <c r="Y38" s="2">
        <v>62660310</v>
      </c>
      <c r="Z38" s="2">
        <v>59084421</v>
      </c>
      <c r="AB38" s="2">
        <v>1391815</v>
      </c>
    </row>
    <row r="39" spans="1:28" ht="10.9" customHeight="1" x14ac:dyDescent="0.2">
      <c r="A39" s="274" t="s">
        <v>179</v>
      </c>
      <c r="B39" s="2" t="s">
        <v>137</v>
      </c>
      <c r="C39" s="57">
        <v>226113</v>
      </c>
      <c r="D39" s="57">
        <v>0</v>
      </c>
      <c r="E39" s="57">
        <v>0</v>
      </c>
      <c r="F39" s="57">
        <v>0</v>
      </c>
      <c r="G39" s="57">
        <v>0</v>
      </c>
      <c r="H39" s="57">
        <v>0</v>
      </c>
      <c r="I39" s="57">
        <v>0</v>
      </c>
      <c r="J39" s="57">
        <v>0</v>
      </c>
      <c r="K39" s="57">
        <f t="shared" si="0"/>
        <v>226113</v>
      </c>
      <c r="L39" s="57">
        <v>48455</v>
      </c>
      <c r="M39" s="57">
        <v>0</v>
      </c>
      <c r="N39" s="57">
        <v>0</v>
      </c>
      <c r="O39" s="57">
        <v>0</v>
      </c>
      <c r="P39" s="584">
        <v>3.46</v>
      </c>
      <c r="Q39" s="57">
        <v>0</v>
      </c>
      <c r="R39" s="57">
        <v>2137148</v>
      </c>
      <c r="S39" s="57">
        <v>160423</v>
      </c>
      <c r="T39" s="57">
        <v>217550</v>
      </c>
      <c r="U39" s="57">
        <v>211300</v>
      </c>
      <c r="W39" s="2">
        <v>828432</v>
      </c>
      <c r="Y39" s="2">
        <v>14096696</v>
      </c>
      <c r="Z39" s="2">
        <v>13368274</v>
      </c>
      <c r="AB39" s="2">
        <v>317543</v>
      </c>
    </row>
    <row r="40" spans="1:28" ht="10.9" customHeight="1" x14ac:dyDescent="0.2">
      <c r="A40" s="274" t="s">
        <v>180</v>
      </c>
      <c r="B40" s="2" t="s">
        <v>138</v>
      </c>
      <c r="C40" s="57">
        <v>442565</v>
      </c>
      <c r="D40" s="57">
        <v>0</v>
      </c>
      <c r="E40" s="57">
        <v>0</v>
      </c>
      <c r="F40" s="57">
        <v>4205</v>
      </c>
      <c r="G40" s="57">
        <v>0</v>
      </c>
      <c r="H40" s="57">
        <v>0</v>
      </c>
      <c r="I40" s="57">
        <v>0</v>
      </c>
      <c r="J40" s="57">
        <v>0</v>
      </c>
      <c r="K40" s="57">
        <f t="shared" si="0"/>
        <v>446770</v>
      </c>
      <c r="L40" s="57">
        <v>55464</v>
      </c>
      <c r="M40" s="57">
        <v>248871</v>
      </c>
      <c r="N40" s="57">
        <v>0</v>
      </c>
      <c r="O40" s="57">
        <v>0</v>
      </c>
      <c r="P40" s="584">
        <v>2.7</v>
      </c>
      <c r="Q40" s="57">
        <v>0</v>
      </c>
      <c r="R40" s="57">
        <v>8317590</v>
      </c>
      <c r="S40" s="57">
        <v>604590</v>
      </c>
      <c r="T40" s="57">
        <v>2474750</v>
      </c>
      <c r="U40" s="57">
        <v>1743225</v>
      </c>
      <c r="W40" s="2">
        <v>596595</v>
      </c>
      <c r="Y40" s="2">
        <v>66786493</v>
      </c>
      <c r="Z40" s="2">
        <v>64466144</v>
      </c>
      <c r="AB40" s="2">
        <v>1459050</v>
      </c>
    </row>
    <row r="41" spans="1:28" ht="10.9" customHeight="1" x14ac:dyDescent="0.2">
      <c r="A41" s="274" t="s">
        <v>181</v>
      </c>
      <c r="B41" s="2" t="s">
        <v>139</v>
      </c>
      <c r="C41" s="57">
        <v>441927</v>
      </c>
      <c r="D41" s="57">
        <v>168303</v>
      </c>
      <c r="E41" s="57">
        <v>20000</v>
      </c>
      <c r="F41" s="57">
        <v>0</v>
      </c>
      <c r="G41" s="57">
        <v>-13397</v>
      </c>
      <c r="H41" s="57">
        <v>4047</v>
      </c>
      <c r="I41" s="57">
        <v>0</v>
      </c>
      <c r="J41" s="57">
        <v>0</v>
      </c>
      <c r="K41" s="57">
        <f t="shared" si="0"/>
        <v>620880</v>
      </c>
      <c r="L41" s="57">
        <v>50329</v>
      </c>
      <c r="M41" s="57">
        <v>0</v>
      </c>
      <c r="N41" s="57">
        <v>0</v>
      </c>
      <c r="O41" s="57">
        <v>2327</v>
      </c>
      <c r="P41" s="584">
        <v>3.01</v>
      </c>
      <c r="Q41" s="57">
        <v>0</v>
      </c>
      <c r="R41" s="57">
        <v>6927936</v>
      </c>
      <c r="S41" s="57">
        <v>465966</v>
      </c>
      <c r="T41" s="57">
        <v>946200</v>
      </c>
      <c r="U41" s="57">
        <v>1176941</v>
      </c>
      <c r="W41" s="2">
        <v>566990</v>
      </c>
      <c r="Y41" s="2">
        <v>39385339</v>
      </c>
      <c r="Z41" s="2">
        <v>37077231</v>
      </c>
      <c r="AB41" s="2">
        <v>762427</v>
      </c>
    </row>
    <row r="42" spans="1:28" ht="10.9" customHeight="1" x14ac:dyDescent="0.2">
      <c r="A42" s="274" t="s">
        <v>182</v>
      </c>
      <c r="B42" s="2" t="s">
        <v>140</v>
      </c>
      <c r="C42" s="57">
        <v>60000</v>
      </c>
      <c r="D42" s="57">
        <v>0</v>
      </c>
      <c r="E42" s="57">
        <v>0</v>
      </c>
      <c r="F42" s="57">
        <v>0</v>
      </c>
      <c r="G42" s="57">
        <v>0</v>
      </c>
      <c r="H42" s="57">
        <v>0</v>
      </c>
      <c r="I42" s="57">
        <v>0</v>
      </c>
      <c r="J42" s="57">
        <v>0</v>
      </c>
      <c r="K42" s="57">
        <f t="shared" si="0"/>
        <v>60000</v>
      </c>
      <c r="L42" s="57">
        <v>26709</v>
      </c>
      <c r="M42" s="57">
        <v>0</v>
      </c>
      <c r="N42" s="57">
        <v>0</v>
      </c>
      <c r="O42" s="57">
        <v>0</v>
      </c>
      <c r="P42" s="584">
        <v>3.4799999999999995</v>
      </c>
      <c r="Q42" s="57">
        <v>0</v>
      </c>
      <c r="R42" s="57">
        <v>2283604</v>
      </c>
      <c r="S42" s="57">
        <v>144932</v>
      </c>
      <c r="T42" s="57">
        <v>356250</v>
      </c>
      <c r="U42" s="57">
        <v>221865</v>
      </c>
      <c r="W42" s="2">
        <v>428070</v>
      </c>
      <c r="Y42" s="2">
        <v>8956893</v>
      </c>
      <c r="Z42" s="2">
        <v>7942234</v>
      </c>
      <c r="AB42" s="2">
        <v>290707</v>
      </c>
    </row>
    <row r="43" spans="1:28" ht="10.9" customHeight="1" x14ac:dyDescent="0.2">
      <c r="A43" s="274" t="s">
        <v>183</v>
      </c>
      <c r="B43" s="2" t="s">
        <v>141</v>
      </c>
      <c r="C43" s="57">
        <v>32500</v>
      </c>
      <c r="D43" s="57">
        <v>0</v>
      </c>
      <c r="E43" s="57">
        <v>0</v>
      </c>
      <c r="F43" s="57">
        <v>0</v>
      </c>
      <c r="G43" s="57">
        <v>0</v>
      </c>
      <c r="H43" s="57">
        <v>0</v>
      </c>
      <c r="I43" s="57">
        <v>0</v>
      </c>
      <c r="J43" s="57">
        <v>0</v>
      </c>
      <c r="K43" s="57">
        <f>SUM(C43:I43)-J43</f>
        <v>32500</v>
      </c>
      <c r="L43" s="57">
        <v>24446</v>
      </c>
      <c r="M43" s="57">
        <v>0</v>
      </c>
      <c r="N43" s="57">
        <v>0</v>
      </c>
      <c r="O43" s="57">
        <v>0</v>
      </c>
      <c r="P43" s="584">
        <v>3.53</v>
      </c>
      <c r="Q43" s="57">
        <v>0</v>
      </c>
      <c r="R43" s="57">
        <v>1262155</v>
      </c>
      <c r="S43" s="57">
        <v>107083</v>
      </c>
      <c r="T43" s="57">
        <v>210900</v>
      </c>
      <c r="U43" s="57">
        <v>63390</v>
      </c>
      <c r="W43" s="2">
        <v>636721</v>
      </c>
      <c r="Y43" s="2">
        <v>7383993</v>
      </c>
      <c r="Z43" s="2">
        <v>7383993</v>
      </c>
      <c r="AB43" s="2">
        <v>182598</v>
      </c>
    </row>
    <row r="44" spans="1:28" ht="10.9" customHeight="1" x14ac:dyDescent="0.2">
      <c r="A44" s="274" t="s">
        <v>184</v>
      </c>
      <c r="B44" s="2" t="s">
        <v>142</v>
      </c>
      <c r="C44" s="57">
        <v>136966</v>
      </c>
      <c r="D44" s="57">
        <v>0</v>
      </c>
      <c r="E44" s="57">
        <v>0</v>
      </c>
      <c r="F44" s="57">
        <v>0</v>
      </c>
      <c r="G44" s="57">
        <v>0</v>
      </c>
      <c r="H44" s="57">
        <v>0</v>
      </c>
      <c r="I44" s="57">
        <v>1912</v>
      </c>
      <c r="J44" s="57">
        <v>0</v>
      </c>
      <c r="K44" s="57">
        <f>SUM(C44:I44)-J44</f>
        <v>138878</v>
      </c>
      <c r="L44" s="57">
        <v>22036</v>
      </c>
      <c r="M44" s="57">
        <v>0</v>
      </c>
      <c r="N44" s="57">
        <v>0</v>
      </c>
      <c r="O44" s="57">
        <v>0</v>
      </c>
      <c r="P44" s="584">
        <v>3.53</v>
      </c>
      <c r="Q44" s="57">
        <v>0</v>
      </c>
      <c r="R44" s="57">
        <v>1480885</v>
      </c>
      <c r="S44" s="57">
        <v>77194</v>
      </c>
      <c r="T44" s="57">
        <v>262200</v>
      </c>
      <c r="U44" s="57">
        <v>84520</v>
      </c>
      <c r="W44" s="2">
        <v>317474</v>
      </c>
      <c r="Y44" s="2">
        <v>3873288</v>
      </c>
      <c r="Z44" s="2">
        <v>3560675</v>
      </c>
      <c r="AB44" s="2">
        <v>180707</v>
      </c>
    </row>
    <row r="45" spans="1:28" ht="10.9" customHeight="1" x14ac:dyDescent="0.2">
      <c r="A45" s="274" t="s">
        <v>185</v>
      </c>
      <c r="B45" s="2" t="s">
        <v>143</v>
      </c>
      <c r="C45" s="57">
        <v>84328</v>
      </c>
      <c r="D45" s="57">
        <v>0</v>
      </c>
      <c r="E45" s="57">
        <v>7000</v>
      </c>
      <c r="F45" s="57">
        <v>0</v>
      </c>
      <c r="G45" s="57">
        <v>-7000</v>
      </c>
      <c r="H45" s="57">
        <v>0</v>
      </c>
      <c r="I45" s="57">
        <v>0</v>
      </c>
      <c r="J45" s="57">
        <v>0</v>
      </c>
      <c r="K45" s="57">
        <f>SUM(C45:I45)-J45</f>
        <v>84328</v>
      </c>
      <c r="L45" s="57">
        <v>5301</v>
      </c>
      <c r="M45" s="57">
        <v>0</v>
      </c>
      <c r="N45" s="57">
        <v>0</v>
      </c>
      <c r="O45" s="57">
        <v>0</v>
      </c>
      <c r="P45" s="584">
        <v>3.4000000000000004</v>
      </c>
      <c r="Q45" s="57">
        <v>0</v>
      </c>
      <c r="R45" s="57">
        <v>2128124</v>
      </c>
      <c r="S45" s="57">
        <v>156561</v>
      </c>
      <c r="T45" s="57">
        <v>299250</v>
      </c>
      <c r="U45" s="57">
        <v>169040</v>
      </c>
      <c r="W45" s="2">
        <v>346680</v>
      </c>
      <c r="Y45" s="2">
        <v>9338008</v>
      </c>
      <c r="Z45" s="2">
        <v>9338008</v>
      </c>
      <c r="AB45" s="2">
        <v>220853</v>
      </c>
    </row>
    <row r="46" spans="1:28" ht="10.9" customHeight="1" x14ac:dyDescent="0.2">
      <c r="A46" s="274" t="s">
        <v>186</v>
      </c>
      <c r="B46" s="2" t="s">
        <v>144</v>
      </c>
      <c r="C46" s="57">
        <v>1756950</v>
      </c>
      <c r="D46" s="57">
        <v>416974</v>
      </c>
      <c r="E46" s="57">
        <v>0</v>
      </c>
      <c r="F46" s="57">
        <v>0</v>
      </c>
      <c r="G46" s="57">
        <v>0</v>
      </c>
      <c r="H46" s="57">
        <v>90388</v>
      </c>
      <c r="I46" s="57">
        <v>0</v>
      </c>
      <c r="J46" s="57">
        <v>0</v>
      </c>
      <c r="K46" s="57">
        <f>SUM(C46:I46)-J46</f>
        <v>2264312</v>
      </c>
      <c r="L46" s="57">
        <v>138553</v>
      </c>
      <c r="M46" s="57">
        <v>91478</v>
      </c>
      <c r="N46" s="57">
        <v>0</v>
      </c>
      <c r="O46" s="57">
        <v>147828</v>
      </c>
      <c r="P46" s="584">
        <v>2.7</v>
      </c>
      <c r="Q46" s="57">
        <v>0</v>
      </c>
      <c r="R46" s="57">
        <v>28804479</v>
      </c>
      <c r="S46" s="57">
        <v>2212785</v>
      </c>
      <c r="T46" s="57">
        <v>7412850</v>
      </c>
      <c r="U46" s="57">
        <v>6943318</v>
      </c>
      <c r="W46" s="2">
        <v>440963</v>
      </c>
      <c r="Y46" s="2">
        <v>197827580</v>
      </c>
      <c r="Z46" s="2">
        <v>191440649</v>
      </c>
      <c r="AB46" s="2">
        <v>5064687</v>
      </c>
    </row>
    <row r="47" spans="1:28" ht="3.95" customHeight="1" x14ac:dyDescent="0.2">
      <c r="A47" s="274"/>
      <c r="P47" s="501"/>
      <c r="AB47"/>
    </row>
    <row r="48" spans="1:28" x14ac:dyDescent="0.2">
      <c r="A48" s="274"/>
      <c r="B48" s="2" t="s">
        <v>145</v>
      </c>
      <c r="C48" s="2">
        <f t="shared" ref="C48" si="1">SUM(C11:C46)</f>
        <v>16218029</v>
      </c>
      <c r="D48" s="2">
        <f t="shared" ref="D48:E48" si="2">SUM(D11:D46)</f>
        <v>1503098</v>
      </c>
      <c r="E48" s="2">
        <f t="shared" si="2"/>
        <v>1781609</v>
      </c>
      <c r="F48" s="2">
        <f t="shared" ref="F48" si="3">SUM(F11:F46)</f>
        <v>72132</v>
      </c>
      <c r="G48" s="2">
        <f t="shared" ref="G48" si="4">SUM(G11:G46)</f>
        <v>28836</v>
      </c>
      <c r="H48" s="2">
        <f t="shared" ref="H48" si="5">SUM(H11:H46)</f>
        <v>434549</v>
      </c>
      <c r="I48" s="2">
        <f t="shared" ref="I48" si="6">SUM(I11:I46)</f>
        <v>82858</v>
      </c>
      <c r="J48" s="2">
        <f t="shared" ref="J48" si="7">SUM(J11:J46)</f>
        <v>0</v>
      </c>
      <c r="K48" s="2">
        <f t="shared" ref="K48:M48" si="8">SUM(K11:K46)</f>
        <v>20121111</v>
      </c>
      <c r="L48" s="2">
        <f t="shared" si="8"/>
        <v>1500071</v>
      </c>
      <c r="M48" s="2">
        <f t="shared" si="8"/>
        <v>3577305</v>
      </c>
      <c r="N48" s="2">
        <f>SUM(N11:N46)</f>
        <v>275582</v>
      </c>
      <c r="O48" s="2">
        <f>SUM(O11:O46)</f>
        <v>150155</v>
      </c>
      <c r="P48" s="501">
        <f>SUM(P11:P46)</f>
        <v>117.13000000000002</v>
      </c>
      <c r="Q48" s="2">
        <f t="shared" ref="Q48:R48" si="9">SUM(Q11:Q46)</f>
        <v>0</v>
      </c>
      <c r="R48" s="2">
        <f t="shared" si="9"/>
        <v>206856392</v>
      </c>
      <c r="S48" s="2">
        <f t="shared" ref="S48:U48" si="10">SUM(S11:S46)</f>
        <v>14631565</v>
      </c>
      <c r="T48" s="2">
        <f t="shared" si="10"/>
        <v>38810350</v>
      </c>
      <c r="U48" s="2">
        <f t="shared" si="10"/>
        <v>37579705</v>
      </c>
      <c r="W48" s="2">
        <v>455805.06645406026</v>
      </c>
      <c r="Y48" s="2">
        <v>1121363144</v>
      </c>
      <c r="Z48" s="2">
        <v>1075807908</v>
      </c>
      <c r="AB48" s="2">
        <v>29698182</v>
      </c>
    </row>
    <row r="49" spans="1:28" ht="3.95" customHeight="1" x14ac:dyDescent="0.2">
      <c r="A49" s="274"/>
      <c r="B49" s="2" t="s">
        <v>7</v>
      </c>
      <c r="P49" s="501"/>
    </row>
    <row r="50" spans="1:28" ht="10.9" customHeight="1" x14ac:dyDescent="0.2">
      <c r="A50" s="274" t="s">
        <v>188</v>
      </c>
      <c r="B50" s="2" t="s">
        <v>146</v>
      </c>
      <c r="C50" s="57">
        <v>0</v>
      </c>
      <c r="D50" s="57">
        <v>0</v>
      </c>
      <c r="E50" s="57">
        <v>0</v>
      </c>
      <c r="F50" s="57">
        <v>6451</v>
      </c>
      <c r="G50" s="57">
        <v>0</v>
      </c>
      <c r="H50" s="57">
        <v>0</v>
      </c>
      <c r="I50" s="57">
        <v>10400</v>
      </c>
      <c r="J50" s="57">
        <v>0</v>
      </c>
      <c r="K50" s="57">
        <f>SUM(C50:I50)-J50</f>
        <v>16851</v>
      </c>
      <c r="L50" s="57">
        <v>0</v>
      </c>
      <c r="M50" s="57">
        <v>0</v>
      </c>
      <c r="N50" s="57">
        <v>0</v>
      </c>
      <c r="O50" s="57">
        <v>0</v>
      </c>
      <c r="P50" s="584">
        <v>3.53</v>
      </c>
      <c r="Q50" s="57">
        <v>0</v>
      </c>
      <c r="R50" s="57">
        <v>158885</v>
      </c>
      <c r="S50" s="57">
        <v>17651</v>
      </c>
      <c r="T50" s="57">
        <v>31350</v>
      </c>
      <c r="U50" s="57">
        <v>42260</v>
      </c>
      <c r="AB50" s="416">
        <v>73056</v>
      </c>
    </row>
    <row r="51" spans="1:28" x14ac:dyDescent="0.2">
      <c r="A51" s="274" t="s">
        <v>187</v>
      </c>
      <c r="B51" s="2" t="s">
        <v>599</v>
      </c>
      <c r="C51" s="57">
        <v>0</v>
      </c>
      <c r="D51" s="57">
        <v>0</v>
      </c>
      <c r="E51" s="57">
        <v>197061</v>
      </c>
      <c r="F51" s="57">
        <v>0</v>
      </c>
      <c r="G51" s="57">
        <v>0</v>
      </c>
      <c r="H51" s="57">
        <v>0</v>
      </c>
      <c r="I51" s="57">
        <v>0</v>
      </c>
      <c r="J51" s="57">
        <v>0</v>
      </c>
      <c r="K51" s="57">
        <f>SUM(C51:I51)-J51</f>
        <v>197061</v>
      </c>
      <c r="L51" s="57">
        <v>0</v>
      </c>
      <c r="M51" s="57">
        <v>0</v>
      </c>
      <c r="N51" s="57">
        <v>0</v>
      </c>
      <c r="O51" s="57">
        <v>0</v>
      </c>
      <c r="P51" s="584">
        <v>3.5000000000000004</v>
      </c>
      <c r="Q51" s="57">
        <v>0</v>
      </c>
      <c r="R51" s="57">
        <v>0</v>
      </c>
      <c r="S51" s="57">
        <v>0</v>
      </c>
      <c r="T51" s="57">
        <v>0</v>
      </c>
      <c r="U51" s="57">
        <v>0</v>
      </c>
    </row>
    <row r="55" spans="1:28" x14ac:dyDescent="0.2">
      <c r="B55" s="554" t="s">
        <v>440</v>
      </c>
      <c r="C55" s="878" t="s">
        <v>442</v>
      </c>
      <c r="D55" s="879"/>
      <c r="E55" s="879"/>
      <c r="F55" s="880"/>
      <c r="G55" s="554" t="s">
        <v>441</v>
      </c>
      <c r="K55" s="57"/>
    </row>
    <row r="56" spans="1:28" x14ac:dyDescent="0.2">
      <c r="B56" s="553">
        <v>18</v>
      </c>
      <c r="C56" s="553">
        <v>0</v>
      </c>
      <c r="D56" s="553">
        <v>0</v>
      </c>
      <c r="E56" s="553"/>
      <c r="F56" s="553"/>
      <c r="G56" s="553">
        <v>100</v>
      </c>
    </row>
    <row r="57" spans="1:28" x14ac:dyDescent="0.2">
      <c r="B57" s="555">
        <f>+B56+1</f>
        <v>19</v>
      </c>
      <c r="C57" s="555">
        <v>0</v>
      </c>
      <c r="D57" s="555">
        <v>0</v>
      </c>
      <c r="E57" s="555">
        <v>0</v>
      </c>
      <c r="F57" s="555"/>
      <c r="G57" s="555">
        <v>100</v>
      </c>
    </row>
    <row r="58" spans="1:28" x14ac:dyDescent="0.2">
      <c r="B58" s="553">
        <f t="shared" ref="B58:B71" si="11">+B57+1</f>
        <v>20</v>
      </c>
      <c r="C58" s="553">
        <v>0</v>
      </c>
      <c r="D58" s="553"/>
      <c r="E58" s="553"/>
      <c r="F58" s="553"/>
      <c r="G58" s="553">
        <v>100</v>
      </c>
    </row>
    <row r="59" spans="1:28" x14ac:dyDescent="0.2">
      <c r="B59" s="555">
        <f t="shared" si="11"/>
        <v>21</v>
      </c>
      <c r="C59" s="555">
        <v>0</v>
      </c>
      <c r="D59" s="555">
        <v>0</v>
      </c>
      <c r="E59" s="555">
        <v>0</v>
      </c>
      <c r="F59" s="555"/>
      <c r="G59" s="555">
        <v>200</v>
      </c>
    </row>
    <row r="60" spans="1:28" x14ac:dyDescent="0.2">
      <c r="B60" s="553">
        <f t="shared" si="11"/>
        <v>22</v>
      </c>
      <c r="C60" s="553">
        <v>0</v>
      </c>
      <c r="D60" s="553">
        <v>0</v>
      </c>
      <c r="E60" s="553">
        <v>0</v>
      </c>
      <c r="F60" s="553"/>
      <c r="G60" s="553">
        <v>200</v>
      </c>
    </row>
    <row r="61" spans="1:28" x14ac:dyDescent="0.2">
      <c r="B61" s="555">
        <f t="shared" si="11"/>
        <v>23</v>
      </c>
      <c r="C61" s="555">
        <v>0</v>
      </c>
      <c r="D61" s="555">
        <v>0</v>
      </c>
      <c r="E61" s="555"/>
      <c r="F61" s="555"/>
      <c r="G61" s="555">
        <v>300</v>
      </c>
    </row>
    <row r="62" spans="1:28" x14ac:dyDescent="0.2">
      <c r="B62" s="553">
        <f t="shared" si="11"/>
        <v>24</v>
      </c>
      <c r="C62" s="553">
        <v>0</v>
      </c>
      <c r="D62" s="553">
        <v>0</v>
      </c>
      <c r="E62" s="553">
        <v>0</v>
      </c>
      <c r="F62" s="553">
        <v>0</v>
      </c>
      <c r="G62" s="553">
        <v>400</v>
      </c>
    </row>
    <row r="63" spans="1:28" x14ac:dyDescent="0.2">
      <c r="B63" s="555">
        <f t="shared" si="11"/>
        <v>25</v>
      </c>
      <c r="C63" s="555">
        <v>0</v>
      </c>
      <c r="D63" s="555">
        <v>0</v>
      </c>
      <c r="E63" s="555">
        <v>0</v>
      </c>
      <c r="F63" s="555"/>
      <c r="G63" s="555">
        <v>500</v>
      </c>
    </row>
    <row r="64" spans="1:28" x14ac:dyDescent="0.2">
      <c r="B64" s="553">
        <f t="shared" si="11"/>
        <v>26</v>
      </c>
      <c r="C64" s="553">
        <v>0</v>
      </c>
      <c r="D64" s="553"/>
      <c r="E64" s="553"/>
      <c r="F64" s="553"/>
      <c r="G64" s="553">
        <v>500</v>
      </c>
    </row>
    <row r="65" spans="2:7" x14ac:dyDescent="0.2">
      <c r="B65" s="555">
        <f t="shared" si="11"/>
        <v>27</v>
      </c>
      <c r="C65" s="555">
        <v>0</v>
      </c>
      <c r="D65" s="555">
        <v>0</v>
      </c>
      <c r="E65" s="555">
        <v>0</v>
      </c>
      <c r="F65" s="555"/>
      <c r="G65" s="555">
        <v>600</v>
      </c>
    </row>
    <row r="66" spans="2:7" x14ac:dyDescent="0.2">
      <c r="B66" s="553">
        <f t="shared" si="11"/>
        <v>28</v>
      </c>
      <c r="C66" s="553">
        <v>0</v>
      </c>
      <c r="D66" s="553">
        <v>0</v>
      </c>
      <c r="E66" s="553"/>
      <c r="F66" s="553"/>
      <c r="G66" s="553">
        <v>600</v>
      </c>
    </row>
    <row r="67" spans="2:7" x14ac:dyDescent="0.2">
      <c r="B67" s="555">
        <f t="shared" si="11"/>
        <v>29</v>
      </c>
      <c r="C67" s="555">
        <v>0</v>
      </c>
      <c r="D67" s="555">
        <v>0</v>
      </c>
      <c r="E67" s="555">
        <v>0</v>
      </c>
      <c r="F67" s="555"/>
      <c r="G67" s="555">
        <v>700</v>
      </c>
    </row>
    <row r="68" spans="2:7" x14ac:dyDescent="0.2">
      <c r="B68" s="553">
        <f t="shared" si="11"/>
        <v>30</v>
      </c>
      <c r="C68" s="553">
        <v>0</v>
      </c>
      <c r="D68" s="553">
        <v>0</v>
      </c>
      <c r="E68" s="553"/>
      <c r="F68" s="553"/>
      <c r="G68" s="553">
        <v>700</v>
      </c>
    </row>
    <row r="69" spans="2:7" x14ac:dyDescent="0.2">
      <c r="B69" s="555">
        <f t="shared" si="11"/>
        <v>31</v>
      </c>
      <c r="C69" s="555">
        <v>0</v>
      </c>
      <c r="D69" s="555">
        <v>0</v>
      </c>
      <c r="E69" s="555">
        <v>0</v>
      </c>
      <c r="F69" s="555"/>
      <c r="G69" s="555">
        <v>800</v>
      </c>
    </row>
    <row r="70" spans="2:7" x14ac:dyDescent="0.2">
      <c r="B70" s="553">
        <f t="shared" si="11"/>
        <v>32</v>
      </c>
      <c r="C70" s="553">
        <v>0</v>
      </c>
      <c r="D70" s="553">
        <v>0</v>
      </c>
      <c r="E70" s="553"/>
      <c r="F70" s="553"/>
      <c r="G70" s="553">
        <v>800</v>
      </c>
    </row>
    <row r="71" spans="2:7" x14ac:dyDescent="0.2">
      <c r="B71" s="555">
        <f t="shared" si="11"/>
        <v>33</v>
      </c>
      <c r="C71" s="555">
        <v>0</v>
      </c>
      <c r="D71" s="555">
        <v>0</v>
      </c>
      <c r="E71" s="555">
        <v>0</v>
      </c>
      <c r="F71" s="555"/>
      <c r="G71" s="555">
        <v>900</v>
      </c>
    </row>
    <row r="72" spans="2:7" x14ac:dyDescent="0.2">
      <c r="B72" s="574" t="s">
        <v>598</v>
      </c>
      <c r="C72" s="574">
        <f>SUM(C56:F71)</f>
        <v>0</v>
      </c>
    </row>
    <row r="88" spans="2:3" x14ac:dyDescent="0.2">
      <c r="B88" s="2" t="s">
        <v>278</v>
      </c>
    </row>
    <row r="89" spans="2:3" x14ac:dyDescent="0.2">
      <c r="B89" s="274">
        <f>+FALLYR-1</f>
        <v>2018</v>
      </c>
      <c r="C89" s="2" t="s">
        <v>279</v>
      </c>
    </row>
    <row r="90" spans="2:3" x14ac:dyDescent="0.2">
      <c r="B90" s="274"/>
    </row>
    <row r="91" spans="2:3" x14ac:dyDescent="0.2">
      <c r="B91" s="274"/>
    </row>
  </sheetData>
  <sheetProtection algorithmName="SHA-512" hashValue="wjOe7My5CnZPvXqxQlXct7cb+xZq9g4zcHZiavoPNdqcm1np5BSHgXaiCS2mXWesaz719kNQFHt+Q+l9g/9akw==" saltValue="A0A58AoWzz1FOnRJslE3JQ==" spinCount="100000" sheet="1" objects="1" scenarios="1"/>
  <mergeCells count="2">
    <mergeCell ref="C55:F55"/>
    <mergeCell ref="N6:N9"/>
  </mergeCells>
  <phoneticPr fontId="6" type="noConversion"/>
  <pageMargins left="0.5" right="0.5" top="0.6" bottom="0.2" header="0.3" footer="0.5"/>
  <pageSetup scale="8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81" r:id="rId4" name="Button 1">
              <controlPr defaultSize="0" print="0" autoFill="0" autoPict="0" macro="[0]!InsertHeader">
                <anchor moveWithCells="1" sizeWithCells="1">
                  <from>
                    <xdr:col>3</xdr:col>
                    <xdr:colOff>514350</xdr:colOff>
                    <xdr:row>1</xdr:row>
                    <xdr:rowOff>76200</xdr:rowOff>
                  </from>
                  <to>
                    <xdr:col>4</xdr:col>
                    <xdr:colOff>581025</xdr:colOff>
                    <xdr:row>3</xdr:row>
                    <xdr:rowOff>47625</xdr:rowOff>
                  </to>
                </anchor>
              </controlPr>
            </control>
          </mc:Choice>
        </mc:AlternateContent>
        <mc:AlternateContent xmlns:mc="http://schemas.openxmlformats.org/markup-compatibility/2006">
          <mc:Choice Requires="x14">
            <control shapeId="225282" r:id="rId5" name="Button 2">
              <controlPr defaultSize="0" print="0" autoFill="0" autoPict="0" macro="[0]!DeleteHeader">
                <anchor moveWithCells="1" sizeWithCells="1">
                  <from>
                    <xdr:col>5</xdr:col>
                    <xdr:colOff>0</xdr:colOff>
                    <xdr:row>1</xdr:row>
                    <xdr:rowOff>85725</xdr:rowOff>
                  </from>
                  <to>
                    <xdr:col>6</xdr:col>
                    <xdr:colOff>95250</xdr:colOff>
                    <xdr:row>3</xdr:row>
                    <xdr:rowOff>47625</xdr:rowOff>
                  </to>
                </anchor>
              </controlPr>
            </control>
          </mc:Choice>
        </mc:AlternateContent>
        <mc:AlternateContent xmlns:mc="http://schemas.openxmlformats.org/markup-compatibility/2006">
          <mc:Choice Requires="x14">
            <control shapeId="225283" r:id="rId6" name="Button 3">
              <controlPr defaultSize="0" print="0" autoFill="0" autoPict="0" macro="[0]!Select_A1_On_Activeworkbook">
                <anchor moveWithCells="1" sizeWithCells="1">
                  <from>
                    <xdr:col>6</xdr:col>
                    <xdr:colOff>609600</xdr:colOff>
                    <xdr:row>1</xdr:row>
                    <xdr:rowOff>66675</xdr:rowOff>
                  </from>
                  <to>
                    <xdr:col>8</xdr:col>
                    <xdr:colOff>66675</xdr:colOff>
                    <xdr:row>3</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D58"/>
  <sheetViews>
    <sheetView showGridLines="0" showZeros="0" workbookViewId="0"/>
  </sheetViews>
  <sheetFormatPr defaultColWidth="9.33203125" defaultRowHeight="12" x14ac:dyDescent="0.2"/>
  <cols>
    <col min="1" max="1" width="39.83203125" style="2" customWidth="1"/>
    <col min="2" max="3" width="31.83203125" style="2" customWidth="1"/>
    <col min="4" max="4" width="27.33203125" style="2" customWidth="1"/>
    <col min="5" max="16384" width="9.33203125" style="2"/>
  </cols>
  <sheetData>
    <row r="1" spans="1:4" ht="6.95" customHeight="1" x14ac:dyDescent="0.2">
      <c r="A1" s="7"/>
      <c r="B1" s="8"/>
      <c r="C1" s="8"/>
      <c r="D1" s="8"/>
    </row>
    <row r="2" spans="1:4" ht="15.95" customHeight="1" x14ac:dyDescent="0.2">
      <c r="A2" s="63"/>
      <c r="B2" s="9" t="s">
        <v>87</v>
      </c>
      <c r="C2" s="10"/>
      <c r="D2" s="64"/>
    </row>
    <row r="3" spans="1:4" ht="15.95" customHeight="1" x14ac:dyDescent="0.2">
      <c r="A3" s="542"/>
      <c r="B3" s="11" t="str">
        <f>STATDATE</f>
        <v>ACTUAL SEPTEMBER 30, 2019</v>
      </c>
      <c r="C3" s="12"/>
      <c r="D3" s="66"/>
    </row>
    <row r="4" spans="1:4" ht="15.95" customHeight="1" x14ac:dyDescent="0.2">
      <c r="B4" s="8"/>
      <c r="C4" s="8"/>
      <c r="D4" s="8"/>
    </row>
    <row r="5" spans="1:4" ht="15.95" customHeight="1" x14ac:dyDescent="0.2">
      <c r="B5" s="8"/>
      <c r="C5" s="8"/>
      <c r="D5" s="8"/>
    </row>
    <row r="6" spans="1:4" ht="15.95" customHeight="1" x14ac:dyDescent="0.2">
      <c r="B6" s="8"/>
      <c r="C6" s="8"/>
      <c r="D6" s="8"/>
    </row>
    <row r="7" spans="1:4" ht="15.95" customHeight="1" x14ac:dyDescent="0.2">
      <c r="B7" s="300" t="s">
        <v>87</v>
      </c>
      <c r="C7" s="282"/>
      <c r="D7" s="8"/>
    </row>
    <row r="8" spans="1:4" ht="15.95" customHeight="1" x14ac:dyDescent="0.2">
      <c r="A8" s="67"/>
      <c r="B8" s="635" t="s">
        <v>457</v>
      </c>
      <c r="C8" s="68"/>
      <c r="D8" s="69"/>
    </row>
    <row r="9" spans="1:4" ht="15.95" customHeight="1" x14ac:dyDescent="0.2">
      <c r="A9" s="35" t="s">
        <v>42</v>
      </c>
      <c r="B9" s="636"/>
      <c r="C9" s="36" t="s">
        <v>242</v>
      </c>
    </row>
    <row r="10" spans="1:4" ht="5.0999999999999996" customHeight="1" x14ac:dyDescent="0.2">
      <c r="A10" s="6"/>
    </row>
    <row r="11" spans="1:4" ht="14.1" customHeight="1" x14ac:dyDescent="0.2">
      <c r="A11" s="284" t="s">
        <v>110</v>
      </c>
      <c r="B11" s="291">
        <v>18.034429365151652</v>
      </c>
      <c r="C11" s="291">
        <v>15.144561725562184</v>
      </c>
    </row>
    <row r="12" spans="1:4" ht="14.1" customHeight="1" x14ac:dyDescent="0.2">
      <c r="A12" s="19" t="s">
        <v>111</v>
      </c>
      <c r="B12" s="70">
        <v>13.975935815134431</v>
      </c>
      <c r="C12" s="70">
        <v>11.358562050823636</v>
      </c>
    </row>
    <row r="13" spans="1:4" ht="14.1" customHeight="1" x14ac:dyDescent="0.2">
      <c r="A13" s="284" t="s">
        <v>112</v>
      </c>
      <c r="B13" s="291">
        <v>16.939869332185751</v>
      </c>
      <c r="C13" s="291">
        <v>12.830770142531186</v>
      </c>
    </row>
    <row r="14" spans="1:4" ht="14.1" customHeight="1" x14ac:dyDescent="0.2">
      <c r="A14" s="19" t="s">
        <v>358</v>
      </c>
      <c r="B14" s="70">
        <v>13.418644684204144</v>
      </c>
      <c r="C14" s="70">
        <v>10.746014795254645</v>
      </c>
    </row>
    <row r="15" spans="1:4" ht="14.1" customHeight="1" x14ac:dyDescent="0.2">
      <c r="A15" s="284" t="s">
        <v>113</v>
      </c>
      <c r="B15" s="291">
        <v>17.061305825811743</v>
      </c>
      <c r="C15" s="291">
        <v>13.326313861930048</v>
      </c>
    </row>
    <row r="16" spans="1:4" ht="14.1" customHeight="1" x14ac:dyDescent="0.2">
      <c r="A16" s="19" t="s">
        <v>114</v>
      </c>
      <c r="B16" s="70">
        <v>14.870915032679738</v>
      </c>
      <c r="C16" s="70">
        <v>11.411912225705329</v>
      </c>
    </row>
    <row r="17" spans="1:3" ht="14.1" customHeight="1" x14ac:dyDescent="0.2">
      <c r="A17" s="284" t="s">
        <v>115</v>
      </c>
      <c r="B17" s="291">
        <v>14.903044203502919</v>
      </c>
      <c r="C17" s="291">
        <v>12.863313236749754</v>
      </c>
    </row>
    <row r="18" spans="1:3" ht="14.1" customHeight="1" x14ac:dyDescent="0.2">
      <c r="A18" s="19" t="s">
        <v>116</v>
      </c>
      <c r="B18" s="70">
        <v>14.46981659176485</v>
      </c>
      <c r="C18" s="70">
        <v>11.447322904254913</v>
      </c>
    </row>
    <row r="19" spans="1:3" ht="14.1" customHeight="1" x14ac:dyDescent="0.2">
      <c r="A19" s="284" t="s">
        <v>117</v>
      </c>
      <c r="B19" s="291">
        <v>17.815306204999597</v>
      </c>
      <c r="C19" s="291">
        <v>14.316408789494215</v>
      </c>
    </row>
    <row r="20" spans="1:3" ht="14.1" customHeight="1" x14ac:dyDescent="0.2">
      <c r="A20" s="19" t="s">
        <v>118</v>
      </c>
      <c r="B20" s="70">
        <v>17.939742327994992</v>
      </c>
      <c r="C20" s="70">
        <v>14.403081564486587</v>
      </c>
    </row>
    <row r="21" spans="1:3" ht="14.1" customHeight="1" x14ac:dyDescent="0.2">
      <c r="A21" s="284" t="s">
        <v>119</v>
      </c>
      <c r="B21" s="291">
        <v>15.905121415291001</v>
      </c>
      <c r="C21" s="291">
        <v>12.08786503382718</v>
      </c>
    </row>
    <row r="22" spans="1:3" ht="14.1" customHeight="1" x14ac:dyDescent="0.2">
      <c r="A22" s="19" t="s">
        <v>120</v>
      </c>
      <c r="B22" s="70">
        <v>16.594594594594593</v>
      </c>
      <c r="C22" s="70">
        <v>12.439222042139384</v>
      </c>
    </row>
    <row r="23" spans="1:3" ht="14.1" customHeight="1" x14ac:dyDescent="0.2">
      <c r="A23" s="284" t="s">
        <v>121</v>
      </c>
      <c r="B23" s="291">
        <v>14.668749999999999</v>
      </c>
      <c r="C23" s="291">
        <v>11.511955855303494</v>
      </c>
    </row>
    <row r="24" spans="1:3" ht="14.1" customHeight="1" x14ac:dyDescent="0.2">
      <c r="A24" s="19" t="s">
        <v>122</v>
      </c>
      <c r="B24" s="70">
        <v>14.655577299412915</v>
      </c>
      <c r="C24" s="70">
        <v>11.530408006158584</v>
      </c>
    </row>
    <row r="25" spans="1:3" ht="14.1" customHeight="1" x14ac:dyDescent="0.2">
      <c r="A25" s="284" t="s">
        <v>123</v>
      </c>
      <c r="B25" s="291">
        <v>17.592727153398275</v>
      </c>
      <c r="C25" s="291">
        <v>13.729505572801292</v>
      </c>
    </row>
    <row r="26" spans="1:3" ht="14.1" customHeight="1" x14ac:dyDescent="0.2">
      <c r="A26" s="19" t="s">
        <v>124</v>
      </c>
      <c r="B26" s="70">
        <v>16.721266721266719</v>
      </c>
      <c r="C26" s="70">
        <v>13.124062566959502</v>
      </c>
    </row>
    <row r="27" spans="1:3" ht="14.1" customHeight="1" x14ac:dyDescent="0.2">
      <c r="A27" s="284" t="s">
        <v>125</v>
      </c>
      <c r="B27" s="291">
        <v>15.646857852779789</v>
      </c>
      <c r="C27" s="291">
        <v>12.415682569674066</v>
      </c>
    </row>
    <row r="28" spans="1:3" ht="14.1" customHeight="1" x14ac:dyDescent="0.2">
      <c r="A28" s="19" t="s">
        <v>126</v>
      </c>
      <c r="B28" s="70">
        <v>13.93620750087627</v>
      </c>
      <c r="C28" s="70">
        <v>11.554109031733116</v>
      </c>
    </row>
    <row r="29" spans="1:3" ht="14.1" customHeight="1" x14ac:dyDescent="0.2">
      <c r="A29" s="284" t="s">
        <v>127</v>
      </c>
      <c r="B29" s="291">
        <v>18.419799788980676</v>
      </c>
      <c r="C29" s="291">
        <v>14.320225674472576</v>
      </c>
    </row>
    <row r="30" spans="1:3" ht="14.1" customHeight="1" x14ac:dyDescent="0.2">
      <c r="A30" s="19" t="s">
        <v>128</v>
      </c>
      <c r="B30" s="70">
        <v>13.511198945981553</v>
      </c>
      <c r="C30" s="70">
        <v>11.22114016850859</v>
      </c>
    </row>
    <row r="31" spans="1:3" ht="14.1" customHeight="1" x14ac:dyDescent="0.2">
      <c r="A31" s="284" t="s">
        <v>129</v>
      </c>
      <c r="B31" s="291">
        <v>16.014987030454414</v>
      </c>
      <c r="C31" s="291">
        <v>12.523476823679662</v>
      </c>
    </row>
    <row r="32" spans="1:3" ht="14.1" customHeight="1" x14ac:dyDescent="0.2">
      <c r="A32" s="19" t="s">
        <v>130</v>
      </c>
      <c r="B32" s="70">
        <v>14.614100423783228</v>
      </c>
      <c r="C32" s="70">
        <v>11.718066210163208</v>
      </c>
    </row>
    <row r="33" spans="1:4" ht="14.1" customHeight="1" x14ac:dyDescent="0.2">
      <c r="A33" s="284" t="s">
        <v>131</v>
      </c>
      <c r="B33" s="291">
        <v>15.246157273334815</v>
      </c>
      <c r="C33" s="291">
        <v>12.456848172303955</v>
      </c>
    </row>
    <row r="34" spans="1:4" ht="14.1" customHeight="1" x14ac:dyDescent="0.2">
      <c r="A34" s="19" t="s">
        <v>132</v>
      </c>
      <c r="B34" s="70">
        <v>15.980166714573151</v>
      </c>
      <c r="C34" s="70">
        <v>12.384028512557776</v>
      </c>
    </row>
    <row r="35" spans="1:4" ht="14.1" customHeight="1" x14ac:dyDescent="0.2">
      <c r="A35" s="284" t="s">
        <v>133</v>
      </c>
      <c r="B35" s="291">
        <v>17.417902912204188</v>
      </c>
      <c r="C35" s="291">
        <v>13.782800506617477</v>
      </c>
    </row>
    <row r="36" spans="1:4" ht="14.1" customHeight="1" x14ac:dyDescent="0.2">
      <c r="A36" s="19" t="s">
        <v>134</v>
      </c>
      <c r="B36" s="70">
        <v>15.550824424714623</v>
      </c>
      <c r="C36" s="70">
        <v>12.655754626557547</v>
      </c>
    </row>
    <row r="37" spans="1:4" ht="14.1" customHeight="1" x14ac:dyDescent="0.2">
      <c r="A37" s="284" t="s">
        <v>135</v>
      </c>
      <c r="B37" s="291">
        <v>17.84852910494471</v>
      </c>
      <c r="C37" s="291">
        <v>13.566127497621311</v>
      </c>
    </row>
    <row r="38" spans="1:4" ht="14.1" customHeight="1" x14ac:dyDescent="0.2">
      <c r="A38" s="19" t="s">
        <v>136</v>
      </c>
      <c r="B38" s="70">
        <v>17.025890881002955</v>
      </c>
      <c r="C38" s="70">
        <v>13.896365267573533</v>
      </c>
    </row>
    <row r="39" spans="1:4" ht="14.1" customHeight="1" x14ac:dyDescent="0.2">
      <c r="A39" s="284" t="s">
        <v>137</v>
      </c>
      <c r="B39" s="291">
        <v>13.827821910216146</v>
      </c>
      <c r="C39" s="291">
        <v>11.698968427633634</v>
      </c>
    </row>
    <row r="40" spans="1:4" ht="14.1" customHeight="1" x14ac:dyDescent="0.2">
      <c r="A40" s="19" t="s">
        <v>138</v>
      </c>
      <c r="B40" s="70">
        <v>17.400353974752644</v>
      </c>
      <c r="C40" s="70">
        <v>13.217470884558692</v>
      </c>
    </row>
    <row r="41" spans="1:4" ht="14.1" customHeight="1" x14ac:dyDescent="0.2">
      <c r="A41" s="284" t="s">
        <v>139</v>
      </c>
      <c r="B41" s="291">
        <v>16.352201257861637</v>
      </c>
      <c r="C41" s="291">
        <v>12.446043165467627</v>
      </c>
    </row>
    <row r="42" spans="1:4" ht="14.1" customHeight="1" x14ac:dyDescent="0.2">
      <c r="A42" s="19" t="s">
        <v>140</v>
      </c>
      <c r="B42" s="70">
        <v>15.208125208125209</v>
      </c>
      <c r="C42" s="70">
        <v>12.302235790607885</v>
      </c>
    </row>
    <row r="43" spans="1:4" ht="14.1" customHeight="1" x14ac:dyDescent="0.2">
      <c r="A43" s="284" t="s">
        <v>141</v>
      </c>
      <c r="B43" s="291">
        <v>15.303007174477179</v>
      </c>
      <c r="C43" s="291">
        <v>12.5</v>
      </c>
    </row>
    <row r="44" spans="1:4" ht="14.1" customHeight="1" x14ac:dyDescent="0.2">
      <c r="A44" s="19" t="s">
        <v>142</v>
      </c>
      <c r="B44" s="70">
        <v>12.824314306893996</v>
      </c>
      <c r="C44" s="70">
        <v>10.923441199684293</v>
      </c>
    </row>
    <row r="45" spans="1:4" ht="14.1" customHeight="1" x14ac:dyDescent="0.2">
      <c r="A45" s="284" t="s">
        <v>143</v>
      </c>
      <c r="B45" s="291">
        <v>17.270923520923521</v>
      </c>
      <c r="C45" s="291">
        <v>14.324718554811684</v>
      </c>
    </row>
    <row r="46" spans="1:4" ht="14.1" customHeight="1" x14ac:dyDescent="0.2">
      <c r="A46" s="19" t="s">
        <v>144</v>
      </c>
      <c r="B46" s="70">
        <v>17.337539617325977</v>
      </c>
      <c r="C46" s="70">
        <v>13.242820381777264</v>
      </c>
    </row>
    <row r="47" spans="1:4" ht="5.0999999999999996" customHeight="1" x14ac:dyDescent="0.2">
      <c r="A47"/>
      <c r="B47"/>
      <c r="C47"/>
      <c r="D47"/>
    </row>
    <row r="48" spans="1:4" ht="14.1" customHeight="1" x14ac:dyDescent="0.2">
      <c r="A48" s="286" t="s">
        <v>145</v>
      </c>
      <c r="B48" s="294">
        <v>16.655500133521542</v>
      </c>
      <c r="C48" s="294">
        <v>13.081881497212439</v>
      </c>
      <c r="D48" s="6"/>
    </row>
    <row r="49" spans="1:4" ht="5.0999999999999996" customHeight="1" x14ac:dyDescent="0.2">
      <c r="A49" s="21" t="s">
        <v>7</v>
      </c>
      <c r="B49" s="71"/>
      <c r="C49" s="71"/>
    </row>
    <row r="50" spans="1:4" ht="14.1" customHeight="1" x14ac:dyDescent="0.2">
      <c r="A50" s="19" t="s">
        <v>146</v>
      </c>
      <c r="B50" s="70">
        <v>10.795454545454545</v>
      </c>
      <c r="C50" s="70">
        <v>9.4199305899851264</v>
      </c>
    </row>
    <row r="51" spans="1:4" ht="14.1" customHeight="1" x14ac:dyDescent="0.2">
      <c r="A51" s="284" t="s">
        <v>599</v>
      </c>
      <c r="B51" s="291">
        <v>35.25714285714286</v>
      </c>
      <c r="C51" s="291">
        <v>29.38095238095238</v>
      </c>
    </row>
    <row r="52" spans="1:4" ht="49.5" customHeight="1" x14ac:dyDescent="0.2">
      <c r="A52" s="23"/>
      <c r="B52" s="23"/>
      <c r="C52" s="23"/>
      <c r="D52" s="23"/>
    </row>
    <row r="53" spans="1:4" ht="19.149999999999999" customHeight="1" x14ac:dyDescent="0.2">
      <c r="A53" s="625" t="s">
        <v>627</v>
      </c>
      <c r="B53" s="625"/>
      <c r="C53" s="625"/>
      <c r="D53" s="625"/>
    </row>
    <row r="54" spans="1:4" ht="12" customHeight="1" x14ac:dyDescent="0.2">
      <c r="A54" s="626"/>
      <c r="B54" s="626"/>
      <c r="C54" s="626"/>
      <c r="D54" s="626"/>
    </row>
    <row r="55" spans="1:4" ht="12" customHeight="1" x14ac:dyDescent="0.2">
      <c r="A55" s="626"/>
      <c r="B55" s="626"/>
      <c r="C55" s="626"/>
      <c r="D55" s="626"/>
    </row>
    <row r="56" spans="1:4" ht="12" customHeight="1" x14ac:dyDescent="0.2">
      <c r="A56" s="626" t="s">
        <v>628</v>
      </c>
      <c r="B56" s="626"/>
      <c r="C56" s="626"/>
      <c r="D56" s="626"/>
    </row>
    <row r="57" spans="1:4" ht="12" customHeight="1" x14ac:dyDescent="0.2">
      <c r="A57" s="626"/>
      <c r="B57" s="626"/>
      <c r="C57" s="626"/>
      <c r="D57" s="626"/>
    </row>
    <row r="58" spans="1:4" x14ac:dyDescent="0.2">
      <c r="A58" s="626"/>
      <c r="B58" s="626"/>
      <c r="C58" s="626"/>
      <c r="D58" s="626"/>
    </row>
  </sheetData>
  <mergeCells count="3">
    <mergeCell ref="B8:B9"/>
    <mergeCell ref="A53:D55"/>
    <mergeCell ref="A56:D58"/>
  </mergeCells>
  <phoneticPr fontId="6" type="noConversion"/>
  <pageMargins left="0.5" right="0.5" top="0.6" bottom="0.2" header="0.3" footer="0.5"/>
  <pageSetup scale="90" orientation="portrait" r:id="rId1"/>
  <headerFooter alignWithMargins="0">
    <oddHeader>&amp;C&amp;"Arial,Regular"&amp;11&amp;A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M28"/>
  <sheetViews>
    <sheetView showGridLines="0" showZeros="0" workbookViewId="0"/>
  </sheetViews>
  <sheetFormatPr defaultColWidth="15.83203125" defaultRowHeight="12" x14ac:dyDescent="0.2"/>
  <cols>
    <col min="1" max="1" width="6.5" style="2" customWidth="1"/>
    <col min="2" max="2" width="39.5" style="2" customWidth="1"/>
    <col min="3" max="3" width="16" style="2" customWidth="1"/>
    <col min="4" max="4" width="15.83203125" style="2" customWidth="1"/>
    <col min="5" max="5" width="15.5" style="2" customWidth="1"/>
    <col min="6" max="6" width="17.1640625" style="2" customWidth="1"/>
    <col min="7" max="7" width="14.83203125" style="2" customWidth="1"/>
    <col min="8" max="8" width="15" style="2" customWidth="1"/>
    <col min="9" max="9" width="13.5" style="2" customWidth="1"/>
    <col min="10" max="10" width="3.33203125" style="2" customWidth="1"/>
    <col min="11" max="11" width="17.6640625" style="2" customWidth="1"/>
    <col min="12" max="12" width="6.83203125" style="2" customWidth="1"/>
    <col min="13" max="16384" width="15.83203125" style="2"/>
  </cols>
  <sheetData>
    <row r="2" spans="1:11" x14ac:dyDescent="0.2">
      <c r="A2" s="39"/>
      <c r="B2" s="39"/>
      <c r="C2" s="40" t="str">
        <f>OPYEAR</f>
        <v>OPERATING FUND 2019/2020 ACTUAL</v>
      </c>
      <c r="D2" s="41"/>
      <c r="E2" s="41"/>
      <c r="F2" s="41"/>
      <c r="G2" s="41"/>
      <c r="H2" s="41"/>
      <c r="I2" s="41"/>
      <c r="J2" s="41"/>
      <c r="K2" s="42"/>
    </row>
    <row r="3" spans="1:11" ht="14.25" x14ac:dyDescent="0.2">
      <c r="A3" s="538"/>
    </row>
    <row r="4" spans="1:11" ht="19.5" customHeight="1" x14ac:dyDescent="0.2">
      <c r="C4" s="8"/>
      <c r="D4" s="8"/>
      <c r="E4" s="8"/>
      <c r="F4" s="8"/>
      <c r="G4" s="8"/>
      <c r="H4" s="8"/>
      <c r="I4" s="8"/>
      <c r="J4" s="8"/>
      <c r="K4" s="8"/>
    </row>
    <row r="5" spans="1:11" ht="15.75" x14ac:dyDescent="0.25">
      <c r="C5" s="279" t="s">
        <v>257</v>
      </c>
      <c r="D5" s="43"/>
      <c r="E5" s="43"/>
      <c r="F5" s="43"/>
      <c r="G5" s="43"/>
      <c r="H5" s="43"/>
      <c r="I5" s="43"/>
      <c r="J5" s="43"/>
      <c r="K5" s="8"/>
    </row>
    <row r="6" spans="1:11" ht="16.5" customHeight="1" x14ac:dyDescent="0.2">
      <c r="C6" s="8"/>
      <c r="D6" s="8"/>
      <c r="E6" s="8"/>
      <c r="F6" s="8"/>
      <c r="G6" s="8"/>
      <c r="H6" s="8"/>
      <c r="I6" s="8"/>
      <c r="J6" s="8"/>
      <c r="K6" s="8"/>
    </row>
    <row r="7" spans="1:11" x14ac:dyDescent="0.2">
      <c r="C7" s="8"/>
      <c r="D7" s="8"/>
      <c r="E7" s="8"/>
      <c r="F7" s="8"/>
      <c r="G7" s="8"/>
      <c r="H7" s="8"/>
      <c r="I7" s="8"/>
      <c r="J7" s="8"/>
      <c r="K7" s="8"/>
    </row>
    <row r="8" spans="1:11" x14ac:dyDescent="0.2">
      <c r="C8" s="281" t="s">
        <v>71</v>
      </c>
      <c r="D8" s="301"/>
      <c r="E8" s="301"/>
      <c r="F8" s="301"/>
      <c r="G8" s="301"/>
      <c r="H8" s="301"/>
      <c r="I8" s="301"/>
      <c r="J8" s="302"/>
      <c r="K8" s="8"/>
    </row>
    <row r="9" spans="1:11" x14ac:dyDescent="0.2">
      <c r="C9" s="8"/>
      <c r="D9" s="8"/>
      <c r="E9" s="8"/>
      <c r="F9" s="8"/>
      <c r="G9" s="8"/>
      <c r="H9" s="8"/>
      <c r="I9" s="8"/>
      <c r="J9" s="8"/>
      <c r="K9" s="8"/>
    </row>
    <row r="10" spans="1:11" x14ac:dyDescent="0.2">
      <c r="A10" s="44"/>
      <c r="B10" s="45"/>
      <c r="C10" s="303"/>
      <c r="D10" s="640" t="s">
        <v>458</v>
      </c>
      <c r="E10" s="304"/>
      <c r="F10" s="642" t="s">
        <v>459</v>
      </c>
      <c r="G10" s="643" t="s">
        <v>37</v>
      </c>
      <c r="H10" s="645" t="s">
        <v>460</v>
      </c>
      <c r="I10" s="305"/>
      <c r="J10" s="306"/>
      <c r="K10" s="303"/>
    </row>
    <row r="11" spans="1:11" ht="13.5" customHeight="1" x14ac:dyDescent="0.2">
      <c r="A11" s="637" t="s">
        <v>78</v>
      </c>
      <c r="B11" s="638"/>
      <c r="C11" s="307" t="s">
        <v>72</v>
      </c>
      <c r="D11" s="641"/>
      <c r="E11" s="299" t="s">
        <v>67</v>
      </c>
      <c r="F11" s="641"/>
      <c r="G11" s="644"/>
      <c r="H11" s="646"/>
      <c r="I11" s="298" t="s">
        <v>47</v>
      </c>
      <c r="J11" s="308"/>
      <c r="K11" s="307" t="s">
        <v>73</v>
      </c>
    </row>
    <row r="13" spans="1:11" x14ac:dyDescent="0.2">
      <c r="A13" s="47">
        <v>100</v>
      </c>
      <c r="B13" s="6" t="s">
        <v>26</v>
      </c>
      <c r="C13" s="48">
        <f>'- 12 -'!B21</f>
        <v>1192025863</v>
      </c>
      <c r="D13" s="49">
        <f>'- 12 -'!B22</f>
        <v>72659844</v>
      </c>
      <c r="E13" s="49">
        <f>'- 12 -'!B39</f>
        <v>30073773</v>
      </c>
      <c r="F13" s="49">
        <f>'- 12 -'!B45</f>
        <v>74058776</v>
      </c>
      <c r="G13" s="50"/>
      <c r="H13" s="184"/>
      <c r="I13" s="51"/>
      <c r="J13" s="50"/>
      <c r="K13" s="48">
        <f>SUM(C13:F13)</f>
        <v>1368818256</v>
      </c>
    </row>
    <row r="14" spans="1:11" ht="24" customHeight="1" x14ac:dyDescent="0.2">
      <c r="A14" s="47">
        <v>200</v>
      </c>
      <c r="B14" s="6" t="s">
        <v>260</v>
      </c>
      <c r="C14" s="48">
        <f>'- 12 -'!D21</f>
        <v>392753622</v>
      </c>
      <c r="D14" s="49">
        <f>'- 12 -'!D22</f>
        <v>38104243</v>
      </c>
      <c r="E14" s="49">
        <f>'- 12 -'!D39</f>
        <v>10829843</v>
      </c>
      <c r="F14" s="49">
        <f>'- 12 -'!D45</f>
        <v>4361679</v>
      </c>
      <c r="G14" s="50"/>
      <c r="H14" s="184"/>
      <c r="I14" s="51"/>
      <c r="J14" s="50"/>
      <c r="K14" s="48">
        <f>SUM(C14:F14)</f>
        <v>446049387</v>
      </c>
    </row>
    <row r="15" spans="1:11" ht="24" customHeight="1" x14ac:dyDescent="0.2">
      <c r="A15" s="47">
        <v>300</v>
      </c>
      <c r="B15" s="6" t="s">
        <v>106</v>
      </c>
      <c r="C15" s="48">
        <f>'- 12 -'!F21</f>
        <v>9804545</v>
      </c>
      <c r="D15" s="49">
        <f>'- 12 -'!F22</f>
        <v>669866</v>
      </c>
      <c r="E15" s="49">
        <f>'- 12 -'!F39</f>
        <v>1152264</v>
      </c>
      <c r="F15" s="49">
        <f>'- 12 -'!F45</f>
        <v>405043</v>
      </c>
      <c r="G15" s="50"/>
      <c r="H15" s="184"/>
      <c r="I15" s="51">
        <f>'- 12 -'!F47</f>
        <v>56045</v>
      </c>
      <c r="J15" s="110" t="s">
        <v>96</v>
      </c>
      <c r="K15" s="48">
        <f>SUM(C15:F15,I15)</f>
        <v>12087763</v>
      </c>
    </row>
    <row r="16" spans="1:11" ht="24" customHeight="1" x14ac:dyDescent="0.2">
      <c r="A16" s="47">
        <v>400</v>
      </c>
      <c r="B16" s="6" t="s">
        <v>74</v>
      </c>
      <c r="C16" s="48">
        <f>'- 12 -'!H21</f>
        <v>18522853</v>
      </c>
      <c r="D16" s="49">
        <f>'- 12 -'!H22</f>
        <v>1825002</v>
      </c>
      <c r="E16" s="49">
        <f>'- 12 -'!H39</f>
        <v>1972339</v>
      </c>
      <c r="F16" s="49">
        <f>'- 12 -'!H45</f>
        <v>1371261</v>
      </c>
      <c r="G16" s="50"/>
      <c r="H16" s="184"/>
      <c r="I16" s="51">
        <f>'- 12 -'!H47</f>
        <v>40927</v>
      </c>
      <c r="J16" s="110" t="s">
        <v>96</v>
      </c>
      <c r="K16" s="48">
        <f>SUM(C16:F16,I16)</f>
        <v>23732382</v>
      </c>
    </row>
    <row r="17" spans="1:13" ht="24" customHeight="1" x14ac:dyDescent="0.2">
      <c r="A17" s="47">
        <v>500</v>
      </c>
      <c r="B17" s="6" t="s">
        <v>93</v>
      </c>
      <c r="C17" s="48">
        <f>'- 12 -'!J21</f>
        <v>52596899</v>
      </c>
      <c r="D17" s="49">
        <f>'- 12 -'!J22</f>
        <v>6853388</v>
      </c>
      <c r="E17" s="49">
        <f>'- 12 -'!J39</f>
        <v>17399886</v>
      </c>
      <c r="F17" s="49">
        <f>'- 12 -'!J45</f>
        <v>2452358</v>
      </c>
      <c r="G17" s="50"/>
      <c r="H17" s="184"/>
      <c r="I17" s="51">
        <f>'- 12 -'!J47</f>
        <v>-96972</v>
      </c>
      <c r="J17" s="110" t="s">
        <v>96</v>
      </c>
      <c r="K17" s="48">
        <f>SUM(C17:F17,I17)</f>
        <v>79205559</v>
      </c>
    </row>
    <row r="18" spans="1:13" ht="12" customHeight="1" x14ac:dyDescent="0.2">
      <c r="A18" s="47"/>
      <c r="B18" s="6"/>
      <c r="C18" s="52"/>
      <c r="D18" s="53"/>
      <c r="E18" s="53"/>
      <c r="F18" s="53"/>
      <c r="G18" s="50"/>
      <c r="H18" s="184"/>
      <c r="I18" s="54"/>
      <c r="J18" s="427"/>
      <c r="K18" s="48"/>
    </row>
    <row r="19" spans="1:13" ht="24" customHeight="1" x14ac:dyDescent="0.2">
      <c r="A19" s="55">
        <v>600</v>
      </c>
      <c r="B19" s="56" t="s">
        <v>283</v>
      </c>
      <c r="C19" s="48">
        <f>'- 13 -'!B21</f>
        <v>52397130</v>
      </c>
      <c r="D19" s="49">
        <f>'- 13 -'!B22</f>
        <v>5102033</v>
      </c>
      <c r="E19" s="49">
        <f>'- 13 -'!B39</f>
        <v>12249117</v>
      </c>
      <c r="F19" s="49">
        <f>'- 13 -'!B45</f>
        <v>7798762</v>
      </c>
      <c r="G19" s="50"/>
      <c r="H19" s="184"/>
      <c r="I19" s="51"/>
      <c r="J19" s="427"/>
      <c r="K19" s="48">
        <f>SUM(C19:F19)</f>
        <v>77547042</v>
      </c>
    </row>
    <row r="20" spans="1:13" ht="28.5" customHeight="1" x14ac:dyDescent="0.2">
      <c r="A20" s="47">
        <v>700</v>
      </c>
      <c r="B20" s="6" t="s">
        <v>75</v>
      </c>
      <c r="C20" s="48">
        <f>'- 13 -'!D21</f>
        <v>43496652</v>
      </c>
      <c r="D20" s="49">
        <f>'- 13 -'!D22</f>
        <v>6619542</v>
      </c>
      <c r="E20" s="49">
        <f>'- 13 -'!D39</f>
        <v>22610948</v>
      </c>
      <c r="F20" s="49">
        <f>'- 13 -'!D45</f>
        <v>16298213</v>
      </c>
      <c r="G20" s="50"/>
      <c r="H20" s="184"/>
      <c r="I20" s="51"/>
      <c r="J20" s="427"/>
      <c r="K20" s="48">
        <f>SUM(C20:F20)</f>
        <v>89025355</v>
      </c>
      <c r="L20" s="639" t="s">
        <v>97</v>
      </c>
    </row>
    <row r="21" spans="1:13" ht="24" customHeight="1" x14ac:dyDescent="0.2">
      <c r="A21" s="47">
        <v>800</v>
      </c>
      <c r="B21" s="6" t="s">
        <v>76</v>
      </c>
      <c r="C21" s="48">
        <f>'- 13 -'!F21</f>
        <v>121803358</v>
      </c>
      <c r="D21" s="49">
        <f>'- 13 -'!F22</f>
        <v>20289969</v>
      </c>
      <c r="E21" s="49">
        <f>'- 13 -'!F39</f>
        <v>105411511</v>
      </c>
      <c r="F21" s="49">
        <f>'- 13 -'!F45</f>
        <v>25978906</v>
      </c>
      <c r="G21" s="50"/>
      <c r="H21" s="184"/>
      <c r="I21" s="51">
        <f>'- 13 -'!F47</f>
        <v>0</v>
      </c>
      <c r="J21" s="428"/>
      <c r="K21" s="48">
        <f>SUM(C21:F21,I21)</f>
        <v>273483744</v>
      </c>
      <c r="L21" s="639"/>
    </row>
    <row r="22" spans="1:13" ht="24" customHeight="1" x14ac:dyDescent="0.2">
      <c r="A22" s="47">
        <v>900</v>
      </c>
      <c r="B22" s="6" t="s">
        <v>30</v>
      </c>
      <c r="C22" s="52"/>
      <c r="D22" s="53"/>
      <c r="E22" s="53"/>
      <c r="F22" s="53"/>
      <c r="G22" s="49">
        <v>2402158</v>
      </c>
      <c r="H22" s="49">
        <v>137801</v>
      </c>
      <c r="I22" s="51">
        <v>39265794</v>
      </c>
      <c r="J22" s="428" t="s">
        <v>224</v>
      </c>
      <c r="K22" s="48">
        <f>SUM(G22:I22)</f>
        <v>41805753</v>
      </c>
    </row>
    <row r="23" spans="1:13" x14ac:dyDescent="0.2">
      <c r="A23" s="47"/>
      <c r="B23" s="6"/>
      <c r="C23" s="52"/>
      <c r="D23" s="53"/>
      <c r="E23" s="53"/>
      <c r="F23" s="53"/>
      <c r="G23" s="53"/>
      <c r="H23" s="32"/>
      <c r="I23" s="54"/>
      <c r="J23" s="50"/>
      <c r="K23" s="52"/>
    </row>
    <row r="24" spans="1:13" x14ac:dyDescent="0.2">
      <c r="B24" s="6"/>
      <c r="C24" s="57"/>
      <c r="D24" s="57"/>
      <c r="E24" s="57"/>
      <c r="F24" s="57"/>
      <c r="G24" s="57"/>
      <c r="H24" s="57"/>
      <c r="I24" s="57"/>
      <c r="K24" s="57"/>
    </row>
    <row r="25" spans="1:13" x14ac:dyDescent="0.2">
      <c r="A25" s="58"/>
      <c r="B25" s="59" t="s">
        <v>73</v>
      </c>
      <c r="C25" s="60">
        <f>SUM(C13:C22)</f>
        <v>1883400922</v>
      </c>
      <c r="D25" s="61">
        <f>SUM(D13:D22)</f>
        <v>152123887</v>
      </c>
      <c r="E25" s="61">
        <f>SUM(E13:E22)</f>
        <v>201699681</v>
      </c>
      <c r="F25" s="61">
        <f>SUM(F13:F22)</f>
        <v>132724998</v>
      </c>
      <c r="G25" s="61">
        <f>G22</f>
        <v>2402158</v>
      </c>
      <c r="H25" s="61">
        <f>H22</f>
        <v>137801</v>
      </c>
      <c r="I25" s="430">
        <f>SUM(I13:I22)</f>
        <v>39265794</v>
      </c>
      <c r="J25" s="62"/>
      <c r="K25" s="60">
        <f>SUM(K13:K22)</f>
        <v>2411755241</v>
      </c>
      <c r="M25" s="2">
        <f>K25-'- 3 -'!D48</f>
        <v>0</v>
      </c>
    </row>
    <row r="26" spans="1:13" ht="60" customHeight="1" x14ac:dyDescent="0.2"/>
    <row r="27" spans="1:13" x14ac:dyDescent="0.2">
      <c r="A27" s="109" t="s">
        <v>96</v>
      </c>
      <c r="B27" s="133" t="s">
        <v>390</v>
      </c>
      <c r="C27" s="6"/>
    </row>
    <row r="28" spans="1:13" ht="13.5" customHeight="1" x14ac:dyDescent="0.2">
      <c r="A28" s="429" t="s">
        <v>224</v>
      </c>
      <c r="B28" s="2" t="s">
        <v>277</v>
      </c>
      <c r="C28" s="6"/>
    </row>
  </sheetData>
  <mergeCells count="6">
    <mergeCell ref="A11:B11"/>
    <mergeCell ref="L20:L21"/>
    <mergeCell ref="D10:D11"/>
    <mergeCell ref="F10:F11"/>
    <mergeCell ref="G10:G11"/>
    <mergeCell ref="H10:H11"/>
  </mergeCells>
  <phoneticPr fontId="6" type="noConversion"/>
  <pageMargins left="0.39370078740157483" right="0" top="0.64" bottom="0.19685039370078741" header="0.31496062992125984" footer="0.51181102362204722"/>
  <pageSetup scale="9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2:L54"/>
  <sheetViews>
    <sheetView showGridLines="0" showZeros="0" workbookViewId="0"/>
  </sheetViews>
  <sheetFormatPr defaultColWidth="15.83203125" defaultRowHeight="12" x14ac:dyDescent="0.2"/>
  <cols>
    <col min="1" max="1" width="49.6640625" style="2" customWidth="1"/>
    <col min="2" max="2" width="15.83203125" style="2" customWidth="1"/>
    <col min="3" max="3" width="8.83203125" style="2" customWidth="1"/>
    <col min="4" max="4" width="15.83203125" style="2" customWidth="1"/>
    <col min="5" max="5" width="8.83203125" style="2" customWidth="1"/>
    <col min="6" max="6" width="15.83203125" style="2" customWidth="1"/>
    <col min="7" max="7" width="8.83203125" style="2" customWidth="1"/>
    <col min="8" max="8" width="15.83203125" style="2" customWidth="1"/>
    <col min="9" max="9" width="8.83203125" style="2" customWidth="1"/>
    <col min="10" max="10" width="15.83203125" style="2" customWidth="1"/>
    <col min="11" max="11" width="8.83203125" style="2" customWidth="1"/>
    <col min="12" max="12" width="5" style="2" customWidth="1"/>
    <col min="13" max="16384" width="15.83203125" style="2"/>
  </cols>
  <sheetData>
    <row r="2" spans="1:11" x14ac:dyDescent="0.2">
      <c r="A2" s="39"/>
      <c r="B2" s="39"/>
      <c r="C2" s="39"/>
      <c r="D2" s="40" t="str">
        <f>OPYEAR</f>
        <v>OPERATING FUND 2019/2020 ACTUAL</v>
      </c>
      <c r="E2" s="40"/>
      <c r="F2" s="40"/>
      <c r="G2" s="40"/>
      <c r="H2" s="41"/>
      <c r="I2" s="41"/>
      <c r="J2" s="42"/>
      <c r="K2" s="111" t="s">
        <v>11</v>
      </c>
    </row>
    <row r="3" spans="1:11" ht="9" customHeight="1" x14ac:dyDescent="0.2">
      <c r="A3" s="538"/>
      <c r="J3" s="80"/>
      <c r="K3" s="80"/>
    </row>
    <row r="4" spans="1:11" ht="15.75" x14ac:dyDescent="0.25">
      <c r="B4" s="280" t="s">
        <v>258</v>
      </c>
      <c r="C4" s="80"/>
      <c r="D4" s="80"/>
      <c r="E4" s="80"/>
      <c r="F4" s="80"/>
      <c r="G4" s="80"/>
      <c r="H4" s="80"/>
      <c r="I4" s="80"/>
      <c r="J4" s="80"/>
      <c r="K4" s="80"/>
    </row>
    <row r="5" spans="1:11" ht="15.75" x14ac:dyDescent="0.25">
      <c r="B5" s="280" t="s">
        <v>259</v>
      </c>
      <c r="C5" s="80"/>
      <c r="D5" s="80"/>
      <c r="E5" s="80"/>
      <c r="F5" s="80"/>
      <c r="G5" s="80"/>
      <c r="H5" s="80"/>
      <c r="I5" s="80"/>
      <c r="J5" s="80"/>
      <c r="K5" s="80"/>
    </row>
    <row r="6" spans="1:11" ht="9" customHeight="1" x14ac:dyDescent="0.2"/>
    <row r="7" spans="1:11" x14ac:dyDescent="0.2">
      <c r="B7" s="112" t="s">
        <v>78</v>
      </c>
      <c r="C7" s="41"/>
      <c r="D7" s="41"/>
      <c r="E7" s="41"/>
      <c r="F7" s="41"/>
      <c r="G7" s="41"/>
      <c r="H7" s="41"/>
      <c r="I7" s="41"/>
      <c r="J7" s="41"/>
      <c r="K7" s="113"/>
    </row>
    <row r="8" spans="1:11" x14ac:dyDescent="0.2">
      <c r="A8" s="8"/>
      <c r="B8" s="649" t="s">
        <v>461</v>
      </c>
      <c r="C8" s="650"/>
      <c r="D8" s="653" t="s">
        <v>260</v>
      </c>
      <c r="E8" s="650"/>
      <c r="F8" s="653" t="s">
        <v>106</v>
      </c>
      <c r="G8" s="650"/>
      <c r="H8" s="649" t="s">
        <v>462</v>
      </c>
      <c r="I8" s="650"/>
      <c r="J8" s="653" t="s">
        <v>93</v>
      </c>
      <c r="K8" s="650"/>
    </row>
    <row r="9" spans="1:11" x14ac:dyDescent="0.2">
      <c r="A9" s="8"/>
      <c r="B9" s="651"/>
      <c r="C9" s="652"/>
      <c r="D9" s="651"/>
      <c r="E9" s="652"/>
      <c r="F9" s="651"/>
      <c r="G9" s="652"/>
      <c r="H9" s="651"/>
      <c r="I9" s="652"/>
      <c r="J9" s="651"/>
      <c r="K9" s="652"/>
    </row>
    <row r="10" spans="1:11" x14ac:dyDescent="0.2">
      <c r="A10" s="114" t="s">
        <v>71</v>
      </c>
      <c r="B10" s="115" t="s">
        <v>43</v>
      </c>
      <c r="C10" s="115" t="s">
        <v>44</v>
      </c>
      <c r="D10" s="115" t="s">
        <v>43</v>
      </c>
      <c r="E10" s="115" t="s">
        <v>44</v>
      </c>
      <c r="F10" s="115" t="s">
        <v>43</v>
      </c>
      <c r="G10" s="115" t="s">
        <v>44</v>
      </c>
      <c r="H10" s="115" t="s">
        <v>43</v>
      </c>
      <c r="I10" s="115" t="s">
        <v>44</v>
      </c>
      <c r="J10" s="115" t="s">
        <v>43</v>
      </c>
      <c r="K10" s="46" t="s">
        <v>44</v>
      </c>
    </row>
    <row r="11" spans="1:11" ht="5.0999999999999996" customHeight="1" x14ac:dyDescent="0.2">
      <c r="A11" s="116"/>
      <c r="B11" s="8"/>
      <c r="C11" s="8"/>
      <c r="D11" s="8"/>
      <c r="E11" s="8"/>
      <c r="F11" s="8"/>
      <c r="G11" s="8"/>
      <c r="H11" s="8"/>
      <c r="I11" s="8"/>
      <c r="J11" s="8"/>
      <c r="K11" s="8"/>
    </row>
    <row r="12" spans="1:11" x14ac:dyDescent="0.2">
      <c r="A12" s="313" t="s">
        <v>72</v>
      </c>
      <c r="B12" s="117"/>
      <c r="C12" s="118"/>
      <c r="D12" s="117"/>
      <c r="E12" s="118"/>
      <c r="F12" s="117"/>
      <c r="G12" s="118"/>
      <c r="H12" s="117"/>
      <c r="I12" s="118"/>
      <c r="J12" s="117"/>
      <c r="K12" s="118"/>
    </row>
    <row r="13" spans="1:11" x14ac:dyDescent="0.2">
      <c r="A13" s="119" t="s">
        <v>190</v>
      </c>
      <c r="B13" s="120"/>
      <c r="C13" s="339"/>
      <c r="D13" s="120"/>
      <c r="E13" s="339"/>
      <c r="F13" s="120"/>
      <c r="G13" s="339"/>
      <c r="H13" s="120"/>
      <c r="I13" s="339"/>
      <c r="J13" s="120">
        <v>3952002</v>
      </c>
      <c r="K13" s="339"/>
    </row>
    <row r="14" spans="1:11" x14ac:dyDescent="0.2">
      <c r="A14" s="119" t="s">
        <v>226</v>
      </c>
      <c r="B14" s="120">
        <v>102216563</v>
      </c>
      <c r="C14" s="339">
        <f>B14/'- 13 -'!$J$53*100</f>
        <v>4.2382643670597915</v>
      </c>
      <c r="D14" s="120">
        <v>11770873</v>
      </c>
      <c r="E14" s="339">
        <f>D14/'- 13 -'!$J$53*100</f>
        <v>0.4880625031883159</v>
      </c>
      <c r="F14" s="120">
        <v>1136692</v>
      </c>
      <c r="G14" s="339">
        <f>F14/'- 13 -'!$J$53*100</f>
        <v>4.7131316672445037E-2</v>
      </c>
      <c r="H14" s="120">
        <v>842469</v>
      </c>
      <c r="I14" s="339">
        <f>H14/'- 13 -'!$J$53*100</f>
        <v>3.493177855190157E-2</v>
      </c>
      <c r="J14" s="120">
        <v>23255753</v>
      </c>
      <c r="K14" s="339">
        <f>J14/'- 13 -'!$J$53*100</f>
        <v>0.96426671349773185</v>
      </c>
    </row>
    <row r="15" spans="1:11" x14ac:dyDescent="0.2">
      <c r="A15" s="119" t="s">
        <v>191</v>
      </c>
      <c r="B15" s="120">
        <v>1008751778</v>
      </c>
      <c r="C15" s="339">
        <f>B15/'- 13 -'!$J$53*100</f>
        <v>41.826457380548092</v>
      </c>
      <c r="D15" s="120">
        <v>174169107</v>
      </c>
      <c r="E15" s="339">
        <f>D15/'- 13 -'!$J$53*100</f>
        <v>7.2216742411963519</v>
      </c>
      <c r="F15" s="120">
        <v>7502270</v>
      </c>
      <c r="G15" s="339">
        <f>F15/'- 13 -'!$J$53*100</f>
        <v>0.3110709524938895</v>
      </c>
      <c r="H15" s="120">
        <v>8498571</v>
      </c>
      <c r="I15" s="339">
        <f>H15/'- 13 -'!$J$53*100</f>
        <v>0.35238115607768677</v>
      </c>
      <c r="J15" s="120"/>
      <c r="K15" s="339">
        <f>J15/'- 13 -'!$J$53*100</f>
        <v>0</v>
      </c>
    </row>
    <row r="16" spans="1:11" x14ac:dyDescent="0.2">
      <c r="A16" s="119" t="s">
        <v>192</v>
      </c>
      <c r="B16" s="120">
        <v>20739138</v>
      </c>
      <c r="C16" s="339">
        <f>B16/'- 13 -'!$J$53*100</f>
        <v>0.85991885276885771</v>
      </c>
      <c r="D16" s="120">
        <v>157013035</v>
      </c>
      <c r="E16" s="339">
        <f>D16/'- 13 -'!$J$53*100</f>
        <v>6.5103221226917194</v>
      </c>
      <c r="F16" s="120">
        <v>333917</v>
      </c>
      <c r="G16" s="339">
        <f>F16/'- 13 -'!$J$53*100</f>
        <v>1.3845393360129946E-2</v>
      </c>
      <c r="H16" s="120">
        <v>5364689</v>
      </c>
      <c r="I16" s="339">
        <f>H16/'- 13 -'!$J$53*100</f>
        <v>0.22243919734473588</v>
      </c>
      <c r="J16" s="120"/>
      <c r="K16" s="339">
        <f>J16/'- 13 -'!$J$53*100</f>
        <v>0</v>
      </c>
    </row>
    <row r="17" spans="1:12" x14ac:dyDescent="0.2">
      <c r="A17" s="119" t="s">
        <v>193</v>
      </c>
      <c r="B17" s="120">
        <v>6452074</v>
      </c>
      <c r="C17" s="339">
        <f>B17/'- 13 -'!$J$53*100</f>
        <v>0.26752606940846696</v>
      </c>
      <c r="D17" s="120">
        <v>2511787</v>
      </c>
      <c r="E17" s="339">
        <f>D17/'- 13 -'!$J$53*100</f>
        <v>0.10414767457739714</v>
      </c>
      <c r="F17" s="120">
        <v>220433</v>
      </c>
      <c r="G17" s="339">
        <f>F17/'- 13 -'!$J$53*100</f>
        <v>9.1399407474118555E-3</v>
      </c>
      <c r="H17" s="120">
        <v>2344007</v>
      </c>
      <c r="I17" s="339">
        <f>H17/'- 13 -'!$J$53*100</f>
        <v>9.7190915568533848E-2</v>
      </c>
      <c r="J17" s="120">
        <v>6829737</v>
      </c>
      <c r="K17" s="339">
        <f>J17/'- 13 -'!$J$53*100</f>
        <v>0.2831853284236317</v>
      </c>
    </row>
    <row r="18" spans="1:12" x14ac:dyDescent="0.2">
      <c r="A18" s="121" t="s">
        <v>194</v>
      </c>
      <c r="B18" s="120">
        <v>39810030</v>
      </c>
      <c r="C18" s="339">
        <f>B18/'- 13 -'!$J$53*100</f>
        <v>1.6506662584671459</v>
      </c>
      <c r="D18" s="120">
        <v>2714378</v>
      </c>
      <c r="E18" s="339">
        <f>D18/'- 13 -'!$J$53*100</f>
        <v>0.11254782217761541</v>
      </c>
      <c r="F18" s="120">
        <v>611233</v>
      </c>
      <c r="G18" s="339">
        <f>F18/'- 13 -'!$J$53*100</f>
        <v>2.5343906778308105E-2</v>
      </c>
      <c r="H18" s="120">
        <v>611300</v>
      </c>
      <c r="I18" s="339">
        <f>H18/'- 13 -'!$J$53*100</f>
        <v>2.5346684837990987E-2</v>
      </c>
      <c r="J18" s="120">
        <v>16210235</v>
      </c>
      <c r="K18" s="339">
        <f>J18/'- 13 -'!$J$53*100</f>
        <v>0.67213433288855029</v>
      </c>
    </row>
    <row r="19" spans="1:12" x14ac:dyDescent="0.2">
      <c r="A19" s="121" t="s">
        <v>195</v>
      </c>
      <c r="B19" s="120"/>
      <c r="C19" s="340"/>
      <c r="D19" s="122">
        <v>44376599</v>
      </c>
      <c r="E19" s="340">
        <f>D19/'- 13 -'!$J$53*100</f>
        <v>1.8400125454521612</v>
      </c>
      <c r="F19" s="122"/>
      <c r="G19" s="340"/>
      <c r="H19" s="122">
        <v>857769</v>
      </c>
      <c r="I19" s="340"/>
      <c r="J19" s="122"/>
      <c r="K19" s="340"/>
    </row>
    <row r="20" spans="1:12" x14ac:dyDescent="0.2">
      <c r="A20" s="124" t="s">
        <v>196</v>
      </c>
      <c r="B20" s="123">
        <v>14056280</v>
      </c>
      <c r="C20" s="340">
        <f>B20/'- 13 -'!$J$53*100</f>
        <v>0.58282365312376239</v>
      </c>
      <c r="D20" s="123">
        <v>197843</v>
      </c>
      <c r="E20" s="340">
        <f>D20/'- 13 -'!$J$53*100</f>
        <v>8.2032785349299055E-3</v>
      </c>
      <c r="F20" s="123">
        <v>0</v>
      </c>
      <c r="G20" s="340">
        <f>F20/'- 13 -'!$J$53*100</f>
        <v>0</v>
      </c>
      <c r="H20" s="123">
        <v>4048</v>
      </c>
      <c r="I20" s="340">
        <f>H20/'- 13 -'!$J$53*100</f>
        <v>1.6784456113886395E-4</v>
      </c>
      <c r="J20" s="123">
        <v>2349172</v>
      </c>
      <c r="K20" s="340">
        <f>J20/'- 13 -'!$J$53*100</f>
        <v>9.7405074945579845E-2</v>
      </c>
    </row>
    <row r="21" spans="1:12" ht="12.75" customHeight="1" x14ac:dyDescent="0.2">
      <c r="A21" s="125" t="s">
        <v>197</v>
      </c>
      <c r="B21" s="342">
        <f>SUM(B13:B20)</f>
        <v>1192025863</v>
      </c>
      <c r="C21" s="343">
        <f>B21/'- 13 -'!$J$53*100</f>
        <v>49.425656581376117</v>
      </c>
      <c r="D21" s="342">
        <f>SUM(D13:D20)</f>
        <v>392753622</v>
      </c>
      <c r="E21" s="343">
        <f>D21/'- 13 -'!$J$53*100</f>
        <v>16.284970187818491</v>
      </c>
      <c r="F21" s="342">
        <f>SUM(F13:F20)</f>
        <v>9804545</v>
      </c>
      <c r="G21" s="343">
        <f>F21/'- 13 -'!$J$53*100</f>
        <v>0.40653151005218441</v>
      </c>
      <c r="H21" s="342">
        <f>SUM(H13:H20)</f>
        <v>18522853</v>
      </c>
      <c r="I21" s="343">
        <f>H21/'- 13 -'!$J$53*100</f>
        <v>0.76802374822744301</v>
      </c>
      <c r="J21" s="342">
        <f>SUM(J13:J20)</f>
        <v>52596899</v>
      </c>
      <c r="K21" s="343">
        <f>J21/'- 13 -'!$J$53*100</f>
        <v>2.1808555903952942</v>
      </c>
    </row>
    <row r="22" spans="1:12" x14ac:dyDescent="0.2">
      <c r="A22" s="313" t="s">
        <v>80</v>
      </c>
      <c r="B22" s="342">
        <v>72659844</v>
      </c>
      <c r="C22" s="343">
        <f>B22/'- 13 -'!$J$53*100</f>
        <v>3.0127370624007699</v>
      </c>
      <c r="D22" s="342">
        <v>38104243</v>
      </c>
      <c r="E22" s="343">
        <f>D22/'- 13 -'!$J$53*100</f>
        <v>1.5799382272390385</v>
      </c>
      <c r="F22" s="342">
        <v>669866</v>
      </c>
      <c r="G22" s="343">
        <f>F22/'- 13 -'!$J$53*100</f>
        <v>2.7775040709448178E-2</v>
      </c>
      <c r="H22" s="342">
        <v>1825002</v>
      </c>
      <c r="I22" s="343">
        <f>H22/'- 13 -'!$J$53*100</f>
        <v>7.5671111602655369E-2</v>
      </c>
      <c r="J22" s="342">
        <v>6853388</v>
      </c>
      <c r="K22" s="343">
        <f>J22/'- 13 -'!$J$53*100</f>
        <v>0.28416598349168881</v>
      </c>
    </row>
    <row r="23" spans="1:12" x14ac:dyDescent="0.2">
      <c r="A23" s="313" t="s">
        <v>67</v>
      </c>
      <c r="B23" s="128"/>
      <c r="C23" s="341"/>
      <c r="D23" s="128"/>
      <c r="E23" s="341"/>
      <c r="F23" s="128"/>
      <c r="G23" s="341"/>
      <c r="H23" s="128"/>
      <c r="I23" s="341"/>
      <c r="J23" s="128"/>
      <c r="K23" s="341"/>
    </row>
    <row r="24" spans="1:12" x14ac:dyDescent="0.2">
      <c r="A24" s="121" t="s">
        <v>198</v>
      </c>
      <c r="B24" s="120">
        <v>4847812</v>
      </c>
      <c r="C24" s="339">
        <f>B24/'- 13 -'!$J$53*100</f>
        <v>0.20100762787147189</v>
      </c>
      <c r="D24" s="120">
        <v>6974370</v>
      </c>
      <c r="E24" s="339">
        <f>D24/'- 13 -'!$J$53*100</f>
        <v>0.28918233000742549</v>
      </c>
      <c r="F24" s="120">
        <v>54915</v>
      </c>
      <c r="G24" s="339">
        <f>F24/'- 13 -'!$J$53*100</f>
        <v>2.276972350528832E-3</v>
      </c>
      <c r="H24" s="120">
        <v>866046</v>
      </c>
      <c r="I24" s="339">
        <f>H24/'- 13 -'!$J$53*100</f>
        <v>3.5909365315234323E-2</v>
      </c>
      <c r="J24" s="120">
        <v>5046406</v>
      </c>
      <c r="K24" s="339">
        <f>J24/'- 13 -'!$J$53*100</f>
        <v>0.20924204555299647</v>
      </c>
    </row>
    <row r="25" spans="1:12" x14ac:dyDescent="0.2">
      <c r="A25" s="121" t="s">
        <v>199</v>
      </c>
      <c r="B25" s="122">
        <v>3821942</v>
      </c>
      <c r="C25" s="340">
        <f>B25/'- 13 -'!$J$53*100</f>
        <v>0.15847138776882211</v>
      </c>
      <c r="D25" s="122">
        <v>325849</v>
      </c>
      <c r="E25" s="340">
        <f>D25/'- 13 -'!$J$53*100</f>
        <v>1.3510865218018201E-2</v>
      </c>
      <c r="F25" s="122">
        <v>73497</v>
      </c>
      <c r="G25" s="340">
        <f>F25/'- 13 -'!$J$53*100</f>
        <v>3.0474485449661767E-3</v>
      </c>
      <c r="H25" s="122">
        <v>40450</v>
      </c>
      <c r="I25" s="340">
        <f>H25/'- 13 -'!$J$53*100</f>
        <v>1.677201704067946E-3</v>
      </c>
      <c r="J25" s="122">
        <v>996956</v>
      </c>
      <c r="K25" s="340">
        <f>J25/'- 13 -'!$J$53*100</f>
        <v>4.133736222696572E-2</v>
      </c>
    </row>
    <row r="26" spans="1:12" x14ac:dyDescent="0.2">
      <c r="A26" s="121" t="s">
        <v>200</v>
      </c>
      <c r="B26" s="122"/>
      <c r="C26" s="340">
        <f>B26/'- 13 -'!$J$53*100</f>
        <v>0</v>
      </c>
      <c r="D26" s="122"/>
      <c r="E26" s="340">
        <f>D26/'- 13 -'!$J$53*100</f>
        <v>0</v>
      </c>
      <c r="F26" s="122">
        <v>59804</v>
      </c>
      <c r="G26" s="340">
        <f>F26/'- 13 -'!$J$53*100</f>
        <v>2.4796877802244609E-3</v>
      </c>
      <c r="H26" s="122"/>
      <c r="I26" s="340">
        <f>H26/'- 13 -'!$J$53*100</f>
        <v>0</v>
      </c>
      <c r="J26" s="122"/>
      <c r="K26" s="340">
        <f>J26/'- 13 -'!$J$53*100</f>
        <v>0</v>
      </c>
    </row>
    <row r="27" spans="1:12" ht="19.5" customHeight="1" x14ac:dyDescent="0.2">
      <c r="A27" s="121" t="s">
        <v>222</v>
      </c>
      <c r="B27" s="122">
        <v>2310749</v>
      </c>
      <c r="C27" s="340">
        <f>B27/'- 13 -'!$J$53*100</f>
        <v>9.5811919912813417E-2</v>
      </c>
      <c r="D27" s="122">
        <v>1761307</v>
      </c>
      <c r="E27" s="340">
        <f>D27/'- 13 -'!$J$53*100</f>
        <v>7.3030089042937008E-2</v>
      </c>
      <c r="F27" s="122">
        <v>62546</v>
      </c>
      <c r="G27" s="340">
        <f>F27/'- 13 -'!$J$53*100</f>
        <v>2.593380909335816E-3</v>
      </c>
      <c r="H27" s="122">
        <v>156623</v>
      </c>
      <c r="I27" s="340">
        <f>H27/'- 13 -'!$J$53*100</f>
        <v>6.494149876297501E-3</v>
      </c>
      <c r="J27" s="122">
        <v>1535412</v>
      </c>
      <c r="K27" s="340">
        <f>J27/'- 13 -'!$J$53*100</f>
        <v>6.3663674236004275E-2</v>
      </c>
      <c r="L27" s="647" t="s">
        <v>108</v>
      </c>
    </row>
    <row r="28" spans="1:12" ht="12.75" customHeight="1" x14ac:dyDescent="0.2">
      <c r="A28" s="121" t="s">
        <v>201</v>
      </c>
      <c r="B28" s="122"/>
      <c r="C28" s="340">
        <f>B28/'- 13 -'!$J$53*100</f>
        <v>0</v>
      </c>
      <c r="D28" s="122"/>
      <c r="E28" s="340">
        <f>D28/'- 13 -'!$J$53*100</f>
        <v>0</v>
      </c>
      <c r="F28" s="122"/>
      <c r="G28" s="340">
        <f>F28/'- 13 -'!$J$53*100</f>
        <v>0</v>
      </c>
      <c r="H28" s="122"/>
      <c r="I28" s="340">
        <f>H28/'- 13 -'!$J$53*100</f>
        <v>0</v>
      </c>
      <c r="J28" s="122"/>
      <c r="K28" s="340">
        <f>J28/'- 13 -'!$J$53*100</f>
        <v>0</v>
      </c>
      <c r="L28" s="648"/>
    </row>
    <row r="29" spans="1:12" ht="12.75" customHeight="1" x14ac:dyDescent="0.2">
      <c r="A29" s="121" t="s">
        <v>202</v>
      </c>
      <c r="B29" s="122">
        <v>1069474</v>
      </c>
      <c r="C29" s="340">
        <f>B29/'- 13 -'!$J$53*100</f>
        <v>4.434421792969994E-2</v>
      </c>
      <c r="D29" s="122">
        <v>795569</v>
      </c>
      <c r="E29" s="340">
        <f>D29/'- 13 -'!$J$53*100</f>
        <v>3.2987136773884589E-2</v>
      </c>
      <c r="F29" s="122">
        <v>601</v>
      </c>
      <c r="G29" s="340">
        <f>F29/'- 13 -'!$J$53*100</f>
        <v>2.4919609991219668E-5</v>
      </c>
      <c r="H29" s="122"/>
      <c r="I29" s="340">
        <f>H29/'- 13 -'!$J$53*100</f>
        <v>0</v>
      </c>
      <c r="J29" s="122"/>
      <c r="K29" s="340">
        <f>J29/'- 13 -'!$J$53*100</f>
        <v>0</v>
      </c>
      <c r="L29" s="648"/>
    </row>
    <row r="30" spans="1:12" ht="12.75" customHeight="1" x14ac:dyDescent="0.2">
      <c r="A30" s="121" t="s">
        <v>203</v>
      </c>
      <c r="B30" s="122">
        <v>178674</v>
      </c>
      <c r="C30" s="340">
        <f>B30/'- 13 -'!$J$53*100</f>
        <v>7.4084632205843317E-3</v>
      </c>
      <c r="D30" s="122">
        <v>15398</v>
      </c>
      <c r="E30" s="340">
        <f>D30/'- 13 -'!$J$53*100</f>
        <v>6.3845616413444337E-4</v>
      </c>
      <c r="F30" s="122">
        <v>4140</v>
      </c>
      <c r="G30" s="340">
        <f>F30/'- 13 -'!$J$53*100</f>
        <v>1.7165921025565629E-4</v>
      </c>
      <c r="H30" s="122">
        <v>38134</v>
      </c>
      <c r="I30" s="340">
        <f>H30/'- 13 -'!$J$53*100</f>
        <v>1.5811720589104341E-3</v>
      </c>
      <c r="J30" s="122">
        <v>149266</v>
      </c>
      <c r="K30" s="340">
        <f>J30/'- 13 -'!$J$53*100</f>
        <v>6.1891023376861812E-3</v>
      </c>
    </row>
    <row r="31" spans="1:12" x14ac:dyDescent="0.2">
      <c r="A31" s="121" t="s">
        <v>204</v>
      </c>
      <c r="B31" s="122">
        <v>176853</v>
      </c>
      <c r="C31" s="340">
        <f>B31/'- 13 -'!$J$53*100</f>
        <v>7.3329580462182572E-3</v>
      </c>
      <c r="D31" s="122">
        <v>29592</v>
      </c>
      <c r="E31" s="340">
        <f>D31/'- 13 -'!$J$53*100</f>
        <v>1.2269901811317345E-3</v>
      </c>
      <c r="F31" s="122">
        <v>1504</v>
      </c>
      <c r="G31" s="340">
        <f>F31/'- 13 -'!$J$53*100</f>
        <v>6.2361220344083821E-5</v>
      </c>
      <c r="H31" s="122">
        <v>1555</v>
      </c>
      <c r="I31" s="340">
        <f>H31/'- 13 -'!$J$53*100</f>
        <v>6.4475862789262203E-5</v>
      </c>
      <c r="J31" s="122">
        <v>1695139</v>
      </c>
      <c r="K31" s="340">
        <f>J31/'- 13 -'!$J$53*100</f>
        <v>7.0286527056416165E-2</v>
      </c>
    </row>
    <row r="32" spans="1:12" x14ac:dyDescent="0.2">
      <c r="A32" s="121" t="s">
        <v>205</v>
      </c>
      <c r="B32" s="122">
        <v>2763139</v>
      </c>
      <c r="C32" s="340">
        <f>B32/'- 13 -'!$J$53*100</f>
        <v>0.11456962767309271</v>
      </c>
      <c r="D32" s="122">
        <v>97741</v>
      </c>
      <c r="E32" s="340">
        <f>D32/'- 13 -'!$J$53*100</f>
        <v>4.0526915143956769E-3</v>
      </c>
      <c r="F32" s="122">
        <v>53393</v>
      </c>
      <c r="G32" s="340">
        <f>F32/'- 13 -'!$J$53*100</f>
        <v>2.2138647857923325E-3</v>
      </c>
      <c r="H32" s="122">
        <v>11225</v>
      </c>
      <c r="I32" s="340">
        <f>H32/'- 13 -'!$J$53*100</f>
        <v>4.6542865582602461E-4</v>
      </c>
      <c r="J32" s="122">
        <v>158989</v>
      </c>
      <c r="K32" s="340">
        <f>J32/'- 13 -'!$J$53*100</f>
        <v>6.5922527003228351E-3</v>
      </c>
    </row>
    <row r="33" spans="1:11" x14ac:dyDescent="0.2">
      <c r="A33" s="121" t="s">
        <v>206</v>
      </c>
      <c r="B33" s="122">
        <v>2889778</v>
      </c>
      <c r="C33" s="340">
        <f>B33/'- 13 -'!$J$53*100</f>
        <v>0.11982053364593477</v>
      </c>
      <c r="D33" s="122">
        <v>233512</v>
      </c>
      <c r="E33" s="340">
        <f>D33/'- 13 -'!$J$53*100</f>
        <v>9.6822428756567179E-3</v>
      </c>
      <c r="F33" s="122">
        <v>750315</v>
      </c>
      <c r="G33" s="340">
        <f>F33/'- 13 -'!$J$53*100</f>
        <v>3.1110744044196316E-2</v>
      </c>
      <c r="H33" s="122">
        <v>760707</v>
      </c>
      <c r="I33" s="340">
        <f>H33/'- 13 -'!$J$53*100</f>
        <v>3.1541633540084428E-2</v>
      </c>
      <c r="J33" s="122">
        <v>327086</v>
      </c>
      <c r="K33" s="340">
        <f>J33/'- 13 -'!$J$53*100</f>
        <v>1.3562155663208113E-2</v>
      </c>
    </row>
    <row r="34" spans="1:11" x14ac:dyDescent="0.2">
      <c r="A34" s="392" t="s">
        <v>247</v>
      </c>
      <c r="B34" s="122"/>
      <c r="C34" s="340">
        <f>B34/'- 13 -'!$J$53*100</f>
        <v>0</v>
      </c>
      <c r="D34" s="122"/>
      <c r="E34" s="340">
        <f>D34/'- 13 -'!$J$53*100</f>
        <v>0</v>
      </c>
      <c r="F34" s="122">
        <v>15902</v>
      </c>
      <c r="G34" s="340">
        <f>F34/'- 13 -'!$J$53*100</f>
        <v>6.5935380712208846E-4</v>
      </c>
      <c r="H34" s="122"/>
      <c r="I34" s="340">
        <f>H34/'- 13 -'!$J$53*100</f>
        <v>0</v>
      </c>
      <c r="J34" s="122"/>
      <c r="K34" s="340">
        <f>J34/'- 13 -'!$J$53*100</f>
        <v>0</v>
      </c>
    </row>
    <row r="35" spans="1:11" x14ac:dyDescent="0.2">
      <c r="A35" s="121" t="s">
        <v>207</v>
      </c>
      <c r="B35" s="122">
        <v>370979</v>
      </c>
      <c r="C35" s="340">
        <f>B35/'- 13 -'!$J$53*100</f>
        <v>1.5382116464114279E-2</v>
      </c>
      <c r="D35" s="122">
        <v>38238</v>
      </c>
      <c r="E35" s="340">
        <f>D35/'- 13 -'!$J$53*100</f>
        <v>1.5854842709555035E-3</v>
      </c>
      <c r="F35" s="122">
        <v>26226</v>
      </c>
      <c r="G35" s="340">
        <f>F35/'- 13 -'!$J$53*100</f>
        <v>1.0874237797499618E-3</v>
      </c>
      <c r="H35" s="122">
        <v>69525</v>
      </c>
      <c r="I35" s="340">
        <f>H35/'- 13 -'!$J$53*100</f>
        <v>2.8827552157064018E-3</v>
      </c>
      <c r="J35" s="122">
        <v>492675</v>
      </c>
      <c r="K35" s="340">
        <f>J35/'- 13 -'!$J$53*100</f>
        <v>2.0428067974083444E-2</v>
      </c>
    </row>
    <row r="36" spans="1:11" x14ac:dyDescent="0.2">
      <c r="A36" s="121" t="s">
        <v>208</v>
      </c>
      <c r="B36" s="122">
        <v>754375</v>
      </c>
      <c r="C36" s="340">
        <f>B36/'- 13 -'!$J$53*100</f>
        <v>3.1279086168263456E-2</v>
      </c>
      <c r="D36" s="122">
        <v>119068</v>
      </c>
      <c r="E36" s="340">
        <f>D36/'- 13 -'!$J$53*100</f>
        <v>4.9369852286764455E-3</v>
      </c>
      <c r="F36" s="122">
        <v>366</v>
      </c>
      <c r="G36" s="340">
        <f>F36/'- 13 -'!$J$53*100</f>
        <v>1.5175669312456569E-5</v>
      </c>
      <c r="H36" s="122">
        <v>9701</v>
      </c>
      <c r="I36" s="340">
        <f>H36/'- 13 -'!$J$53*100</f>
        <v>4.0223816393481203E-4</v>
      </c>
      <c r="J36" s="122">
        <v>2893937</v>
      </c>
      <c r="K36" s="340">
        <f>J36/'- 13 -'!$J$53*100</f>
        <v>0.1199929806641602</v>
      </c>
    </row>
    <row r="37" spans="1:11" x14ac:dyDescent="0.2">
      <c r="A37" s="126" t="s">
        <v>209</v>
      </c>
      <c r="B37" s="122">
        <v>337469</v>
      </c>
      <c r="C37" s="340">
        <f>B37/'- 13 -'!$J$53*100</f>
        <v>1.3992671986900016E-2</v>
      </c>
      <c r="D37" s="122">
        <v>235375</v>
      </c>
      <c r="E37" s="340">
        <f>D37/'- 13 -'!$J$53*100</f>
        <v>9.7594895202717628E-3</v>
      </c>
      <c r="F37" s="122">
        <v>26202</v>
      </c>
      <c r="G37" s="340">
        <f>F37/'- 13 -'!$J$53*100</f>
        <v>1.0864286538934073E-3</v>
      </c>
      <c r="H37" s="122">
        <v>11117</v>
      </c>
      <c r="I37" s="340">
        <f>H37/'- 13 -'!$J$53*100</f>
        <v>4.6095058947152922E-4</v>
      </c>
      <c r="J37" s="122">
        <v>910643</v>
      </c>
      <c r="K37" s="340">
        <f>J37/'- 13 -'!$J$53*100</f>
        <v>3.7758516474599421E-2</v>
      </c>
    </row>
    <row r="38" spans="1:11" x14ac:dyDescent="0.2">
      <c r="A38" s="127" t="s">
        <v>210</v>
      </c>
      <c r="B38" s="122">
        <v>10552529</v>
      </c>
      <c r="C38" s="340">
        <f>B38/'- 13 -'!$J$53*100</f>
        <v>0.43754560249756291</v>
      </c>
      <c r="D38" s="122">
        <v>203824</v>
      </c>
      <c r="E38" s="340">
        <f>D38/'- 13 -'!$J$53*100</f>
        <v>8.4512721910987645E-3</v>
      </c>
      <c r="F38" s="122">
        <v>22853</v>
      </c>
      <c r="G38" s="340">
        <f>F38/'- 13 -'!$J$53*100</f>
        <v>9.4756713332669394E-4</v>
      </c>
      <c r="H38" s="122">
        <v>7256</v>
      </c>
      <c r="I38" s="340">
        <f>H38/'- 13 -'!$J$53*100</f>
        <v>3.0085971729831932E-4</v>
      </c>
      <c r="J38" s="122">
        <v>3193377</v>
      </c>
      <c r="K38" s="340">
        <f>J38/'- 13 -'!$J$53*100</f>
        <v>0.1324088342677722</v>
      </c>
    </row>
    <row r="39" spans="1:11" x14ac:dyDescent="0.2">
      <c r="A39" s="125" t="s">
        <v>211</v>
      </c>
      <c r="B39" s="342">
        <f>SUM(B24:B38)</f>
        <v>30073773</v>
      </c>
      <c r="C39" s="343">
        <f>B39/'- 13 -'!$J$53*100</f>
        <v>1.246966213185478</v>
      </c>
      <c r="D39" s="342">
        <f>SUM(D24:D38)</f>
        <v>10829843</v>
      </c>
      <c r="E39" s="343">
        <f>D39/'- 13 -'!$J$53*100</f>
        <v>0.44904403298858636</v>
      </c>
      <c r="F39" s="342">
        <f>SUM(F24:F38)</f>
        <v>1152264</v>
      </c>
      <c r="G39" s="343">
        <f>F39/'- 13 -'!$J$53*100</f>
        <v>4.7776987499039504E-2</v>
      </c>
      <c r="H39" s="342">
        <f>SUM(H24:H38)</f>
        <v>1972339</v>
      </c>
      <c r="I39" s="343">
        <f>H39/'- 13 -'!$J$53*100</f>
        <v>8.1780230699620982E-2</v>
      </c>
      <c r="J39" s="342">
        <f>SUM(J24:J38)</f>
        <v>17399886</v>
      </c>
      <c r="K39" s="343">
        <f>J39/'- 13 -'!$J$53*100</f>
        <v>0.72146151915421497</v>
      </c>
    </row>
    <row r="40" spans="1:11" x14ac:dyDescent="0.2">
      <c r="A40" s="314" t="s">
        <v>212</v>
      </c>
      <c r="B40" s="128"/>
      <c r="C40" s="341"/>
      <c r="D40" s="128"/>
      <c r="E40" s="341"/>
      <c r="F40" s="128"/>
      <c r="G40" s="341"/>
      <c r="H40" s="128"/>
      <c r="I40" s="341"/>
      <c r="J40" s="128"/>
      <c r="K40" s="341"/>
    </row>
    <row r="41" spans="1:11" x14ac:dyDescent="0.2">
      <c r="A41" s="121" t="s">
        <v>213</v>
      </c>
      <c r="B41" s="122">
        <v>29553562</v>
      </c>
      <c r="C41" s="340">
        <f>B41/'- 13 -'!$J$53*100</f>
        <v>1.2253964041453078</v>
      </c>
      <c r="D41" s="122">
        <v>2396421</v>
      </c>
      <c r="E41" s="340">
        <f>D41/'- 13 -'!$J$53*100</f>
        <v>9.9364187512094221E-2</v>
      </c>
      <c r="F41" s="122">
        <v>204594</v>
      </c>
      <c r="G41" s="340">
        <f>F41/'- 13 -'!$J$53*100</f>
        <v>8.4831991456632214E-3</v>
      </c>
      <c r="H41" s="122">
        <v>1165950</v>
      </c>
      <c r="I41" s="340">
        <f>H41/'- 13 -'!$J$53*100</f>
        <v>4.8344458018739725E-2</v>
      </c>
      <c r="J41" s="122">
        <v>1097934</v>
      </c>
      <c r="K41" s="340">
        <f>J41/'- 13 -'!$J$53*100</f>
        <v>4.5524271341264189E-2</v>
      </c>
    </row>
    <row r="42" spans="1:11" x14ac:dyDescent="0.2">
      <c r="A42" s="121" t="s">
        <v>214</v>
      </c>
      <c r="B42" s="122">
        <v>8778707</v>
      </c>
      <c r="C42" s="340">
        <f>B42/'- 13 -'!$J$53*100</f>
        <v>0.36399659678401003</v>
      </c>
      <c r="D42" s="122">
        <v>554724</v>
      </c>
      <c r="E42" s="340">
        <f>D42/'- 13 -'!$J$53*100</f>
        <v>2.3000841485473111E-2</v>
      </c>
      <c r="F42" s="122">
        <v>63751</v>
      </c>
      <c r="G42" s="340">
        <f>F42/'- 13 -'!$J$53*100</f>
        <v>2.6433445200503246E-3</v>
      </c>
      <c r="H42" s="122">
        <v>93528</v>
      </c>
      <c r="I42" s="340">
        <f>H42/'- 13 -'!$J$53*100</f>
        <v>3.8780054629930006E-3</v>
      </c>
      <c r="J42" s="122">
        <v>124128</v>
      </c>
      <c r="K42" s="340">
        <f>J42/'- 13 -'!$J$53*100</f>
        <v>5.1467909301000257E-3</v>
      </c>
    </row>
    <row r="43" spans="1:11" x14ac:dyDescent="0.2">
      <c r="A43" s="121" t="s">
        <v>215</v>
      </c>
      <c r="B43" s="122">
        <v>11487411</v>
      </c>
      <c r="C43" s="340">
        <f>B43/'- 13 -'!$J$53*100</f>
        <v>0.47630915462370499</v>
      </c>
      <c r="D43" s="122">
        <v>525787</v>
      </c>
      <c r="E43" s="340">
        <f>D43/'- 13 -'!$J$53*100</f>
        <v>2.1801009947509845E-2</v>
      </c>
      <c r="F43" s="122">
        <v>60583</v>
      </c>
      <c r="G43" s="340">
        <f>F43/'- 13 -'!$J$53*100</f>
        <v>2.511987906985127E-3</v>
      </c>
      <c r="H43" s="122">
        <v>55113</v>
      </c>
      <c r="I43" s="340">
        <f>H43/'- 13 -'!$J$53*100</f>
        <v>2.2851821388454071E-3</v>
      </c>
      <c r="J43" s="122">
        <v>368042</v>
      </c>
      <c r="K43" s="340">
        <f>J43/'- 13 -'!$J$53*100</f>
        <v>1.5260337937418418E-2</v>
      </c>
    </row>
    <row r="44" spans="1:11" x14ac:dyDescent="0.2">
      <c r="A44" s="127" t="s">
        <v>216</v>
      </c>
      <c r="B44" s="122">
        <v>24239096</v>
      </c>
      <c r="C44" s="340">
        <f>B44/'- 13 -'!$J$53*100</f>
        <v>1.0050396320461443</v>
      </c>
      <c r="D44" s="122">
        <v>884747</v>
      </c>
      <c r="E44" s="340">
        <f>D44/'- 13 -'!$J$53*100</f>
        <v>3.668477567537709E-2</v>
      </c>
      <c r="F44" s="122">
        <v>76115</v>
      </c>
      <c r="G44" s="340">
        <f>F44/'- 13 -'!$J$53*100</f>
        <v>3.1560001904853328E-3</v>
      </c>
      <c r="H44" s="122">
        <v>56670</v>
      </c>
      <c r="I44" s="340">
        <f>H44/'- 13 -'!$J$53*100</f>
        <v>2.3497409287893821E-3</v>
      </c>
      <c r="J44" s="122">
        <v>862254</v>
      </c>
      <c r="K44" s="340">
        <f>J44/'- 13 -'!$J$53*100</f>
        <v>3.5752135429898711E-2</v>
      </c>
    </row>
    <row r="45" spans="1:11" x14ac:dyDescent="0.2">
      <c r="A45" s="125" t="s">
        <v>217</v>
      </c>
      <c r="B45" s="342">
        <f>SUM(B41:B44)</f>
        <v>74058776</v>
      </c>
      <c r="C45" s="343">
        <f>B45/'- 13 -'!$J$53*100</f>
        <v>3.0707417875991672</v>
      </c>
      <c r="D45" s="342">
        <f>SUM(D41:D44)</f>
        <v>4361679</v>
      </c>
      <c r="E45" s="343">
        <f>D45/'- 13 -'!$J$53*100</f>
        <v>0.18085081462045427</v>
      </c>
      <c r="F45" s="342">
        <f>SUM(F41:F44)</f>
        <v>405043</v>
      </c>
      <c r="G45" s="343">
        <f>F45/'- 13 -'!$J$53*100</f>
        <v>1.6794531763184007E-2</v>
      </c>
      <c r="H45" s="342">
        <f>SUM(H41:H44)</f>
        <v>1371261</v>
      </c>
      <c r="I45" s="343">
        <f>H45/'- 13 -'!$J$53*100</f>
        <v>5.685738654936752E-2</v>
      </c>
      <c r="J45" s="342">
        <f>SUM(J41:J44)</f>
        <v>2452358</v>
      </c>
      <c r="K45" s="343">
        <f>J45/'- 13 -'!$J$53*100</f>
        <v>0.10168353563868134</v>
      </c>
    </row>
    <row r="46" spans="1:11" x14ac:dyDescent="0.2">
      <c r="A46" s="313" t="s">
        <v>47</v>
      </c>
      <c r="B46" s="128"/>
      <c r="C46" s="341"/>
      <c r="D46" s="128"/>
      <c r="E46" s="341"/>
      <c r="F46" s="128"/>
      <c r="G46" s="341"/>
      <c r="H46" s="128"/>
      <c r="I46" s="341"/>
      <c r="J46" s="128"/>
      <c r="K46" s="341"/>
    </row>
    <row r="47" spans="1:11" ht="14.25" x14ac:dyDescent="0.2">
      <c r="A47" s="127" t="s">
        <v>243</v>
      </c>
      <c r="B47" s="122"/>
      <c r="C47" s="340"/>
      <c r="D47" s="122"/>
      <c r="E47" s="340"/>
      <c r="F47" s="122">
        <v>56045</v>
      </c>
      <c r="G47" s="340"/>
      <c r="H47" s="122">
        <v>40927</v>
      </c>
      <c r="I47" s="340"/>
      <c r="J47" s="122">
        <v>-96972</v>
      </c>
      <c r="K47" s="340"/>
    </row>
    <row r="48" spans="1:11" x14ac:dyDescent="0.2">
      <c r="A48" s="125" t="s">
        <v>220</v>
      </c>
      <c r="B48" s="342"/>
      <c r="C48" s="343"/>
      <c r="D48" s="342"/>
      <c r="E48" s="343"/>
      <c r="F48" s="342">
        <f>F47</f>
        <v>56045</v>
      </c>
      <c r="G48" s="343"/>
      <c r="H48" s="342">
        <f>H47</f>
        <v>40927</v>
      </c>
      <c r="I48" s="343"/>
      <c r="J48" s="342">
        <f>J47</f>
        <v>-96972</v>
      </c>
      <c r="K48" s="343"/>
    </row>
    <row r="49" spans="1:11" ht="5.0999999999999996" customHeight="1" x14ac:dyDescent="0.2">
      <c r="A49" s="23"/>
      <c r="B49" s="32"/>
      <c r="C49" s="129"/>
      <c r="D49" s="57"/>
      <c r="E49" s="129"/>
      <c r="F49" s="57"/>
      <c r="G49" s="129"/>
      <c r="H49" s="57"/>
      <c r="I49" s="129"/>
      <c r="J49" s="57"/>
      <c r="K49" s="129"/>
    </row>
    <row r="50" spans="1:11" x14ac:dyDescent="0.2">
      <c r="A50" s="315" t="s">
        <v>221</v>
      </c>
      <c r="B50" s="344">
        <f>SUM(B48,B45,B39,B22,B21)</f>
        <v>1368818256</v>
      </c>
      <c r="C50" s="345">
        <f>B50/'- 13 -'!$J$53*100</f>
        <v>56.756101644561532</v>
      </c>
      <c r="D50" s="344">
        <f>SUM(D48,D45,D39,D22,D21)</f>
        <v>446049387</v>
      </c>
      <c r="E50" s="345">
        <f>D50/'- 13 -'!$J$53*100</f>
        <v>18.494803262666572</v>
      </c>
      <c r="F50" s="344">
        <f>SUM(F48,F45,F39,F22,F21)</f>
        <v>12087763</v>
      </c>
      <c r="G50" s="345">
        <f>F50/'- 13 -'!$J$53*100</f>
        <v>0.50120189621679767</v>
      </c>
      <c r="H50" s="344">
        <f>SUM(H48,H45,H39,H22,H21)</f>
        <v>23732382</v>
      </c>
      <c r="I50" s="345">
        <f>H50/'- 13 -'!$J$53*100</f>
        <v>0.98402945690955379</v>
      </c>
      <c r="J50" s="344">
        <f>SUM(J48,J45,J39,J22,J21)</f>
        <v>79205559</v>
      </c>
      <c r="K50" s="345">
        <f>J50/'- 13 -'!$J$53*100</f>
        <v>3.284145822656471</v>
      </c>
    </row>
    <row r="51" spans="1:11" ht="15.95" customHeight="1" x14ac:dyDescent="0.2">
      <c r="A51" s="414" t="s">
        <v>391</v>
      </c>
    </row>
    <row r="52" spans="1:11" x14ac:dyDescent="0.2">
      <c r="A52" s="132"/>
      <c r="B52" s="2">
        <f>+B50-'- 15 -'!B48</f>
        <v>0</v>
      </c>
      <c r="D52" s="2">
        <f>+D50-'- 15 -'!E48</f>
        <v>0</v>
      </c>
      <c r="F52" s="2">
        <f>+F50-'- 15 -'!H48</f>
        <v>0</v>
      </c>
      <c r="H52" s="2">
        <f>H50-'- 16 -'!B48</f>
        <v>0</v>
      </c>
      <c r="J52" s="2">
        <f>+J50-'- 16 -'!D48</f>
        <v>0</v>
      </c>
    </row>
    <row r="54" spans="1:11" x14ac:dyDescent="0.2">
      <c r="F54" s="2">
        <f>+F50-'- 15 -'!H48</f>
        <v>0</v>
      </c>
      <c r="J54" s="2">
        <f>+J50-'- 16 -'!D48</f>
        <v>0</v>
      </c>
    </row>
  </sheetData>
  <mergeCells count="6">
    <mergeCell ref="L27:L29"/>
    <mergeCell ref="B8:C9"/>
    <mergeCell ref="D8:E9"/>
    <mergeCell ref="F8:G9"/>
    <mergeCell ref="H8:I9"/>
    <mergeCell ref="J8:K9"/>
  </mergeCells>
  <phoneticPr fontId="6" type="noConversion"/>
  <printOptions verticalCentered="1"/>
  <pageMargins left="0.51181102362204722" right="0" top="0.59055118110236227" bottom="0.19685039370078741" header="0.31496062992125984" footer="0.51181102362204722"/>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60</vt:i4>
      </vt:variant>
      <vt:variant>
        <vt:lpstr>Named Ranges</vt:lpstr>
      </vt:variant>
      <vt:variant>
        <vt:i4>69</vt:i4>
      </vt:variant>
    </vt:vector>
  </HeadingPairs>
  <TitlesOfParts>
    <vt:vector size="129" baseType="lpstr">
      <vt:lpstr>README</vt:lpstr>
      <vt:lpstr>- 3 -</vt:lpstr>
      <vt:lpstr>- 4 -</vt:lpstr>
      <vt:lpstr>- 6 -</vt:lpstr>
      <vt:lpstr>- 7 -</vt:lpstr>
      <vt:lpstr>- 8 -</vt:lpstr>
      <vt:lpstr>- 9 -</vt:lpstr>
      <vt:lpstr>- 10 -</vt:lpstr>
      <vt:lpstr>- 12 -</vt:lpstr>
      <vt:lpstr>- 13 -</vt:lpstr>
      <vt:lpstr>- 15 -</vt:lpstr>
      <vt:lpstr>- 16 -</vt:lpstr>
      <vt:lpstr>- 17 -</vt:lpstr>
      <vt:lpstr>- 18 -</vt:lpstr>
      <vt:lpstr>- 19 -</vt:lpstr>
      <vt:lpstr>- 20 -</vt:lpstr>
      <vt:lpstr>- 21 -</vt:lpstr>
      <vt:lpstr>- 22 -</vt:lpstr>
      <vt:lpstr>- 23 -</vt:lpstr>
      <vt:lpstr>- 24 -</vt:lpstr>
      <vt:lpstr>- 25 -</vt:lpstr>
      <vt:lpstr>- 26 -</vt:lpstr>
      <vt:lpstr>- 27 -</vt:lpstr>
      <vt:lpstr>- 28 -</vt:lpstr>
      <vt:lpstr>- 29 -</vt:lpstr>
      <vt:lpstr>- 30 -</vt:lpstr>
      <vt:lpstr>- 31 -</vt:lpstr>
      <vt:lpstr>- 32 -</vt:lpstr>
      <vt:lpstr>- 33 -</vt:lpstr>
      <vt:lpstr>- 34 -</vt:lpstr>
      <vt:lpstr>- 35 -</vt:lpstr>
      <vt:lpstr>- 36 -</vt:lpstr>
      <vt:lpstr>- 37 -</vt:lpstr>
      <vt:lpstr>- 38 -</vt:lpstr>
      <vt:lpstr>- 40 -</vt:lpstr>
      <vt:lpstr>- 41 -</vt:lpstr>
      <vt:lpstr>- 42 -</vt:lpstr>
      <vt:lpstr>- 43 -</vt:lpstr>
      <vt:lpstr>- 44 -</vt:lpstr>
      <vt:lpstr>- 45 -</vt:lpstr>
      <vt:lpstr>- 46 -</vt:lpstr>
      <vt:lpstr>- 47 -</vt:lpstr>
      <vt:lpstr>- 48 -</vt:lpstr>
      <vt:lpstr>- 49 -</vt:lpstr>
      <vt:lpstr>- 50 -</vt:lpstr>
      <vt:lpstr>- 51 -</vt:lpstr>
      <vt:lpstr>- 53 -</vt:lpstr>
      <vt:lpstr>- 54 - </vt:lpstr>
      <vt:lpstr>- 55 -</vt:lpstr>
      <vt:lpstr>- 57 -</vt:lpstr>
      <vt:lpstr>- 58 -</vt:lpstr>
      <vt:lpstr>- 59 -</vt:lpstr>
      <vt:lpstr>- 60 -</vt:lpstr>
      <vt:lpstr>- 61 -</vt:lpstr>
      <vt:lpstr>- 62 -</vt:lpstr>
      <vt:lpstr>- 63 -</vt:lpstr>
      <vt:lpstr>- 64 -</vt:lpstr>
      <vt:lpstr>- 65 -</vt:lpstr>
      <vt:lpstr>- 66 -</vt:lpstr>
      <vt:lpstr>Data</vt:lpstr>
      <vt:lpstr>'- 48 -'!capyear</vt:lpstr>
      <vt:lpstr>capyear</vt:lpstr>
      <vt:lpstr>CurrY</vt:lpstr>
      <vt:lpstr>FALLYR</vt:lpstr>
      <vt:lpstr>OPYEAR</vt:lpstr>
      <vt:lpstr>PrevY</vt:lpstr>
      <vt:lpstr>'- 10 -'!Print_Area</vt:lpstr>
      <vt:lpstr>'- 12 -'!Print_Area</vt:lpstr>
      <vt:lpstr>'- 13 -'!Print_Area</vt:lpstr>
      <vt:lpstr>'- 15 -'!Print_Area</vt:lpstr>
      <vt:lpstr>'- 16 -'!Print_Area</vt:lpstr>
      <vt:lpstr>'- 17 -'!Print_Area</vt:lpstr>
      <vt:lpstr>'- 18 -'!Print_Area</vt:lpstr>
      <vt:lpstr>'- 19 -'!Print_Area</vt:lpstr>
      <vt:lpstr>'- 20 -'!Print_Area</vt:lpstr>
      <vt:lpstr>'- 21 -'!Print_Area</vt:lpstr>
      <vt:lpstr>'- 22 -'!Print_Area</vt:lpstr>
      <vt:lpstr>'- 23 -'!Print_Area</vt:lpstr>
      <vt:lpstr>'- 24 -'!Print_Area</vt:lpstr>
      <vt:lpstr>'- 25 -'!Print_Area</vt:lpstr>
      <vt:lpstr>'- 26 -'!Print_Area</vt:lpstr>
      <vt:lpstr>'- 27 -'!Print_Area</vt:lpstr>
      <vt:lpstr>'- 28 -'!Print_Area</vt:lpstr>
      <vt:lpstr>'- 29 -'!Print_Area</vt:lpstr>
      <vt:lpstr>'- 3 -'!Print_Area</vt:lpstr>
      <vt:lpstr>'- 30 -'!Print_Area</vt:lpstr>
      <vt:lpstr>'- 31 -'!Print_Area</vt:lpstr>
      <vt:lpstr>'- 32 -'!Print_Area</vt:lpstr>
      <vt:lpstr>'- 33 -'!Print_Area</vt:lpstr>
      <vt:lpstr>'- 34 -'!Print_Area</vt:lpstr>
      <vt:lpstr>'- 35 -'!Print_Area</vt:lpstr>
      <vt:lpstr>'- 36 -'!Print_Area</vt:lpstr>
      <vt:lpstr>'- 37 -'!Print_Area</vt:lpstr>
      <vt:lpstr>'- 38 -'!Print_Area</vt:lpstr>
      <vt:lpstr>'- 4 -'!Print_Area</vt:lpstr>
      <vt:lpstr>'- 40 -'!Print_Area</vt:lpstr>
      <vt:lpstr>'- 41 -'!Print_Area</vt:lpstr>
      <vt:lpstr>'- 42 -'!Print_Area</vt:lpstr>
      <vt:lpstr>'- 43 -'!Print_Area</vt:lpstr>
      <vt:lpstr>'- 44 -'!Print_Area</vt:lpstr>
      <vt:lpstr>'- 45 -'!Print_Area</vt:lpstr>
      <vt:lpstr>'- 46 -'!Print_Area</vt:lpstr>
      <vt:lpstr>'- 47 -'!Print_Area</vt:lpstr>
      <vt:lpstr>'- 48 -'!Print_Area</vt:lpstr>
      <vt:lpstr>'- 49 -'!Print_Area</vt:lpstr>
      <vt:lpstr>'- 50 -'!Print_Area</vt:lpstr>
      <vt:lpstr>'- 51 -'!Print_Area</vt:lpstr>
      <vt:lpstr>'- 53 -'!Print_Area</vt:lpstr>
      <vt:lpstr>'- 54 - '!Print_Area</vt:lpstr>
      <vt:lpstr>'- 55 -'!Print_Area</vt:lpstr>
      <vt:lpstr>'- 57 -'!Print_Area</vt:lpstr>
      <vt:lpstr>'- 58 -'!Print_Area</vt:lpstr>
      <vt:lpstr>'- 59 -'!Print_Area</vt:lpstr>
      <vt:lpstr>'- 6 -'!Print_Area</vt:lpstr>
      <vt:lpstr>'- 60 -'!Print_Area</vt:lpstr>
      <vt:lpstr>'- 61 -'!Print_Area</vt:lpstr>
      <vt:lpstr>'- 62 -'!Print_Area</vt:lpstr>
      <vt:lpstr>'- 63 -'!Print_Area</vt:lpstr>
      <vt:lpstr>'- 64 -'!Print_Area</vt:lpstr>
      <vt:lpstr>'- 65 -'!Print_Area</vt:lpstr>
      <vt:lpstr>'- 66 -'!Print_Area</vt:lpstr>
      <vt:lpstr>'- 7 -'!Print_Area</vt:lpstr>
      <vt:lpstr>'- 8 -'!Print_Area</vt:lpstr>
      <vt:lpstr>'- 9 -'!Print_Area</vt:lpstr>
      <vt:lpstr>README!Print_Area</vt:lpstr>
      <vt:lpstr>REVYEAR</vt:lpstr>
      <vt:lpstr>SPRINGYR</vt:lpstr>
      <vt:lpstr>STATDATE</vt:lpstr>
      <vt:lpstr>TAXYEAR</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J. Anderson</dc:creator>
  <cp:lastModifiedBy>Barker, Jordan (MET)</cp:lastModifiedBy>
  <cp:lastPrinted>2021-06-29T10:53:34Z</cp:lastPrinted>
  <dcterms:created xsi:type="dcterms:W3CDTF">1999-01-19T20:49:35Z</dcterms:created>
  <dcterms:modified xsi:type="dcterms:W3CDTF">2021-06-29T19:02:06Z</dcterms:modified>
</cp:coreProperties>
</file>