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xl/worksheets/sheet37.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tyles.xml" ContentType="application/vnd.openxmlformats-officedocument.spreadsheetml.styles+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1.xml" ContentType="application/vnd.openxmlformats-officedocument.spreadsheetml.worksheet+xml"/>
  <Override PartName="/xl/worksheets/sheet26.xml" ContentType="application/vnd.openxmlformats-officedocument.spreadsheetml.worksheet+xml"/>
  <Override PartName="/xl/worksheets/sheet24.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xl/externalLinks/externalLink5.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Edusfb\Frame\REPORTS\Internet Versions\"/>
    </mc:Choice>
  </mc:AlternateContent>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28" r:id="rId23"/>
    <sheet name="- 28 -" sheetId="29"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33" r:id="rId39"/>
    <sheet name="- 45 -" sheetId="48" r:id="rId40"/>
    <sheet name="- 47 -" sheetId="49" r:id="rId41"/>
    <sheet name="- 48 - " sheetId="88" r:id="rId42"/>
    <sheet name="- 50 -" sheetId="50" r:id="rId43"/>
    <sheet name="- 51 -" sheetId="51" r:id="rId44"/>
    <sheet name="- 52 -" sheetId="81" r:id="rId45"/>
    <sheet name="- 53 -" sheetId="47" r:id="rId46"/>
    <sheet name="- 54 -" sheetId="46" r:id="rId47"/>
    <sheet name="- 55 -" sheetId="52" r:id="rId48"/>
    <sheet name="- 56 -" sheetId="84" r:id="rId49"/>
    <sheet name="- 57 -" sheetId="85" r:id="rId50"/>
    <sheet name="- 58 -" sheetId="89" r:id="rId51"/>
    <sheet name="- 59 -" sheetId="90" r:id="rId52"/>
    <sheet name="- 60 -" sheetId="78" r:id="rId53"/>
    <sheet name="Data" sheetId="2" state="hidden" r:id="rId54"/>
  </sheets>
  <externalReferences>
    <externalReference r:id="rId55"/>
    <externalReference r:id="rId56"/>
    <externalReference r:id="rId57"/>
    <externalReference r:id="rId58"/>
    <externalReference r:id="rId59"/>
    <externalReference r:id="rId60"/>
  </externalReferences>
  <definedNames>
    <definedName name="_Fill" localSheetId="50" hidden="1">#REF!</definedName>
    <definedName name="_Fill" localSheetId="0" hidden="1">#REF!</definedName>
    <definedName name="_Fill" hidden="1">#REF!</definedName>
    <definedName name="_Order1" hidden="1">0</definedName>
    <definedName name="AEXP_BF" localSheetId="0">'[5]- 15 -'!$B$2</definedName>
    <definedName name="AEXP_BF">'- 15 -'!$B$2</definedName>
    <definedName name="AEXP_BP" localSheetId="0">'[5]- 18 -'!$B$2</definedName>
    <definedName name="AEXP_BP">'- 18 -'!$B$2</definedName>
    <definedName name="capyear" localSheetId="0">#REF!</definedName>
    <definedName name="capyear">#REF!</definedName>
    <definedName name="DATE_ENTRY" localSheetId="0">#REF!</definedName>
    <definedName name="DATE_ENTRY">#REF!</definedName>
    <definedName name="DIV">[1]Data!$A$9:$A$696</definedName>
    <definedName name="DIVNUM">[2]DATA!$B$1</definedName>
    <definedName name="HTML_CodePage" hidden="1">1252</definedName>
    <definedName name="HTML_Control" localSheetId="18" hidden="1">{"'- 4 -'!$A$1:$G$76","'-3 -'!$A$1:$G$77"}</definedName>
    <definedName name="HTML_Control" localSheetId="41" hidden="1">{"'- 4 -'!$A$1:$G$76","'-3 -'!$A$1:$G$77"}</definedName>
    <definedName name="HTML_Control" localSheetId="44" hidden="1">{"'- 4 -'!$A$1:$G$76","'-3 -'!$A$1:$G$77"}</definedName>
    <definedName name="HTML_Control" localSheetId="48" hidden="1">{"'- 4 -'!$A$1:$G$76","'-3 -'!$A$1:$G$77"}</definedName>
    <definedName name="HTML_Control" localSheetId="49"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ang" localSheetId="0">[5]Data!$V$4</definedName>
    <definedName name="Lang">Data!$Y$4</definedName>
    <definedName name="LIST">[2]DATA!$D$1:$D$39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'[6]- 3 -'!$A$3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'- 21 -'!$A$1:$I$59</definedName>
    <definedName name="_xlnm.Print_Area" localSheetId="17">'- 22 -'!$A$1:$J$58</definedName>
    <definedName name="_xlnm.Print_Area" localSheetId="18">'- 23 -'!$A$1:$F$59</definedName>
    <definedName name="_xlnm.Print_Area" localSheetId="19">'- 24 -'!$A$1:$I$59</definedName>
    <definedName name="_xlnm.Print_Area" localSheetId="20">'- 25 -'!$A$1:$J$59</definedName>
    <definedName name="_xlnm.Print_Area" localSheetId="21">'- 26 -'!$A$1:$E$59</definedName>
    <definedName name="_xlnm.Print_Area" localSheetId="22">'- 27 -'!$A$1:$J$59</definedName>
    <definedName name="_xlnm.Print_Area" localSheetId="23">'- 28 -'!$A$1:$G$59</definedName>
    <definedName name="_xlnm.Print_Area" localSheetId="24">'- 29 -'!$A$1:$G$59</definedName>
    <definedName name="_xlnm.Print_Area" localSheetId="1">'- 3 -'!$A$1:$F$59</definedName>
    <definedName name="_xlnm.Print_Area" localSheetId="25">'- 30 -'!$A$1:$F$59</definedName>
    <definedName name="_xlnm.Print_Area" localSheetId="26">'- 31 -'!$A$1:$G$59</definedName>
    <definedName name="_xlnm.Print_Area" localSheetId="27">'- 32 -'!$A$1:$F$59</definedName>
    <definedName name="_xlnm.Print_Area" localSheetId="28">'- 33 -'!$A$1:$F$59</definedName>
    <definedName name="_xlnm.Print_Area" localSheetId="29">'- 34 -'!$A$1:$H$59</definedName>
    <definedName name="_xlnm.Print_Area" localSheetId="30">'- 35 -'!$A$1:$E$59</definedName>
    <definedName name="_xlnm.Print_Area" localSheetId="31">'- 36 -'!$A$1:$G$59</definedName>
    <definedName name="_xlnm.Print_Area" localSheetId="32">'- 37 -'!$A$1:$J$59</definedName>
    <definedName name="_xlnm.Print_Area" localSheetId="33">'- 38 -'!$A$1:$H$58</definedName>
    <definedName name="_xlnm.Print_Area" localSheetId="2">'- 4 -'!$A$1:$E$59</definedName>
    <definedName name="_xlnm.Print_Area" localSheetId="34">'- 40 -'!$A$1:$H$59</definedName>
    <definedName name="_xlnm.Print_Area" localSheetId="35">'- 41 -'!$A$1:$I$62</definedName>
    <definedName name="_xlnm.Print_Area" localSheetId="36">'- 42 -'!$A$1:$I$59</definedName>
    <definedName name="_xlnm.Print_Area" localSheetId="37">'- 43 -'!$A$1:$I$59</definedName>
    <definedName name="_xlnm.Print_Area" localSheetId="38">'- 44 -'!$A$1:$C$60</definedName>
    <definedName name="_xlnm.Print_Area" localSheetId="39">'- 45 -'!$A$1:$D$58</definedName>
    <definedName name="_xlnm.Print_Area" localSheetId="40">'- 47 -'!$A$1:$G$57</definedName>
    <definedName name="_xlnm.Print_Area" localSheetId="41">'- 48 - '!$A$1:$F$52</definedName>
    <definedName name="_xlnm.Print_Area" localSheetId="42">'- 50 -'!$A$1:$F$57</definedName>
    <definedName name="_xlnm.Print_Area" localSheetId="43">'- 51 -'!$A$1:$G$59</definedName>
    <definedName name="_xlnm.Print_Area" localSheetId="44">'- 52 -'!$A$1:$G$59</definedName>
    <definedName name="_xlnm.Print_Area" localSheetId="45">'- 53 -'!$A$1:$F$57</definedName>
    <definedName name="_xlnm.Print_Area" localSheetId="46">'- 54 -'!$A$1:$F$59</definedName>
    <definedName name="_xlnm.Print_Area" localSheetId="47">'- 55 -'!$A$1:$F$59</definedName>
    <definedName name="_xlnm.Print_Area" localSheetId="48">'- 56 -'!$A$1:$F$61</definedName>
    <definedName name="_xlnm.Print_Area" localSheetId="49">'- 57 -'!$A$1:$H$56</definedName>
    <definedName name="_xlnm.Print_Area" localSheetId="50">'- 58 -'!$A$1:$I$57</definedName>
    <definedName name="_xlnm.Print_Area" localSheetId="51">'- 59 -'!$A$2:$G$52</definedName>
    <definedName name="_xlnm.Print_Area" localSheetId="3">'- 6 -'!$A$1:$H$59</definedName>
    <definedName name="_xlnm.Print_Area" localSheetId="52">'- 60 -'!$A$1:$I$55</definedName>
    <definedName name="_xlnm.Print_Area" localSheetId="4">'- 7 -'!$A$1:$F$59</definedName>
    <definedName name="_xlnm.Print_Area" localSheetId="5">'- 8 -'!$A$1:$G$59</definedName>
    <definedName name="_xlnm.Print_Area" localSheetId="6">'- 9 -'!$A$1:$D$58</definedName>
    <definedName name="_xlnm.Print_Area" localSheetId="53">Data!$A$3:$N$52</definedName>
    <definedName name="_xlnm.Print_Area" localSheetId="0">README!$B$3:$B$15</definedName>
    <definedName name="REVYEAR" localSheetId="0">'[6]- 42 -'!$B$1</definedName>
    <definedName name="REVYEAR">'- 41 -'!$B$1</definedName>
    <definedName name="STAMP" localSheetId="0">#REF!</definedName>
    <definedName name="STAMP">#REF!</definedName>
    <definedName name="STATDATE" localSheetId="0">'[6]- 6 -'!$B$3</definedName>
    <definedName name="STATDATE">'- 6 -'!$B$3</definedName>
    <definedName name="TAXYEAR" localSheetId="0">'[6]- 46 -'!$B$3</definedName>
    <definedName name="TAXYEAR">'- 45 -'!$B$3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 name="YEARFRENCH">'[3]- 42 -'!$B$1</definedName>
  </definedNames>
  <calcPr calcId="162913"/>
</workbook>
</file>

<file path=xl/calcChain.xml><?xml version="1.0" encoding="utf-8"?>
<calcChain xmlns="http://schemas.openxmlformats.org/spreadsheetml/2006/main">
  <c r="BA3" i="48" l="1"/>
  <c r="I28" i="41" l="1"/>
  <c r="A55" i="52" l="1"/>
  <c r="D51" i="16" l="1"/>
  <c r="D50"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P48" i="2" l="1"/>
  <c r="B60" i="2" l="1"/>
  <c r="B61" i="2" s="1"/>
  <c r="B62" i="2" s="1"/>
  <c r="B63" i="2" s="1"/>
  <c r="B64" i="2" s="1"/>
  <c r="B65" i="2" s="1"/>
  <c r="B66" i="2" s="1"/>
  <c r="B67" i="2" s="1"/>
  <c r="B68" i="2" s="1"/>
  <c r="B69" i="2" s="1"/>
  <c r="B70" i="2" s="1"/>
  <c r="B71" i="2" s="1"/>
  <c r="B72" i="2" s="1"/>
  <c r="B73" i="2" s="1"/>
  <c r="B74" i="2" s="1"/>
  <c r="D14" i="43" l="1"/>
  <c r="Q48" i="2" l="1"/>
  <c r="D48" i="44"/>
  <c r="E13" i="43"/>
  <c r="E17" i="43"/>
  <c r="E21" i="43"/>
  <c r="E25" i="43"/>
  <c r="E29" i="43"/>
  <c r="E33" i="43"/>
  <c r="E37" i="43"/>
  <c r="E41" i="43"/>
  <c r="E45" i="43"/>
  <c r="B48" i="38"/>
  <c r="E12" i="43"/>
  <c r="E16" i="43"/>
  <c r="E20" i="43"/>
  <c r="E24" i="43"/>
  <c r="E28" i="43"/>
  <c r="E32" i="43"/>
  <c r="E36" i="43"/>
  <c r="E40" i="43"/>
  <c r="E44" i="43"/>
  <c r="E51" i="43"/>
  <c r="E51" i="46"/>
  <c r="E11" i="43"/>
  <c r="F48" i="44"/>
  <c r="D48" i="45"/>
  <c r="E12" i="46"/>
  <c r="E16" i="46"/>
  <c r="E20" i="46"/>
  <c r="E24" i="46"/>
  <c r="E28" i="46"/>
  <c r="E32" i="46"/>
  <c r="E36" i="46"/>
  <c r="E40" i="46"/>
  <c r="E44" i="46"/>
  <c r="E13" i="46"/>
  <c r="E17" i="46"/>
  <c r="E21" i="46"/>
  <c r="E25" i="46"/>
  <c r="E29" i="46"/>
  <c r="E33" i="46"/>
  <c r="E37" i="46"/>
  <c r="E41" i="46"/>
  <c r="E45" i="46"/>
  <c r="B48" i="45"/>
  <c r="E11" i="46"/>
  <c r="E15" i="46"/>
  <c r="E19" i="46"/>
  <c r="E23" i="46"/>
  <c r="E27" i="46"/>
  <c r="E31" i="46"/>
  <c r="E35" i="46"/>
  <c r="E39" i="46"/>
  <c r="E43" i="46"/>
  <c r="E50" i="46"/>
  <c r="E14" i="46"/>
  <c r="E18" i="46"/>
  <c r="E22" i="46"/>
  <c r="E26" i="46"/>
  <c r="E30" i="46"/>
  <c r="E34" i="46"/>
  <c r="E38" i="46"/>
  <c r="E42" i="46"/>
  <c r="E46" i="46"/>
  <c r="E15" i="43"/>
  <c r="E19" i="43"/>
  <c r="E23" i="43"/>
  <c r="E27" i="43"/>
  <c r="E31" i="43"/>
  <c r="E35" i="43"/>
  <c r="E39" i="43"/>
  <c r="E43" i="43"/>
  <c r="E50" i="43"/>
  <c r="H48" i="44"/>
  <c r="E48" i="52"/>
  <c r="D48" i="37"/>
  <c r="E18" i="43"/>
  <c r="E22" i="43"/>
  <c r="E26" i="43"/>
  <c r="E30" i="43"/>
  <c r="E34" i="43"/>
  <c r="E38" i="43"/>
  <c r="E42" i="43"/>
  <c r="E46" i="43"/>
  <c r="G48" i="43"/>
  <c r="C48" i="47"/>
  <c r="R48" i="2"/>
  <c r="B48" i="37"/>
  <c r="F48" i="36"/>
  <c r="D48" i="36"/>
  <c r="E14" i="43" l="1"/>
  <c r="B48" i="36" l="1"/>
  <c r="F48" i="34" l="1"/>
  <c r="B48" i="29"/>
  <c r="D48" i="35"/>
  <c r="E48" i="29"/>
  <c r="B48" i="35"/>
  <c r="D48" i="34"/>
  <c r="B48" i="34"/>
  <c r="H48" i="28" l="1"/>
  <c r="B48" i="27"/>
  <c r="E48" i="28"/>
  <c r="B48" i="28"/>
  <c r="B48" i="82" l="1"/>
  <c r="F48" i="25"/>
  <c r="B48" i="26"/>
  <c r="H48" i="26"/>
  <c r="D48" i="25"/>
  <c r="H48" i="25"/>
  <c r="E48" i="26"/>
  <c r="B48" i="25"/>
  <c r="D48" i="82"/>
  <c r="H48" i="11" l="1"/>
  <c r="E48" i="11"/>
  <c r="H48" i="9" l="1"/>
  <c r="H48" i="10"/>
  <c r="B48" i="7"/>
  <c r="E48" i="10"/>
  <c r="B48" i="11"/>
  <c r="B48" i="10"/>
  <c r="E48" i="9"/>
  <c r="B48" i="9"/>
  <c r="E48" i="8"/>
  <c r="B48" i="8"/>
  <c r="C52" i="84" l="1"/>
  <c r="C14" i="84" l="1"/>
  <c r="C18" i="84"/>
  <c r="C22" i="84"/>
  <c r="C26" i="84"/>
  <c r="C30" i="84"/>
  <c r="C34" i="84"/>
  <c r="C38" i="84"/>
  <c r="C42" i="84"/>
  <c r="C46" i="84"/>
  <c r="C12" i="84"/>
  <c r="C16" i="84"/>
  <c r="C20" i="84"/>
  <c r="C24" i="84"/>
  <c r="C13" i="84"/>
  <c r="C17" i="84"/>
  <c r="C21" i="84"/>
  <c r="C25" i="84"/>
  <c r="C29" i="84"/>
  <c r="C33" i="84"/>
  <c r="C37" i="84"/>
  <c r="C41" i="84"/>
  <c r="C45" i="84"/>
  <c r="C23" i="84"/>
  <c r="C27" i="84"/>
  <c r="C31" i="84"/>
  <c r="C35" i="84"/>
  <c r="C39" i="84"/>
  <c r="C43" i="84"/>
  <c r="C47" i="84"/>
  <c r="C28" i="84"/>
  <c r="C32" i="84"/>
  <c r="C36" i="84"/>
  <c r="C40" i="84"/>
  <c r="C44" i="84"/>
  <c r="C51" i="84"/>
  <c r="O48" i="2"/>
  <c r="BB3" i="78" l="1"/>
  <c r="BA3" i="78"/>
  <c r="A2" i="78"/>
  <c r="A2" i="90"/>
  <c r="BB3" i="89"/>
  <c r="AY2" i="84"/>
  <c r="AX2" i="84"/>
  <c r="BA3" i="89" s="1"/>
  <c r="A3" i="89" s="1"/>
  <c r="B2" i="50"/>
  <c r="A2" i="88"/>
  <c r="A2" i="49"/>
  <c r="B3" i="48"/>
  <c r="A3" i="88" s="1"/>
  <c r="BB3" i="33"/>
  <c r="A2" i="33"/>
  <c r="BB1" i="43"/>
  <c r="BA1" i="43"/>
  <c r="B1" i="43" s="1"/>
  <c r="BA3" i="33" l="1"/>
  <c r="A3" i="33" s="1"/>
  <c r="BA2" i="42"/>
  <c r="A2" i="42" s="1"/>
  <c r="BB2" i="42"/>
  <c r="B2" i="54"/>
  <c r="B2" i="76" s="1"/>
  <c r="A2" i="41"/>
  <c r="B2" i="40"/>
  <c r="B2" i="39"/>
  <c r="B2" i="8"/>
  <c r="B2" i="35" s="1"/>
  <c r="B2" i="18"/>
  <c r="B2" i="20" s="1"/>
  <c r="B5" i="22"/>
  <c r="B5" i="23" s="1"/>
  <c r="B4" i="22"/>
  <c r="B4" i="23" s="1"/>
  <c r="C5" i="21"/>
  <c r="B2" i="17"/>
  <c r="B3" i="16"/>
  <c r="B2" i="16"/>
  <c r="B2" i="14"/>
  <c r="B2" i="15" s="1"/>
  <c r="BA3" i="14"/>
  <c r="B3" i="14" s="1"/>
  <c r="B3" i="15" s="1"/>
  <c r="BB3" i="14"/>
  <c r="A2" i="6"/>
  <c r="BB3" i="5"/>
  <c r="BA3" i="5"/>
  <c r="A3" i="5" s="1"/>
  <c r="A2" i="5"/>
  <c r="B2" i="19" l="1"/>
  <c r="B2" i="10"/>
  <c r="B2" i="26"/>
  <c r="B2" i="34"/>
  <c r="B2" i="38"/>
  <c r="B2" i="7"/>
  <c r="B2" i="25"/>
  <c r="B2" i="29"/>
  <c r="B2" i="37"/>
  <c r="B2" i="9"/>
  <c r="B2" i="82"/>
  <c r="B2" i="28"/>
  <c r="B2" i="36"/>
  <c r="B2" i="11"/>
  <c r="B2" i="27"/>
  <c r="C15" i="84" l="1"/>
  <c r="C19" i="84"/>
  <c r="N48" i="2"/>
  <c r="M48" i="2"/>
  <c r="I14" i="78" l="1"/>
  <c r="D9" i="78"/>
  <c r="D9" i="90" l="1"/>
  <c r="G9" i="90" s="1"/>
  <c r="B9" i="90"/>
  <c r="A3" i="90" s="1"/>
  <c r="I51" i="89"/>
  <c r="I46" i="89"/>
  <c r="I44" i="89"/>
  <c r="I42" i="89"/>
  <c r="I40" i="89"/>
  <c r="I38" i="89"/>
  <c r="I36" i="89"/>
  <c r="I34" i="89"/>
  <c r="I32" i="89"/>
  <c r="I30" i="89"/>
  <c r="I28" i="89"/>
  <c r="I26" i="89"/>
  <c r="I24" i="89"/>
  <c r="I22" i="89"/>
  <c r="I20" i="89"/>
  <c r="I18" i="89"/>
  <c r="I16" i="89"/>
  <c r="I14" i="89"/>
  <c r="I12" i="89"/>
  <c r="H48" i="89"/>
  <c r="G48" i="89"/>
  <c r="F48" i="89"/>
  <c r="E48" i="89"/>
  <c r="D48" i="89"/>
  <c r="C48" i="89"/>
  <c r="B48" i="89"/>
  <c r="K20" i="85"/>
  <c r="K16" i="85"/>
  <c r="J50" i="85"/>
  <c r="D50" i="85"/>
  <c r="C50" i="85"/>
  <c r="F52" i="84"/>
  <c r="D40" i="84"/>
  <c r="F41" i="85" s="1"/>
  <c r="F19" i="84"/>
  <c r="F15" i="84"/>
  <c r="B49" i="84"/>
  <c r="F48"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G22" i="78" s="1"/>
  <c r="F21" i="50"/>
  <c r="F20" i="50"/>
  <c r="F19" i="50"/>
  <c r="F18" i="50"/>
  <c r="F17" i="50"/>
  <c r="F16" i="50"/>
  <c r="G16" i="78" s="1"/>
  <c r="F15" i="50"/>
  <c r="F14" i="50"/>
  <c r="G14" i="78" s="1"/>
  <c r="F13" i="50"/>
  <c r="F12" i="50"/>
  <c r="F11" i="50"/>
  <c r="B3" i="50"/>
  <c r="E48" i="49"/>
  <c r="E53" i="49" s="1"/>
  <c r="D48" i="49"/>
  <c r="D53" i="49" s="1"/>
  <c r="C48" i="49"/>
  <c r="C53" i="49" s="1"/>
  <c r="B48" i="49"/>
  <c r="B53" i="49" s="1"/>
  <c r="K47" i="49"/>
  <c r="I45" i="49"/>
  <c r="I44" i="49"/>
  <c r="F44" i="49"/>
  <c r="K44" i="49" s="1"/>
  <c r="I43" i="49"/>
  <c r="F43" i="49"/>
  <c r="G43" i="49" s="1"/>
  <c r="I43" i="78" s="1"/>
  <c r="G43" i="78" s="1"/>
  <c r="I42" i="49"/>
  <c r="I41" i="49"/>
  <c r="I40" i="49"/>
  <c r="I39" i="49"/>
  <c r="F39" i="49"/>
  <c r="K39" i="49" s="1"/>
  <c r="I38" i="49"/>
  <c r="I37" i="49"/>
  <c r="I36" i="49"/>
  <c r="F36" i="49"/>
  <c r="K36" i="49" s="1"/>
  <c r="I35" i="49"/>
  <c r="I34" i="49"/>
  <c r="I33" i="49"/>
  <c r="I32" i="49"/>
  <c r="I31" i="49"/>
  <c r="I30" i="49"/>
  <c r="I29" i="49"/>
  <c r="I28" i="49"/>
  <c r="F28" i="49"/>
  <c r="K28" i="49" s="1"/>
  <c r="I27" i="49"/>
  <c r="I26" i="49"/>
  <c r="I25" i="49"/>
  <c r="I24" i="49"/>
  <c r="K23" i="49"/>
  <c r="I23" i="49"/>
  <c r="I22" i="49"/>
  <c r="I21" i="49"/>
  <c r="I20" i="49"/>
  <c r="I19" i="49"/>
  <c r="I18" i="49"/>
  <c r="I17" i="49"/>
  <c r="I16" i="49"/>
  <c r="I15" i="49"/>
  <c r="I14" i="49"/>
  <c r="F14" i="49" s="1"/>
  <c r="I13" i="49"/>
  <c r="I12" i="49"/>
  <c r="F12" i="49"/>
  <c r="K12" i="49" s="1"/>
  <c r="I11" i="49"/>
  <c r="F11" i="49"/>
  <c r="A3" i="49"/>
  <c r="B51" i="48"/>
  <c r="B50" i="48"/>
  <c r="C49" i="84" l="1"/>
  <c r="F9" i="90"/>
  <c r="G12" i="49"/>
  <c r="I12" i="78" s="1"/>
  <c r="G12" i="78" s="1"/>
  <c r="G39" i="49"/>
  <c r="I39" i="78" s="1"/>
  <c r="G39" i="78" s="1"/>
  <c r="G44" i="49"/>
  <c r="I13" i="89"/>
  <c r="I15" i="89"/>
  <c r="I17" i="89"/>
  <c r="I19" i="89"/>
  <c r="I21" i="89"/>
  <c r="I23" i="89"/>
  <c r="I25" i="89"/>
  <c r="I27" i="89"/>
  <c r="I29" i="89"/>
  <c r="I31" i="89"/>
  <c r="I33" i="89"/>
  <c r="I35" i="89"/>
  <c r="I37" i="89"/>
  <c r="I39" i="89"/>
  <c r="I41" i="89"/>
  <c r="I43" i="89"/>
  <c r="I45" i="89"/>
  <c r="I50" i="89"/>
  <c r="G11" i="49"/>
  <c r="G28" i="49"/>
  <c r="G36" i="49"/>
  <c r="K43" i="49"/>
  <c r="D12" i="84"/>
  <c r="D14" i="84"/>
  <c r="D16" i="84"/>
  <c r="D18" i="84"/>
  <c r="F19" i="85" s="1"/>
  <c r="D21" i="84"/>
  <c r="D23" i="84"/>
  <c r="D25" i="84"/>
  <c r="D27" i="84"/>
  <c r="D29" i="84"/>
  <c r="F29" i="84" s="1"/>
  <c r="D31" i="84"/>
  <c r="D33" i="84"/>
  <c r="D35" i="84"/>
  <c r="D37" i="84"/>
  <c r="D39" i="84"/>
  <c r="F40" i="85" s="1"/>
  <c r="F40" i="84"/>
  <c r="D43" i="84"/>
  <c r="D45" i="84"/>
  <c r="E49" i="84"/>
  <c r="I11" i="89"/>
  <c r="K11" i="49"/>
  <c r="C48" i="50"/>
  <c r="D13" i="84"/>
  <c r="D17" i="84"/>
  <c r="D20" i="84"/>
  <c r="D22" i="84"/>
  <c r="D24" i="84"/>
  <c r="F24" i="84" s="1"/>
  <c r="D26" i="84"/>
  <c r="D28" i="84"/>
  <c r="F28" i="84" s="1"/>
  <c r="D30" i="84"/>
  <c r="D32" i="84"/>
  <c r="D34" i="84"/>
  <c r="D36" i="84"/>
  <c r="D38" i="84"/>
  <c r="D41" i="84"/>
  <c r="F42" i="85" s="1"/>
  <c r="D42" i="84"/>
  <c r="D44" i="84"/>
  <c r="F44" i="84" s="1"/>
  <c r="D46" i="84"/>
  <c r="F47" i="85" s="1"/>
  <c r="D47" i="84"/>
  <c r="F48" i="85" s="1"/>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A5" i="48"/>
  <c r="C11" i="48" l="1"/>
  <c r="B11" i="50" s="1"/>
  <c r="C15" i="48"/>
  <c r="B15" i="50" s="1"/>
  <c r="D15" i="50" s="1"/>
  <c r="C19" i="48"/>
  <c r="B19" i="50" s="1"/>
  <c r="D19" i="50" s="1"/>
  <c r="C23" i="48"/>
  <c r="B23" i="50" s="1"/>
  <c r="D23" i="50" s="1"/>
  <c r="C27" i="48"/>
  <c r="B27" i="50" s="1"/>
  <c r="D27" i="50" s="1"/>
  <c r="C31" i="48"/>
  <c r="B31" i="50" s="1"/>
  <c r="D31" i="50" s="1"/>
  <c r="C35" i="48"/>
  <c r="B35" i="50" s="1"/>
  <c r="D35" i="50" s="1"/>
  <c r="C39" i="48"/>
  <c r="B39" i="50" s="1"/>
  <c r="D39" i="50" s="1"/>
  <c r="C43" i="48"/>
  <c r="B43" i="50" s="1"/>
  <c r="D43" i="50" s="1"/>
  <c r="C13" i="48"/>
  <c r="B13" i="50" s="1"/>
  <c r="D13" i="50" s="1"/>
  <c r="C17" i="48"/>
  <c r="B17" i="50" s="1"/>
  <c r="D17" i="50" s="1"/>
  <c r="C21" i="48"/>
  <c r="B21" i="50" s="1"/>
  <c r="D21" i="50" s="1"/>
  <c r="C25" i="48"/>
  <c r="B25" i="50" s="1"/>
  <c r="D25" i="50" s="1"/>
  <c r="C29" i="48"/>
  <c r="B29" i="50" s="1"/>
  <c r="D29" i="50" s="1"/>
  <c r="C33" i="48"/>
  <c r="B33" i="50" s="1"/>
  <c r="D33" i="50" s="1"/>
  <c r="C37" i="48"/>
  <c r="B37" i="50" s="1"/>
  <c r="D37" i="50" s="1"/>
  <c r="C41" i="48"/>
  <c r="B41" i="50" s="1"/>
  <c r="D41" i="50" s="1"/>
  <c r="C45" i="48"/>
  <c r="B45" i="50" s="1"/>
  <c r="D45" i="50" s="1"/>
  <c r="J12" i="49"/>
  <c r="B48" i="48"/>
  <c r="B53" i="48" s="1"/>
  <c r="C51" i="48" s="1"/>
  <c r="F39" i="84"/>
  <c r="I48" i="89"/>
  <c r="F18" i="84"/>
  <c r="C46" i="48"/>
  <c r="B46" i="50" s="1"/>
  <c r="D46" i="50" s="1"/>
  <c r="D11" i="50"/>
  <c r="C12" i="48"/>
  <c r="B12" i="50" s="1"/>
  <c r="D12" i="50" s="1"/>
  <c r="C14" i="48"/>
  <c r="B14" i="50" s="1"/>
  <c r="D14" i="50" s="1"/>
  <c r="C16" i="48"/>
  <c r="B16" i="50" s="1"/>
  <c r="D16" i="50" s="1"/>
  <c r="C18" i="48"/>
  <c r="B18" i="50" s="1"/>
  <c r="D18" i="50" s="1"/>
  <c r="C20" i="48"/>
  <c r="B20" i="50" s="1"/>
  <c r="D20" i="50" s="1"/>
  <c r="C22" i="48"/>
  <c r="B22" i="50" s="1"/>
  <c r="D22" i="50" s="1"/>
  <c r="C24" i="48"/>
  <c r="B24" i="50" s="1"/>
  <c r="D24" i="50" s="1"/>
  <c r="C26" i="48"/>
  <c r="B26" i="50" s="1"/>
  <c r="D26" i="50" s="1"/>
  <c r="C28" i="48"/>
  <c r="B28" i="50" s="1"/>
  <c r="D28" i="50" s="1"/>
  <c r="C30" i="48"/>
  <c r="B30" i="50" s="1"/>
  <c r="D30" i="50" s="1"/>
  <c r="C32" i="48"/>
  <c r="B32" i="50" s="1"/>
  <c r="D32" i="50" s="1"/>
  <c r="C34" i="48"/>
  <c r="B34" i="50" s="1"/>
  <c r="D34" i="50" s="1"/>
  <c r="C36" i="48"/>
  <c r="B36" i="50" s="1"/>
  <c r="D36" i="50" s="1"/>
  <c r="C38" i="48"/>
  <c r="B38" i="50" s="1"/>
  <c r="D38" i="50" s="1"/>
  <c r="C40" i="48"/>
  <c r="B40" i="50" s="1"/>
  <c r="D40" i="50" s="1"/>
  <c r="C42" i="48"/>
  <c r="B42" i="50" s="1"/>
  <c r="D42" i="50" s="1"/>
  <c r="C44" i="48"/>
  <c r="B44" i="50" s="1"/>
  <c r="D44" i="50" s="1"/>
  <c r="I44" i="78"/>
  <c r="G44" i="78" s="1"/>
  <c r="J43" i="49"/>
  <c r="J38" i="49"/>
  <c r="F39" i="85"/>
  <c r="F38" i="84"/>
  <c r="F35" i="85"/>
  <c r="F34" i="84"/>
  <c r="F31" i="85"/>
  <c r="F30" i="84"/>
  <c r="F27" i="85"/>
  <c r="F26" i="84"/>
  <c r="F23" i="85"/>
  <c r="F22" i="84"/>
  <c r="F14" i="85"/>
  <c r="F13" i="84"/>
  <c r="F45" i="84"/>
  <c r="F46" i="85"/>
  <c r="F36" i="85"/>
  <c r="F35" i="84"/>
  <c r="F32" i="85"/>
  <c r="F31" i="84"/>
  <c r="F28" i="85"/>
  <c r="F27" i="84"/>
  <c r="F23" i="84"/>
  <c r="F24" i="85"/>
  <c r="F15" i="85"/>
  <c r="F14" i="84"/>
  <c r="I28" i="78"/>
  <c r="G28" i="78" s="1"/>
  <c r="J27" i="49"/>
  <c r="I11" i="78"/>
  <c r="G11" i="78" s="1"/>
  <c r="J11" i="49"/>
  <c r="F41" i="84"/>
  <c r="F43" i="85"/>
  <c r="F42" i="84"/>
  <c r="F37" i="85"/>
  <c r="F36" i="84"/>
  <c r="F33" i="85"/>
  <c r="F32" i="84"/>
  <c r="F21" i="85"/>
  <c r="F20" i="84"/>
  <c r="F18" i="85"/>
  <c r="F17" i="84"/>
  <c r="F44" i="85"/>
  <c r="F43" i="84"/>
  <c r="F38" i="85"/>
  <c r="F37" i="84"/>
  <c r="F34" i="85"/>
  <c r="F33" i="84"/>
  <c r="F26" i="85"/>
  <c r="F25" i="84"/>
  <c r="F21" i="84"/>
  <c r="F22" i="85"/>
  <c r="F17" i="85"/>
  <c r="F16" i="84"/>
  <c r="F13" i="85"/>
  <c r="D49" i="84"/>
  <c r="F49" i="84" s="1"/>
  <c r="F12" i="84"/>
  <c r="I36" i="78"/>
  <c r="G36" i="78" s="1"/>
  <c r="J35" i="49"/>
  <c r="F46" i="84"/>
  <c r="F47" i="84"/>
  <c r="D48" i="50" l="1"/>
  <c r="C48" i="48"/>
  <c r="C53" i="48" s="1"/>
  <c r="B48" i="50"/>
  <c r="B2" i="46" l="1"/>
  <c r="B2" i="52"/>
  <c r="B2" i="47"/>
  <c r="B2" i="81"/>
  <c r="B2" i="51"/>
  <c r="B2" i="45"/>
  <c r="B2" i="44"/>
  <c r="I48" i="41"/>
  <c r="D50" i="40"/>
  <c r="D27" i="40"/>
  <c r="D14" i="40"/>
  <c r="H50" i="39" l="1"/>
  <c r="F50" i="39"/>
  <c r="D50" i="39"/>
  <c r="H27" i="39"/>
  <c r="F27" i="39"/>
  <c r="D27" i="39"/>
  <c r="F52" i="23" l="1"/>
  <c r="D46" i="23" l="1"/>
  <c r="B46" i="23"/>
  <c r="F46" i="23"/>
  <c r="J29" i="23"/>
  <c r="J49" i="22"/>
  <c r="F49" i="22"/>
  <c r="J35" i="23"/>
  <c r="J14" i="23"/>
  <c r="B40" i="22" l="1"/>
  <c r="J40" i="22"/>
  <c r="D46" i="22"/>
  <c r="F40" i="22"/>
  <c r="H46" i="22"/>
  <c r="D22" i="23"/>
  <c r="D40" i="23"/>
  <c r="B22" i="22"/>
  <c r="F22" i="22"/>
  <c r="D40" i="22"/>
  <c r="B46" i="22"/>
  <c r="F46" i="22"/>
  <c r="J46" i="22"/>
  <c r="B22" i="23"/>
  <c r="F40" i="23"/>
  <c r="J17" i="23"/>
  <c r="J20" i="23"/>
  <c r="H40" i="22"/>
  <c r="J36" i="23"/>
  <c r="J38" i="23"/>
  <c r="J44" i="23"/>
  <c r="J15" i="23"/>
  <c r="J32" i="23"/>
  <c r="J34" i="23"/>
  <c r="D22" i="22"/>
  <c r="H22" i="22"/>
  <c r="J37" i="23"/>
  <c r="J39" i="23"/>
  <c r="J45" i="23"/>
  <c r="J19" i="23"/>
  <c r="J33" i="23"/>
  <c r="B40" i="23"/>
  <c r="J22" i="22"/>
  <c r="J18" i="23"/>
  <c r="J21" i="23"/>
  <c r="F22" i="23"/>
  <c r="J23" i="23"/>
  <c r="J25" i="23"/>
  <c r="J26" i="23"/>
  <c r="J27" i="23"/>
  <c r="J28" i="23"/>
  <c r="J30" i="23"/>
  <c r="J31" i="23"/>
  <c r="J42" i="23"/>
  <c r="J43" i="23"/>
  <c r="J48" i="23"/>
  <c r="M48" i="22"/>
  <c r="J16" i="23"/>
  <c r="H51" i="23"/>
  <c r="H50" i="23"/>
  <c r="H49" i="23"/>
  <c r="D23" i="21"/>
  <c r="D22" i="21"/>
  <c r="D21" i="21"/>
  <c r="I19" i="21"/>
  <c r="D19" i="21"/>
  <c r="F19" i="21" l="1"/>
  <c r="E19" i="21"/>
  <c r="D54" i="23"/>
  <c r="B51" i="22"/>
  <c r="C22" i="21"/>
  <c r="F54" i="23"/>
  <c r="H51" i="22"/>
  <c r="C23" i="21"/>
  <c r="F51" i="22"/>
  <c r="J46" i="23"/>
  <c r="D51" i="22"/>
  <c r="C19" i="21"/>
  <c r="C21" i="21"/>
  <c r="J22" i="23"/>
  <c r="B54" i="23"/>
  <c r="K24" i="21"/>
  <c r="H27" i="21"/>
  <c r="H52" i="23"/>
  <c r="J49" i="23"/>
  <c r="J50" i="23"/>
  <c r="G27" i="21"/>
  <c r="J40" i="23"/>
  <c r="J51" i="22"/>
  <c r="D18" i="21"/>
  <c r="C18" i="21" s="1"/>
  <c r="I17" i="21"/>
  <c r="F17" i="21" s="1"/>
  <c r="E17" i="21" s="1"/>
  <c r="D17" i="21"/>
  <c r="C17" i="21"/>
  <c r="D16" i="21"/>
  <c r="C16" i="21" s="1"/>
  <c r="F15" i="21"/>
  <c r="D15" i="21"/>
  <c r="G48" i="16"/>
  <c r="F48" i="16"/>
  <c r="D48" i="16"/>
  <c r="C48" i="16"/>
  <c r="B48" i="16"/>
  <c r="K19" i="21" l="1"/>
  <c r="K17" i="21"/>
  <c r="C15" i="21"/>
  <c r="D27" i="21"/>
  <c r="E15" i="21"/>
  <c r="B3" i="17"/>
  <c r="C27" i="21" l="1"/>
  <c r="K15" i="21"/>
  <c r="A3" i="41" l="1"/>
  <c r="B3" i="54"/>
  <c r="B3" i="40"/>
  <c r="B3" i="76"/>
  <c r="B3" i="39"/>
  <c r="B3" i="37"/>
  <c r="B3" i="36"/>
  <c r="B3" i="29"/>
  <c r="B3" i="28"/>
  <c r="B3" i="27"/>
  <c r="B3" i="38"/>
  <c r="B3" i="35"/>
  <c r="B3" i="34"/>
  <c r="B3" i="25"/>
  <c r="B3" i="8"/>
  <c r="B3" i="26"/>
  <c r="B3" i="82"/>
  <c r="B3" i="11"/>
  <c r="B3" i="10"/>
  <c r="B3" i="7"/>
  <c r="B3" i="9"/>
  <c r="B3" i="18"/>
  <c r="B3" i="19" s="1"/>
  <c r="B3" i="20" s="1"/>
  <c r="C2" i="23"/>
  <c r="D2" i="22"/>
  <c r="C2" i="21"/>
  <c r="A53" i="42" l="1"/>
  <c r="A62" i="43"/>
  <c r="G24" i="78"/>
  <c r="F25" i="85"/>
  <c r="F29" i="85"/>
  <c r="F30" i="85"/>
  <c r="F45" i="85"/>
  <c r="G48" i="78"/>
  <c r="F50" i="85" l="1"/>
  <c r="F13" i="49"/>
  <c r="G13" i="49" s="1"/>
  <c r="F15" i="49"/>
  <c r="G15" i="49" s="1"/>
  <c r="F16" i="49"/>
  <c r="K16" i="49" s="1"/>
  <c r="F17" i="49"/>
  <c r="K17" i="49" s="1"/>
  <c r="F18" i="49"/>
  <c r="F19" i="49"/>
  <c r="G19" i="49" s="1"/>
  <c r="F20" i="49"/>
  <c r="K20" i="49" s="1"/>
  <c r="F21" i="49"/>
  <c r="K21" i="49" s="1"/>
  <c r="F22" i="49"/>
  <c r="K22" i="49" s="1"/>
  <c r="F23" i="49"/>
  <c r="G23" i="49" s="1"/>
  <c r="F24" i="49"/>
  <c r="G24" i="49" s="1"/>
  <c r="I24" i="78" s="1"/>
  <c r="F25" i="49"/>
  <c r="G25" i="49" s="1"/>
  <c r="F26" i="49"/>
  <c r="G26" i="49" s="1"/>
  <c r="F27" i="49"/>
  <c r="G27" i="49" s="1"/>
  <c r="F29" i="49"/>
  <c r="G29" i="49" s="1"/>
  <c r="I29" i="78" s="1"/>
  <c r="F30" i="49"/>
  <c r="F31" i="49"/>
  <c r="G31" i="49" s="1"/>
  <c r="F32" i="49"/>
  <c r="G32" i="49" s="1"/>
  <c r="J31" i="49" s="1"/>
  <c r="F33" i="49"/>
  <c r="G33" i="49" s="1"/>
  <c r="F34" i="49"/>
  <c r="G34" i="49" s="1"/>
  <c r="F35" i="49"/>
  <c r="K35" i="49" s="1"/>
  <c r="F37" i="49"/>
  <c r="K37" i="49" s="1"/>
  <c r="F38" i="49"/>
  <c r="G38" i="49" s="1"/>
  <c r="F40" i="49"/>
  <c r="K40" i="49" s="1"/>
  <c r="F41" i="49"/>
  <c r="G41" i="49" s="1"/>
  <c r="F42" i="49"/>
  <c r="G42" i="49" s="1"/>
  <c r="I42" i="78" s="1"/>
  <c r="F45" i="49"/>
  <c r="K45" i="49" s="1"/>
  <c r="F46" i="49"/>
  <c r="G46" i="49" s="1"/>
  <c r="I46" i="78" s="1"/>
  <c r="K14" i="49"/>
  <c r="J42" i="49"/>
  <c r="G17" i="78"/>
  <c r="G19" i="78"/>
  <c r="G13" i="78"/>
  <c r="G15" i="78"/>
  <c r="G23" i="78"/>
  <c r="G18" i="78"/>
  <c r="G20" i="78"/>
  <c r="G21" i="78"/>
  <c r="G25" i="78"/>
  <c r="G26" i="78"/>
  <c r="G27" i="78"/>
  <c r="G29" i="78"/>
  <c r="G30" i="78"/>
  <c r="G31" i="78"/>
  <c r="G32" i="78"/>
  <c r="G33" i="78"/>
  <c r="G34" i="78"/>
  <c r="G35" i="78"/>
  <c r="G37" i="78"/>
  <c r="G38" i="78"/>
  <c r="G40" i="78"/>
  <c r="G41" i="78"/>
  <c r="G42" i="78"/>
  <c r="G46" i="78"/>
  <c r="G45" i="78"/>
  <c r="E16" i="21"/>
  <c r="F16" i="21"/>
  <c r="E18" i="21"/>
  <c r="F18" i="21"/>
  <c r="E21" i="21"/>
  <c r="F21" i="21"/>
  <c r="E22" i="21"/>
  <c r="F22" i="21"/>
  <c r="E23" i="21"/>
  <c r="F23" i="21"/>
  <c r="I23" i="21"/>
  <c r="I27" i="21" s="1"/>
  <c r="J51" i="23"/>
  <c r="J52" i="23" s="1"/>
  <c r="J54" i="23" s="1"/>
  <c r="H54" i="23"/>
  <c r="K32" i="49" l="1"/>
  <c r="K42" i="49"/>
  <c r="I27" i="78"/>
  <c r="J26" i="49"/>
  <c r="G37" i="49"/>
  <c r="I37" i="78" s="1"/>
  <c r="K27" i="49"/>
  <c r="K15" i="49"/>
  <c r="K30" i="49"/>
  <c r="G30" i="49"/>
  <c r="J29" i="49" s="1"/>
  <c r="G21" i="49"/>
  <c r="I21" i="78" s="1"/>
  <c r="K18" i="49"/>
  <c r="G18" i="49"/>
  <c r="I18" i="78" s="1"/>
  <c r="K38" i="49"/>
  <c r="K46" i="49"/>
  <c r="E27" i="21"/>
  <c r="F27" i="21"/>
  <c r="I32" i="78"/>
  <c r="K34" i="49"/>
  <c r="K31" i="49"/>
  <c r="K25" i="49"/>
  <c r="G16" i="49"/>
  <c r="J15" i="49" s="1"/>
  <c r="J33" i="49"/>
  <c r="I34" i="78"/>
  <c r="J24" i="49"/>
  <c r="I25" i="78"/>
  <c r="G40" i="49"/>
  <c r="G20" i="49"/>
  <c r="J19" i="49" s="1"/>
  <c r="G22" i="49"/>
  <c r="G17" i="49"/>
  <c r="J41" i="49"/>
  <c r="K33" i="49"/>
  <c r="I26" i="78"/>
  <c r="J25" i="49"/>
  <c r="J28" i="49"/>
  <c r="G45" i="49"/>
  <c r="K41" i="49"/>
  <c r="G35" i="49"/>
  <c r="K26" i="49"/>
  <c r="K13" i="49"/>
  <c r="J45" i="49"/>
  <c r="I41" i="78"/>
  <c r="J40" i="49"/>
  <c r="I38" i="78"/>
  <c r="J37" i="49"/>
  <c r="I33" i="78"/>
  <c r="J32" i="49"/>
  <c r="J30" i="49"/>
  <c r="I31" i="78"/>
  <c r="I13" i="78"/>
  <c r="J13" i="49"/>
  <c r="K24" i="49"/>
  <c r="K19" i="49"/>
  <c r="K16" i="21"/>
  <c r="I23" i="78"/>
  <c r="J22" i="49"/>
  <c r="J18" i="49"/>
  <c r="I19" i="78"/>
  <c r="J14" i="49"/>
  <c r="I15" i="78"/>
  <c r="K21" i="21"/>
  <c r="K18" i="21"/>
  <c r="F48" i="49"/>
  <c r="G48" i="49" s="1"/>
  <c r="I48" i="78" s="1"/>
  <c r="I54" i="23"/>
  <c r="N32" i="23" s="1"/>
  <c r="K22" i="21"/>
  <c r="K23" i="21"/>
  <c r="E51" i="22"/>
  <c r="N25" i="23" s="1"/>
  <c r="K22" i="23"/>
  <c r="N13" i="23" s="1"/>
  <c r="K46" i="23"/>
  <c r="N16" i="23" s="1"/>
  <c r="K40" i="23"/>
  <c r="N15" i="23" s="1"/>
  <c r="G54" i="23"/>
  <c r="N31" i="23" s="1"/>
  <c r="E54" i="23"/>
  <c r="N30" i="23" s="1"/>
  <c r="C54" i="23"/>
  <c r="N29" i="23" s="1"/>
  <c r="I51" i="22"/>
  <c r="N27" i="23" s="1"/>
  <c r="K49" i="23"/>
  <c r="N17" i="23" s="1"/>
  <c r="C51" i="22"/>
  <c r="N24" i="23" s="1"/>
  <c r="K52" i="23"/>
  <c r="G51" i="22"/>
  <c r="N26" i="23" s="1"/>
  <c r="K51" i="22"/>
  <c r="N28" i="23" s="1"/>
  <c r="K51" i="23"/>
  <c r="K22" i="22"/>
  <c r="K43" i="23"/>
  <c r="K27" i="23"/>
  <c r="C40" i="23"/>
  <c r="K21" i="23"/>
  <c r="K42" i="23"/>
  <c r="K18" i="23"/>
  <c r="K31" i="23"/>
  <c r="C30" i="23"/>
  <c r="E25" i="23"/>
  <c r="E40" i="23"/>
  <c r="G42" i="22"/>
  <c r="K38" i="22"/>
  <c r="C30" i="22"/>
  <c r="E15" i="22"/>
  <c r="K33" i="23"/>
  <c r="G26" i="23"/>
  <c r="K19" i="23"/>
  <c r="K45" i="23"/>
  <c r="G39" i="22"/>
  <c r="K37" i="23"/>
  <c r="E36" i="22"/>
  <c r="K33" i="22"/>
  <c r="E20" i="22"/>
  <c r="E22" i="22"/>
  <c r="E28" i="23"/>
  <c r="G21" i="23"/>
  <c r="C22" i="23"/>
  <c r="E43" i="22"/>
  <c r="K38" i="23"/>
  <c r="E37" i="22"/>
  <c r="K34" i="22"/>
  <c r="E33" i="22"/>
  <c r="K20" i="23"/>
  <c r="I18" i="22"/>
  <c r="E16" i="22"/>
  <c r="G40" i="22"/>
  <c r="C18" i="22"/>
  <c r="C31" i="23"/>
  <c r="G25" i="23"/>
  <c r="I42" i="22"/>
  <c r="K39" i="22"/>
  <c r="G35" i="22"/>
  <c r="C15" i="22"/>
  <c r="G28" i="23"/>
  <c r="E21" i="23"/>
  <c r="G43" i="22"/>
  <c r="C39" i="22"/>
  <c r="G37" i="22"/>
  <c r="K35" i="23"/>
  <c r="G33" i="22"/>
  <c r="E19" i="22"/>
  <c r="I46" i="22"/>
  <c r="K34" i="23"/>
  <c r="G27" i="23"/>
  <c r="C21" i="23"/>
  <c r="I43" i="22"/>
  <c r="E39" i="22"/>
  <c r="I37" i="22"/>
  <c r="C36" i="22"/>
  <c r="I33" i="22"/>
  <c r="E40" i="22"/>
  <c r="C19" i="22"/>
  <c r="I16" i="22"/>
  <c r="C22" i="22"/>
  <c r="K18" i="22"/>
  <c r="K46" i="22"/>
  <c r="K14" i="23"/>
  <c r="K17" i="22"/>
  <c r="I27" i="22"/>
  <c r="G29" i="22"/>
  <c r="I30" i="22"/>
  <c r="E35" i="22"/>
  <c r="K43" i="22"/>
  <c r="E44" i="22"/>
  <c r="I44" i="22"/>
  <c r="C45" i="22"/>
  <c r="G45" i="22"/>
  <c r="K45" i="22"/>
  <c r="E15" i="23"/>
  <c r="C16" i="23"/>
  <c r="C17" i="23"/>
  <c r="C19" i="23"/>
  <c r="G19" i="23"/>
  <c r="C29" i="23"/>
  <c r="E30" i="23"/>
  <c r="E42" i="23"/>
  <c r="C38" i="23"/>
  <c r="C43" i="23"/>
  <c r="E36" i="23"/>
  <c r="E43" i="23"/>
  <c r="G36" i="23"/>
  <c r="E17" i="22"/>
  <c r="I17" i="22"/>
  <c r="E21" i="22"/>
  <c r="I21" i="22"/>
  <c r="C23" i="22"/>
  <c r="G23" i="22"/>
  <c r="K23" i="22"/>
  <c r="E25" i="22"/>
  <c r="I25" i="22"/>
  <c r="C26" i="22"/>
  <c r="G26" i="22"/>
  <c r="K26" i="22"/>
  <c r="G27" i="22"/>
  <c r="C28" i="22"/>
  <c r="G28" i="22"/>
  <c r="K28" i="22"/>
  <c r="I29" i="22"/>
  <c r="G30" i="22"/>
  <c r="C31" i="22"/>
  <c r="G31" i="22"/>
  <c r="K31" i="22"/>
  <c r="E32" i="22"/>
  <c r="C35" i="22"/>
  <c r="E16" i="23"/>
  <c r="E27" i="23"/>
  <c r="G30" i="23"/>
  <c r="E32" i="23"/>
  <c r="C33" i="23"/>
  <c r="G33" i="23"/>
  <c r="E34" i="23"/>
  <c r="G45" i="23"/>
  <c r="C42" i="23"/>
  <c r="E45" i="23"/>
  <c r="C45" i="23"/>
  <c r="G39" i="23"/>
  <c r="C37" i="23"/>
  <c r="E39" i="23"/>
  <c r="E46" i="23"/>
  <c r="E35" i="23"/>
  <c r="K54" i="23"/>
  <c r="K23" i="23"/>
  <c r="N14" i="23" s="1"/>
  <c r="I52" i="23"/>
  <c r="K26" i="23"/>
  <c r="I51" i="23"/>
  <c r="K30" i="23"/>
  <c r="G22" i="23"/>
  <c r="K25" i="23"/>
  <c r="I49" i="23"/>
  <c r="K28" i="23"/>
  <c r="K16" i="23"/>
  <c r="C26" i="23"/>
  <c r="C18" i="23"/>
  <c r="K42" i="22"/>
  <c r="C42" i="22"/>
  <c r="K36" i="22"/>
  <c r="I15" i="22"/>
  <c r="G40" i="23"/>
  <c r="K29" i="23"/>
  <c r="C23" i="23"/>
  <c r="E22" i="23"/>
  <c r="C43" i="22"/>
  <c r="I38" i="22"/>
  <c r="C37" i="22"/>
  <c r="I34" i="22"/>
  <c r="C33" i="22"/>
  <c r="G18" i="22"/>
  <c r="K32" i="23"/>
  <c r="E26" i="23"/>
  <c r="G18" i="23"/>
  <c r="K44" i="23"/>
  <c r="I39" i="22"/>
  <c r="C38" i="22"/>
  <c r="G36" i="22"/>
  <c r="C34" i="22"/>
  <c r="I40" i="22"/>
  <c r="G19" i="22"/>
  <c r="K17" i="23"/>
  <c r="G22" i="22"/>
  <c r="I19" i="22"/>
  <c r="I22" i="22"/>
  <c r="C28" i="23"/>
  <c r="C25" i="23"/>
  <c r="E42" i="22"/>
  <c r="K37" i="22"/>
  <c r="G15" i="22"/>
  <c r="G31" i="23"/>
  <c r="G23" i="23"/>
  <c r="E18" i="23"/>
  <c r="K39" i="23"/>
  <c r="E38" i="22"/>
  <c r="I36" i="22"/>
  <c r="E34" i="22"/>
  <c r="K40" i="22"/>
  <c r="G16" i="22"/>
  <c r="E46" i="22"/>
  <c r="E31" i="23"/>
  <c r="E23" i="23"/>
  <c r="K15" i="23"/>
  <c r="G46" i="22"/>
  <c r="G38" i="22"/>
  <c r="K36" i="23"/>
  <c r="G34" i="22"/>
  <c r="K32" i="22"/>
  <c r="K19" i="22"/>
  <c r="E18" i="22"/>
  <c r="K15" i="22"/>
  <c r="C40" i="22"/>
  <c r="C16" i="22"/>
  <c r="C46" i="22"/>
  <c r="C17" i="22"/>
  <c r="C27" i="22"/>
  <c r="C29" i="22"/>
  <c r="K29" i="22"/>
  <c r="I32" i="22"/>
  <c r="K35" i="22"/>
  <c r="C44" i="22"/>
  <c r="G44" i="22"/>
  <c r="K44" i="22"/>
  <c r="E45" i="22"/>
  <c r="I45" i="22"/>
  <c r="C15" i="23"/>
  <c r="G15" i="23"/>
  <c r="G16" i="23"/>
  <c r="E17" i="23"/>
  <c r="E19" i="23"/>
  <c r="C27" i="23"/>
  <c r="E29" i="23"/>
  <c r="E44" i="23"/>
  <c r="G37" i="23"/>
  <c r="G46" i="23"/>
  <c r="C39" i="23"/>
  <c r="G44" i="23"/>
  <c r="G38" i="23"/>
  <c r="K16" i="22"/>
  <c r="G17" i="22"/>
  <c r="C21" i="22"/>
  <c r="G21" i="22"/>
  <c r="K21" i="22"/>
  <c r="E23" i="22"/>
  <c r="I23" i="22"/>
  <c r="C25" i="22"/>
  <c r="G25" i="22"/>
  <c r="K25" i="22"/>
  <c r="E26" i="22"/>
  <c r="I26" i="22"/>
  <c r="E27" i="22"/>
  <c r="K27" i="22"/>
  <c r="E28" i="22"/>
  <c r="I28" i="22"/>
  <c r="E29" i="22"/>
  <c r="E30" i="22"/>
  <c r="K30" i="22"/>
  <c r="E31" i="22"/>
  <c r="I31" i="22"/>
  <c r="C32" i="22"/>
  <c r="G32" i="22"/>
  <c r="I35" i="22"/>
  <c r="G17" i="23"/>
  <c r="G29" i="23"/>
  <c r="C32" i="23"/>
  <c r="G32" i="23"/>
  <c r="E33" i="23"/>
  <c r="C34" i="23"/>
  <c r="G34" i="23"/>
  <c r="G42" i="23"/>
  <c r="G35" i="23"/>
  <c r="C36" i="23"/>
  <c r="G43" i="23"/>
  <c r="E38" i="23"/>
  <c r="C44" i="23"/>
  <c r="E37" i="23"/>
  <c r="C46" i="23"/>
  <c r="C35" i="23"/>
  <c r="J23" i="49"/>
  <c r="K48" i="49" l="1"/>
  <c r="J36" i="49"/>
  <c r="K27" i="21"/>
  <c r="J20" i="49"/>
  <c r="J17" i="49"/>
  <c r="I30" i="78"/>
  <c r="I16" i="78"/>
  <c r="I40" i="78"/>
  <c r="J39" i="49"/>
  <c r="I22" i="78"/>
  <c r="J21" i="49"/>
  <c r="I20" i="78"/>
  <c r="I17" i="78"/>
  <c r="J16" i="49"/>
  <c r="N18" i="23"/>
  <c r="N20" i="23" s="1"/>
  <c r="I35" i="78"/>
  <c r="J34" i="49"/>
  <c r="J44" i="49"/>
  <c r="I45" i="78"/>
  <c r="N34" i="23"/>
  <c r="B48" i="33" l="1"/>
  <c r="H51" i="39" l="1"/>
  <c r="F51" i="39"/>
  <c r="D51" i="40"/>
  <c r="D51" i="39"/>
  <c r="J51" i="9"/>
  <c r="G51" i="9"/>
  <c r="C51" i="15"/>
  <c r="E51" i="15" s="1"/>
  <c r="G50" i="8"/>
  <c r="E50" i="7"/>
  <c r="J50" i="9"/>
  <c r="G50" i="9"/>
  <c r="E46" i="7"/>
  <c r="G46" i="9"/>
  <c r="E45" i="7"/>
  <c r="J45" i="9"/>
  <c r="G45" i="9"/>
  <c r="C45" i="15"/>
  <c r="E45" i="15" s="1"/>
  <c r="G44" i="8"/>
  <c r="E44" i="7"/>
  <c r="J44" i="9"/>
  <c r="E43" i="7"/>
  <c r="J43" i="9"/>
  <c r="G43" i="9"/>
  <c r="C43" i="15"/>
  <c r="E43" i="15" s="1"/>
  <c r="E42" i="7"/>
  <c r="J42" i="9"/>
  <c r="G42" i="9"/>
  <c r="C42" i="15"/>
  <c r="E42" i="15" s="1"/>
  <c r="G41" i="8"/>
  <c r="E41" i="7"/>
  <c r="J41" i="9"/>
  <c r="G41" i="9"/>
  <c r="E40" i="7"/>
  <c r="G40" i="9"/>
  <c r="C40" i="15"/>
  <c r="E40" i="15" s="1"/>
  <c r="E39" i="7"/>
  <c r="J39" i="9"/>
  <c r="G39" i="9"/>
  <c r="C39" i="15"/>
  <c r="E39" i="15" s="1"/>
  <c r="E38" i="7"/>
  <c r="G38" i="9"/>
  <c r="C38" i="15"/>
  <c r="E38" i="15" s="1"/>
  <c r="G37" i="8"/>
  <c r="E37" i="7"/>
  <c r="G37" i="9"/>
  <c r="C37" i="15"/>
  <c r="E37" i="15" s="1"/>
  <c r="E36" i="7"/>
  <c r="J36" i="9"/>
  <c r="G36" i="9"/>
  <c r="C36" i="15"/>
  <c r="E36" i="15" s="1"/>
  <c r="E35" i="7"/>
  <c r="G35" i="9"/>
  <c r="C35" i="15"/>
  <c r="E35" i="15" s="1"/>
  <c r="E34" i="7"/>
  <c r="G34" i="9"/>
  <c r="C34" i="15"/>
  <c r="E34" i="15" s="1"/>
  <c r="E33" i="7"/>
  <c r="J33" i="9"/>
  <c r="G33" i="9"/>
  <c r="C33" i="15"/>
  <c r="E33" i="15" s="1"/>
  <c r="E32" i="7"/>
  <c r="G32" i="9"/>
  <c r="C32" i="15"/>
  <c r="E32" i="15" s="1"/>
  <c r="E31" i="7"/>
  <c r="J31" i="9"/>
  <c r="G31" i="9"/>
  <c r="C31" i="15"/>
  <c r="E31" i="15" s="1"/>
  <c r="E30" i="7"/>
  <c r="J30" i="9"/>
  <c r="G30" i="9"/>
  <c r="C30" i="15"/>
  <c r="E30" i="15" s="1"/>
  <c r="G29" i="8"/>
  <c r="E29" i="7"/>
  <c r="G29" i="9"/>
  <c r="G28" i="8"/>
  <c r="E28" i="7"/>
  <c r="J28" i="9"/>
  <c r="G28" i="9"/>
  <c r="E27" i="7"/>
  <c r="J27" i="9"/>
  <c r="G27" i="9"/>
  <c r="E26" i="7"/>
  <c r="G26" i="9"/>
  <c r="C26" i="15"/>
  <c r="E26" i="15" s="1"/>
  <c r="E25" i="7"/>
  <c r="G25" i="9"/>
  <c r="E24" i="7"/>
  <c r="G24" i="9"/>
  <c r="C24" i="15"/>
  <c r="E24" i="15" s="1"/>
  <c r="E23" i="7"/>
  <c r="J23" i="9"/>
  <c r="G23" i="9"/>
  <c r="G22" i="8"/>
  <c r="E22" i="7"/>
  <c r="J22" i="9"/>
  <c r="G22" i="9"/>
  <c r="G21" i="8"/>
  <c r="E21" i="7"/>
  <c r="J21" i="9"/>
  <c r="G21" i="9"/>
  <c r="E20" i="7"/>
  <c r="J20" i="9"/>
  <c r="G20" i="9"/>
  <c r="E19" i="7"/>
  <c r="J19" i="9"/>
  <c r="G19" i="9"/>
  <c r="E18" i="7"/>
  <c r="J18" i="9"/>
  <c r="G18" i="9"/>
  <c r="E17" i="7"/>
  <c r="J17" i="9"/>
  <c r="G17" i="9"/>
  <c r="C17" i="15"/>
  <c r="E17" i="15" s="1"/>
  <c r="E16" i="7"/>
  <c r="J16" i="9"/>
  <c r="G16" i="9"/>
  <c r="C16" i="15"/>
  <c r="E16" i="15" s="1"/>
  <c r="E15" i="7"/>
  <c r="J15" i="9"/>
  <c r="G15" i="9"/>
  <c r="C15" i="15"/>
  <c r="E15" i="15" s="1"/>
  <c r="G14" i="8"/>
  <c r="E14" i="7"/>
  <c r="J14" i="9"/>
  <c r="E13" i="7"/>
  <c r="G13" i="9"/>
  <c r="C13" i="15"/>
  <c r="E13" i="15" s="1"/>
  <c r="G51" i="81"/>
  <c r="G46" i="81"/>
  <c r="G44" i="81"/>
  <c r="G43" i="81"/>
  <c r="G42" i="81"/>
  <c r="G41" i="81"/>
  <c r="G40" i="81"/>
  <c r="G39" i="81"/>
  <c r="G38" i="81"/>
  <c r="G37" i="81"/>
  <c r="G36" i="81"/>
  <c r="G35" i="81"/>
  <c r="G34" i="81"/>
  <c r="G33" i="81"/>
  <c r="G32" i="81"/>
  <c r="G31" i="81"/>
  <c r="G30" i="81"/>
  <c r="G29" i="81"/>
  <c r="G28" i="81"/>
  <c r="G27" i="81"/>
  <c r="G26" i="81"/>
  <c r="G25" i="81"/>
  <c r="G24" i="81"/>
  <c r="G23" i="81"/>
  <c r="G22" i="81"/>
  <c r="G20" i="81"/>
  <c r="G19" i="81"/>
  <c r="G17" i="81"/>
  <c r="G16" i="81"/>
  <c r="G15" i="81"/>
  <c r="G14" i="81"/>
  <c r="G13" i="81"/>
  <c r="E12" i="7"/>
  <c r="J12" i="9"/>
  <c r="G12" i="9"/>
  <c r="G12" i="81"/>
  <c r="H48" i="14"/>
  <c r="G48" i="14"/>
  <c r="F48" i="14"/>
  <c r="C48" i="43"/>
  <c r="A53" i="44" s="1"/>
  <c r="D48" i="52"/>
  <c r="C48" i="52"/>
  <c r="B48" i="52"/>
  <c r="D48" i="46"/>
  <c r="C48" i="46"/>
  <c r="B48" i="46"/>
  <c r="F48" i="47"/>
  <c r="E48" i="47"/>
  <c r="D48" i="47"/>
  <c r="F48" i="81"/>
  <c r="E48" i="81"/>
  <c r="D48" i="81"/>
  <c r="C48" i="81"/>
  <c r="B48" i="81"/>
  <c r="G48" i="51"/>
  <c r="F48" i="51"/>
  <c r="E48" i="51"/>
  <c r="D48" i="51"/>
  <c r="C48" i="51"/>
  <c r="A54" i="47" l="1"/>
  <c r="G11" i="81"/>
  <c r="B48" i="51"/>
  <c r="B48" i="14"/>
  <c r="C11" i="15"/>
  <c r="E11" i="15" s="1"/>
  <c r="C48" i="39"/>
  <c r="H14" i="20"/>
  <c r="H18" i="20"/>
  <c r="H22" i="20"/>
  <c r="H26" i="20"/>
  <c r="H30" i="20"/>
  <c r="H34" i="20"/>
  <c r="H38" i="20"/>
  <c r="H42" i="20"/>
  <c r="H46" i="20"/>
  <c r="I13" i="7"/>
  <c r="H13" i="7"/>
  <c r="G13" i="7"/>
  <c r="F13" i="7"/>
  <c r="I15" i="7"/>
  <c r="D15" i="7"/>
  <c r="H15" i="7"/>
  <c r="G15" i="7"/>
  <c r="F15" i="7"/>
  <c r="I17" i="7"/>
  <c r="D17" i="7"/>
  <c r="H17" i="7"/>
  <c r="G17" i="7"/>
  <c r="F17" i="7"/>
  <c r="I19" i="7"/>
  <c r="D19" i="7"/>
  <c r="H19" i="7"/>
  <c r="G19" i="7"/>
  <c r="F19" i="7"/>
  <c r="I21" i="7"/>
  <c r="H21" i="7"/>
  <c r="F21" i="7"/>
  <c r="G21" i="7"/>
  <c r="I23" i="7"/>
  <c r="H23" i="7"/>
  <c r="D23" i="7"/>
  <c r="G23" i="7"/>
  <c r="F23" i="7"/>
  <c r="D25" i="7"/>
  <c r="F25" i="7"/>
  <c r="I25" i="7"/>
  <c r="G25" i="7"/>
  <c r="H25" i="7"/>
  <c r="I27" i="7"/>
  <c r="H27" i="7"/>
  <c r="G27" i="7"/>
  <c r="F27" i="7"/>
  <c r="I29" i="7"/>
  <c r="G29" i="7"/>
  <c r="F29" i="7"/>
  <c r="H29" i="7"/>
  <c r="I31" i="7"/>
  <c r="F31" i="7"/>
  <c r="G31" i="7"/>
  <c r="H31" i="7"/>
  <c r="I33" i="7"/>
  <c r="H33" i="7"/>
  <c r="F33" i="7"/>
  <c r="G33" i="7"/>
  <c r="I35" i="7"/>
  <c r="F35" i="7"/>
  <c r="G35" i="7"/>
  <c r="H35" i="7"/>
  <c r="E37" i="41"/>
  <c r="E37" i="16"/>
  <c r="E39" i="41"/>
  <c r="E39" i="16"/>
  <c r="E43" i="41"/>
  <c r="E43" i="16"/>
  <c r="E45" i="16"/>
  <c r="E45" i="41"/>
  <c r="G18" i="81"/>
  <c r="C41" i="15"/>
  <c r="E41" i="15" s="1"/>
  <c r="C50" i="15"/>
  <c r="E50" i="15" s="1"/>
  <c r="E48" i="14"/>
  <c r="E11" i="7"/>
  <c r="G11" i="8"/>
  <c r="B48" i="15"/>
  <c r="W13" i="2" s="1"/>
  <c r="G48" i="39"/>
  <c r="H15" i="20"/>
  <c r="H19" i="20"/>
  <c r="H23" i="20"/>
  <c r="H27" i="20"/>
  <c r="H31" i="20"/>
  <c r="H35" i="20"/>
  <c r="H39" i="20"/>
  <c r="H43" i="20"/>
  <c r="H50" i="20"/>
  <c r="E16" i="41"/>
  <c r="E16" i="16"/>
  <c r="E24" i="41"/>
  <c r="E24" i="16"/>
  <c r="E26" i="41"/>
  <c r="E26" i="16"/>
  <c r="E30" i="41"/>
  <c r="E30" i="16"/>
  <c r="E32" i="16"/>
  <c r="E32" i="41"/>
  <c r="E34" i="41"/>
  <c r="E34" i="16"/>
  <c r="I37" i="7"/>
  <c r="F37" i="7"/>
  <c r="H37" i="7"/>
  <c r="G37" i="7"/>
  <c r="I39" i="7"/>
  <c r="F39" i="7"/>
  <c r="G39" i="7"/>
  <c r="H39" i="7"/>
  <c r="D39" i="7"/>
  <c r="I41" i="7"/>
  <c r="F41" i="7"/>
  <c r="H41" i="7"/>
  <c r="G41" i="7"/>
  <c r="I43" i="7"/>
  <c r="F43" i="7"/>
  <c r="G43" i="7"/>
  <c r="D43" i="7"/>
  <c r="H43" i="7"/>
  <c r="I45" i="7"/>
  <c r="F45" i="7"/>
  <c r="H45" i="7"/>
  <c r="G45" i="7"/>
  <c r="I50" i="7"/>
  <c r="D50" i="7"/>
  <c r="G50" i="7"/>
  <c r="H50" i="7"/>
  <c r="F50" i="7"/>
  <c r="E51" i="16"/>
  <c r="C12" i="15"/>
  <c r="E12" i="15" s="1"/>
  <c r="G50" i="81"/>
  <c r="C14" i="15"/>
  <c r="E14" i="15" s="1"/>
  <c r="C18" i="15"/>
  <c r="E18" i="15" s="1"/>
  <c r="C20" i="15"/>
  <c r="E20" i="15" s="1"/>
  <c r="C22" i="15"/>
  <c r="E22" i="15" s="1"/>
  <c r="C28" i="15"/>
  <c r="E28" i="15" s="1"/>
  <c r="D48" i="38"/>
  <c r="D48" i="14"/>
  <c r="J11" i="9"/>
  <c r="E48" i="39"/>
  <c r="D48" i="43"/>
  <c r="I12" i="7"/>
  <c r="D12" i="7"/>
  <c r="F12" i="7"/>
  <c r="H12" i="7"/>
  <c r="G12" i="7"/>
  <c r="H16" i="20"/>
  <c r="H20" i="20"/>
  <c r="H24" i="20"/>
  <c r="H28" i="20"/>
  <c r="H32" i="20"/>
  <c r="H36" i="20"/>
  <c r="J36" i="20" s="1"/>
  <c r="H40" i="20"/>
  <c r="H44" i="20"/>
  <c r="H51" i="20"/>
  <c r="I14" i="7"/>
  <c r="F14" i="7"/>
  <c r="D14" i="7"/>
  <c r="H14" i="7"/>
  <c r="G14" i="7"/>
  <c r="I16" i="7"/>
  <c r="F16" i="7"/>
  <c r="H16" i="7"/>
  <c r="G16" i="7"/>
  <c r="I18" i="7"/>
  <c r="G18" i="7"/>
  <c r="F18" i="7"/>
  <c r="D18" i="7"/>
  <c r="H18" i="7"/>
  <c r="H20" i="7"/>
  <c r="G20" i="7"/>
  <c r="F20" i="7" s="1"/>
  <c r="D20" i="7"/>
  <c r="I20" i="7"/>
  <c r="G22" i="7"/>
  <c r="F22" i="7"/>
  <c r="I22" i="7"/>
  <c r="H22" i="7" s="1"/>
  <c r="I24" i="7"/>
  <c r="H24" i="7"/>
  <c r="F24" i="7"/>
  <c r="G24" i="7"/>
  <c r="G26" i="7"/>
  <c r="I26" i="7"/>
  <c r="H26" i="7" s="1"/>
  <c r="F26" i="7"/>
  <c r="I28" i="7"/>
  <c r="F28" i="7"/>
  <c r="D28" i="7"/>
  <c r="G28" i="7"/>
  <c r="H28" i="7"/>
  <c r="I30" i="7"/>
  <c r="F30" i="7"/>
  <c r="D30" i="7"/>
  <c r="G30" i="7"/>
  <c r="H30" i="7"/>
  <c r="I32" i="7"/>
  <c r="H32" i="7"/>
  <c r="G32" i="7"/>
  <c r="F32" i="7"/>
  <c r="I34" i="7"/>
  <c r="G34" i="7"/>
  <c r="F34" i="7"/>
  <c r="H34" i="7"/>
  <c r="E36" i="16"/>
  <c r="E36" i="41"/>
  <c r="E38" i="41"/>
  <c r="E38" i="16"/>
  <c r="E40" i="41"/>
  <c r="E40" i="16"/>
  <c r="E42" i="41"/>
  <c r="E42" i="16"/>
  <c r="C44" i="15"/>
  <c r="E44" i="15" s="1"/>
  <c r="C46" i="15"/>
  <c r="E46" i="15" s="1"/>
  <c r="E51" i="7"/>
  <c r="B48" i="47"/>
  <c r="H11" i="20"/>
  <c r="G11" i="9"/>
  <c r="C48" i="14"/>
  <c r="C48" i="40"/>
  <c r="H13" i="20"/>
  <c r="H17" i="20"/>
  <c r="H21" i="20"/>
  <c r="H25" i="20"/>
  <c r="H29" i="20"/>
  <c r="H33" i="20"/>
  <c r="H37" i="20"/>
  <c r="H41" i="20"/>
  <c r="H45" i="20"/>
  <c r="E13" i="41"/>
  <c r="E13" i="16"/>
  <c r="E15" i="16"/>
  <c r="E15" i="41"/>
  <c r="E17" i="16"/>
  <c r="E17" i="41"/>
  <c r="E31" i="41"/>
  <c r="E31" i="16"/>
  <c r="E33" i="16"/>
  <c r="E33" i="41"/>
  <c r="E35" i="16"/>
  <c r="E35" i="41"/>
  <c r="I36" i="7"/>
  <c r="H36" i="7"/>
  <c r="F36" i="7"/>
  <c r="D36" i="7"/>
  <c r="G36" i="7"/>
  <c r="I38" i="7"/>
  <c r="F38" i="7"/>
  <c r="H38" i="7"/>
  <c r="G38" i="7"/>
  <c r="I40" i="7"/>
  <c r="F40" i="7"/>
  <c r="H40" i="7"/>
  <c r="G40" i="7"/>
  <c r="I42" i="7"/>
  <c r="F42" i="7"/>
  <c r="H42" i="7"/>
  <c r="G42" i="7"/>
  <c r="I44" i="7"/>
  <c r="H44" i="7"/>
  <c r="F44" i="7"/>
  <c r="D44" i="7"/>
  <c r="G44" i="7"/>
  <c r="I46" i="7"/>
  <c r="G46" i="7"/>
  <c r="F46" i="7"/>
  <c r="H46" i="7"/>
  <c r="G21" i="81"/>
  <c r="G45" i="81"/>
  <c r="C19" i="15"/>
  <c r="E19" i="15" s="1"/>
  <c r="C21" i="15"/>
  <c r="E21" i="15" s="1"/>
  <c r="C23" i="15"/>
  <c r="E23" i="15" s="1"/>
  <c r="C25" i="15"/>
  <c r="E25" i="15" s="1"/>
  <c r="C27" i="15"/>
  <c r="E27" i="15" s="1"/>
  <c r="C29" i="15"/>
  <c r="E29" i="15" s="1"/>
  <c r="E27" i="41" l="1"/>
  <c r="E21" i="41"/>
  <c r="I51" i="7"/>
  <c r="F51" i="7"/>
  <c r="D51" i="7"/>
  <c r="H51" i="7"/>
  <c r="G51" i="7"/>
  <c r="E44" i="41"/>
  <c r="E44" i="16"/>
  <c r="E28" i="41"/>
  <c r="E28" i="16"/>
  <c r="E27" i="16" s="1"/>
  <c r="E20" i="16"/>
  <c r="E20" i="41"/>
  <c r="E12" i="16"/>
  <c r="E12" i="41"/>
  <c r="E50" i="16"/>
  <c r="E50" i="41"/>
  <c r="J46" i="20"/>
  <c r="J38" i="20"/>
  <c r="J30" i="20"/>
  <c r="J22" i="20"/>
  <c r="J14" i="20"/>
  <c r="G48" i="81"/>
  <c r="E29" i="41"/>
  <c r="E29" i="16"/>
  <c r="E25" i="16"/>
  <c r="E25" i="41"/>
  <c r="J45" i="20"/>
  <c r="J37" i="20"/>
  <c r="J29" i="20"/>
  <c r="J21" i="20"/>
  <c r="J13" i="20"/>
  <c r="J51" i="20"/>
  <c r="J40" i="20"/>
  <c r="J32" i="20"/>
  <c r="J24" i="20"/>
  <c r="J16" i="20"/>
  <c r="J43" i="20"/>
  <c r="J35" i="20"/>
  <c r="J27" i="20"/>
  <c r="J19" i="20"/>
  <c r="E23" i="41"/>
  <c r="E23" i="16"/>
  <c r="E19" i="41"/>
  <c r="E19" i="16"/>
  <c r="E46" i="41"/>
  <c r="E46" i="16"/>
  <c r="E22" i="41"/>
  <c r="E22" i="16"/>
  <c r="E21" i="16" s="1"/>
  <c r="E18" i="16"/>
  <c r="E18" i="41"/>
  <c r="E48" i="7"/>
  <c r="H11" i="7"/>
  <c r="G11" i="7"/>
  <c r="D11" i="7"/>
  <c r="F11" i="7"/>
  <c r="I11" i="7"/>
  <c r="J42" i="20"/>
  <c r="J34" i="20"/>
  <c r="J26" i="20"/>
  <c r="J18" i="20"/>
  <c r="J41" i="20"/>
  <c r="J33" i="20"/>
  <c r="J25" i="20"/>
  <c r="J17" i="20"/>
  <c r="J44" i="20"/>
  <c r="J28" i="20"/>
  <c r="J20" i="20"/>
  <c r="E14" i="41"/>
  <c r="E14" i="16"/>
  <c r="J50" i="20"/>
  <c r="J39" i="20"/>
  <c r="J31" i="20"/>
  <c r="J23" i="20"/>
  <c r="J15" i="20"/>
  <c r="E41" i="16"/>
  <c r="E41" i="41"/>
  <c r="H12" i="20"/>
  <c r="H48" i="20" s="1"/>
  <c r="C48" i="15"/>
  <c r="H52" i="20" l="1"/>
  <c r="E11" i="16"/>
  <c r="E48" i="16" s="1"/>
  <c r="E11" i="41"/>
  <c r="E48" i="15"/>
  <c r="J48" i="20" s="1"/>
  <c r="J11" i="20"/>
  <c r="J12" i="20"/>
  <c r="F48" i="7"/>
  <c r="H48" i="7"/>
  <c r="I48" i="7"/>
  <c r="G48" i="7"/>
  <c r="E48" i="41" l="1"/>
  <c r="V14" i="2"/>
  <c r="F50" i="46" l="1"/>
  <c r="F45" i="46"/>
  <c r="F38" i="46"/>
  <c r="F35" i="46"/>
  <c r="F25" i="46"/>
  <c r="F23" i="46"/>
  <c r="F15" i="46"/>
  <c r="F33" i="46"/>
  <c r="F27" i="46"/>
  <c r="F51" i="46"/>
  <c r="F50" i="52" l="1"/>
  <c r="B50" i="43" s="1"/>
  <c r="F50" i="43" s="1"/>
  <c r="H50" i="43" s="1"/>
  <c r="G45" i="8"/>
  <c r="F22" i="46"/>
  <c r="F31" i="46"/>
  <c r="F39" i="46"/>
  <c r="F44" i="46"/>
  <c r="F17" i="46"/>
  <c r="F46" i="46"/>
  <c r="F43" i="46"/>
  <c r="F24" i="46"/>
  <c r="F26" i="46"/>
  <c r="F28" i="46"/>
  <c r="F29" i="46"/>
  <c r="F30" i="46"/>
  <c r="F32" i="46"/>
  <c r="F34" i="46"/>
  <c r="F36" i="46"/>
  <c r="F37" i="46"/>
  <c r="G44" i="9"/>
  <c r="G29" i="10"/>
  <c r="H43" i="18"/>
  <c r="F42" i="46"/>
  <c r="F14" i="46"/>
  <c r="F21" i="46"/>
  <c r="B35" i="20"/>
  <c r="F12" i="46"/>
  <c r="F13" i="46"/>
  <c r="F16" i="46"/>
  <c r="F18" i="46"/>
  <c r="J37" i="9"/>
  <c r="G38" i="11"/>
  <c r="E33" i="18" l="1"/>
  <c r="D33" i="10"/>
  <c r="D42" i="9"/>
  <c r="G20" i="8"/>
  <c r="D11" i="10"/>
  <c r="G50" i="10"/>
  <c r="D44" i="10"/>
  <c r="J22" i="11"/>
  <c r="F21" i="41"/>
  <c r="G21" i="41" s="1"/>
  <c r="J17" i="11"/>
  <c r="G40" i="11"/>
  <c r="G36" i="11"/>
  <c r="G32" i="11"/>
  <c r="G27" i="11"/>
  <c r="G22" i="11"/>
  <c r="J13" i="11"/>
  <c r="G43" i="11"/>
  <c r="B20" i="76"/>
  <c r="D20" i="27"/>
  <c r="D20" i="76" s="1"/>
  <c r="D27" i="7"/>
  <c r="D18" i="9"/>
  <c r="D40" i="9"/>
  <c r="G25" i="8"/>
  <c r="B18" i="18"/>
  <c r="D18" i="8"/>
  <c r="B27" i="18"/>
  <c r="D27" i="8"/>
  <c r="B31" i="39"/>
  <c r="D16" i="11"/>
  <c r="B15" i="18"/>
  <c r="D15" i="8"/>
  <c r="G51" i="26"/>
  <c r="B51" i="18"/>
  <c r="D51" i="8"/>
  <c r="G28" i="29"/>
  <c r="G34" i="8"/>
  <c r="D35" i="20"/>
  <c r="B19" i="39"/>
  <c r="B43" i="76"/>
  <c r="D43" i="27"/>
  <c r="D43" i="76" s="1"/>
  <c r="G30" i="26"/>
  <c r="D13" i="7"/>
  <c r="G24" i="8"/>
  <c r="G40" i="10"/>
  <c r="G36" i="10"/>
  <c r="D15" i="11"/>
  <c r="J33" i="11"/>
  <c r="J31" i="26"/>
  <c r="B11" i="40"/>
  <c r="G25" i="28"/>
  <c r="G12" i="28"/>
  <c r="D17" i="28"/>
  <c r="G44" i="28"/>
  <c r="G40" i="28"/>
  <c r="G20" i="28"/>
  <c r="D13" i="11"/>
  <c r="E18" i="18"/>
  <c r="D18" i="10"/>
  <c r="D20" i="8"/>
  <c r="B28" i="39"/>
  <c r="J32" i="26"/>
  <c r="J42" i="26"/>
  <c r="D13" i="9"/>
  <c r="D12" i="8"/>
  <c r="D43" i="8"/>
  <c r="H41" i="18"/>
  <c r="G31" i="26"/>
  <c r="B37" i="76"/>
  <c r="D37" i="27"/>
  <c r="D37" i="76" s="1"/>
  <c r="B21" i="76"/>
  <c r="D21" i="27"/>
  <c r="D21" i="76" s="1"/>
  <c r="B27" i="19"/>
  <c r="B45" i="39"/>
  <c r="B35" i="39"/>
  <c r="B33" i="39"/>
  <c r="B21" i="39"/>
  <c r="B12" i="39"/>
  <c r="J46" i="26"/>
  <c r="J24" i="26"/>
  <c r="J13" i="26"/>
  <c r="D37" i="9"/>
  <c r="D27" i="9"/>
  <c r="B17" i="18"/>
  <c r="D17" i="8"/>
  <c r="B26" i="18"/>
  <c r="D26" i="8"/>
  <c r="J12" i="26"/>
  <c r="B27" i="20"/>
  <c r="B19" i="20"/>
  <c r="B40" i="39"/>
  <c r="B29" i="39"/>
  <c r="B20" i="39"/>
  <c r="G42" i="28"/>
  <c r="J45" i="26"/>
  <c r="B28" i="76"/>
  <c r="D28" i="27"/>
  <c r="D28" i="76" s="1"/>
  <c r="J25" i="26"/>
  <c r="J22" i="26"/>
  <c r="J44" i="26"/>
  <c r="J33" i="26"/>
  <c r="J28" i="26"/>
  <c r="G17" i="26"/>
  <c r="G43" i="26"/>
  <c r="G37" i="26"/>
  <c r="G32" i="26"/>
  <c r="G19" i="26"/>
  <c r="B37" i="19"/>
  <c r="D39" i="11"/>
  <c r="D19" i="11"/>
  <c r="D33" i="11"/>
  <c r="D18" i="11"/>
  <c r="G21" i="10"/>
  <c r="G13" i="10"/>
  <c r="G34" i="10"/>
  <c r="G26" i="10"/>
  <c r="G17" i="10"/>
  <c r="D32" i="7"/>
  <c r="J24" i="9"/>
  <c r="J40" i="9"/>
  <c r="J34" i="9"/>
  <c r="J26" i="9"/>
  <c r="B22" i="19"/>
  <c r="F41" i="46"/>
  <c r="D25" i="11"/>
  <c r="F20" i="46"/>
  <c r="B38" i="20"/>
  <c r="D38" i="7"/>
  <c r="J21" i="26"/>
  <c r="G45" i="10"/>
  <c r="D11" i="26"/>
  <c r="B41" i="19"/>
  <c r="B16" i="19"/>
  <c r="G33" i="10"/>
  <c r="H11" i="18"/>
  <c r="D38" i="10"/>
  <c r="D51" i="10"/>
  <c r="G41" i="11"/>
  <c r="G11" i="11"/>
  <c r="B38" i="18"/>
  <c r="D38" i="8"/>
  <c r="D28" i="11"/>
  <c r="B39" i="39"/>
  <c r="B35" i="19"/>
  <c r="E48" i="43"/>
  <c r="D32" i="10"/>
  <c r="D46" i="10"/>
  <c r="J36" i="11"/>
  <c r="D31" i="11"/>
  <c r="G37" i="11"/>
  <c r="G33" i="11"/>
  <c r="G28" i="11"/>
  <c r="G24" i="11"/>
  <c r="G18" i="11"/>
  <c r="G14" i="11"/>
  <c r="G44" i="11"/>
  <c r="F13" i="41"/>
  <c r="G13" i="41" s="1"/>
  <c r="D36" i="9"/>
  <c r="G18" i="8"/>
  <c r="G35" i="8"/>
  <c r="B16" i="18"/>
  <c r="D16" i="8"/>
  <c r="D25" i="8"/>
  <c r="B40" i="18"/>
  <c r="D40" i="8"/>
  <c r="H16" i="18"/>
  <c r="G14" i="9"/>
  <c r="G51" i="11"/>
  <c r="G16" i="26"/>
  <c r="B14" i="76"/>
  <c r="D14" i="27"/>
  <c r="D14" i="76" s="1"/>
  <c r="G14" i="10"/>
  <c r="J11" i="26"/>
  <c r="G20" i="11"/>
  <c r="G26" i="8"/>
  <c r="G16" i="8"/>
  <c r="B33" i="20"/>
  <c r="D33" i="20" s="1"/>
  <c r="B17" i="39"/>
  <c r="B42" i="39"/>
  <c r="G24" i="26"/>
  <c r="G46" i="26"/>
  <c r="D35" i="7"/>
  <c r="J35" i="9"/>
  <c r="D44" i="9"/>
  <c r="G50" i="26"/>
  <c r="D41" i="11"/>
  <c r="G39" i="10"/>
  <c r="D22" i="11"/>
  <c r="D31" i="7"/>
  <c r="J18" i="11"/>
  <c r="G23" i="8"/>
  <c r="G41" i="28"/>
  <c r="G34" i="28"/>
  <c r="D43" i="28"/>
  <c r="D26" i="28"/>
  <c r="D29" i="7"/>
  <c r="D22" i="9"/>
  <c r="B31" i="19"/>
  <c r="D22" i="10"/>
  <c r="B37" i="18"/>
  <c r="D37" i="8"/>
  <c r="B33" i="18"/>
  <c r="D33" i="8"/>
  <c r="H36" i="18"/>
  <c r="J40" i="26"/>
  <c r="G17" i="28"/>
  <c r="H27" i="18"/>
  <c r="B23" i="76"/>
  <c r="D23" i="27"/>
  <c r="D23" i="76" s="1"/>
  <c r="B15" i="76"/>
  <c r="D15" i="27"/>
  <c r="D15" i="76" s="1"/>
  <c r="G18" i="26"/>
  <c r="G17" i="8"/>
  <c r="G31" i="8"/>
  <c r="H30" i="18"/>
  <c r="D15" i="19"/>
  <c r="D15" i="26"/>
  <c r="D13" i="26"/>
  <c r="B20" i="19"/>
  <c r="H20" i="18"/>
  <c r="H15" i="18"/>
  <c r="B30" i="18"/>
  <c r="D30" i="8"/>
  <c r="B44" i="20"/>
  <c r="B29" i="20"/>
  <c r="B21" i="20"/>
  <c r="B34" i="40"/>
  <c r="D34" i="40" s="1"/>
  <c r="B24" i="39"/>
  <c r="B44" i="40"/>
  <c r="D44" i="40" s="1"/>
  <c r="B33" i="40"/>
  <c r="D33" i="40" s="1"/>
  <c r="B17" i="40"/>
  <c r="D17" i="40" s="1"/>
  <c r="B25" i="76"/>
  <c r="D25" i="27"/>
  <c r="D25" i="76" s="1"/>
  <c r="B32" i="76"/>
  <c r="D32" i="27"/>
  <c r="D32" i="76" s="1"/>
  <c r="B46" i="76"/>
  <c r="D46" i="27"/>
  <c r="D46" i="76" s="1"/>
  <c r="B36" i="76"/>
  <c r="D36" i="27"/>
  <c r="D36" i="76" s="1"/>
  <c r="J29" i="26"/>
  <c r="J23" i="26"/>
  <c r="J18" i="26"/>
  <c r="J41" i="26"/>
  <c r="J17" i="26"/>
  <c r="G39" i="26"/>
  <c r="G33" i="26"/>
  <c r="G25" i="26"/>
  <c r="B39" i="19"/>
  <c r="D43" i="11"/>
  <c r="D34" i="11"/>
  <c r="D37" i="11"/>
  <c r="D24" i="11"/>
  <c r="G35" i="10"/>
  <c r="G27" i="10"/>
  <c r="G23" i="10"/>
  <c r="D34" i="7"/>
  <c r="J29" i="9"/>
  <c r="D24" i="7"/>
  <c r="D16" i="7"/>
  <c r="D15" i="9"/>
  <c r="D11" i="9"/>
  <c r="F40" i="46"/>
  <c r="F26" i="45"/>
  <c r="F43" i="45"/>
  <c r="B38" i="19"/>
  <c r="D11" i="11"/>
  <c r="B50" i="39"/>
  <c r="D51" i="9"/>
  <c r="B16" i="39"/>
  <c r="J38" i="26"/>
  <c r="F20" i="45"/>
  <c r="D26" i="9"/>
  <c r="B11" i="18"/>
  <c r="D11" i="8"/>
  <c r="G13" i="8"/>
  <c r="G19" i="10"/>
  <c r="B13" i="19"/>
  <c r="H35" i="18"/>
  <c r="D45" i="9"/>
  <c r="B51" i="19"/>
  <c r="H40" i="18"/>
  <c r="H33" i="18"/>
  <c r="D37" i="10"/>
  <c r="D45" i="10"/>
  <c r="G40" i="8"/>
  <c r="B50" i="19"/>
  <c r="B18" i="76"/>
  <c r="D18" i="27"/>
  <c r="D18" i="76" s="1"/>
  <c r="G23" i="26"/>
  <c r="B34" i="76"/>
  <c r="D34" i="27"/>
  <c r="D34" i="76" s="1"/>
  <c r="D28" i="10"/>
  <c r="D17" i="10"/>
  <c r="D12" i="9"/>
  <c r="B26" i="76"/>
  <c r="D26" i="27"/>
  <c r="D26" i="76" s="1"/>
  <c r="D14" i="10"/>
  <c r="B44" i="76"/>
  <c r="D44" i="27"/>
  <c r="D44" i="76" s="1"/>
  <c r="E23" i="18"/>
  <c r="D23" i="10"/>
  <c r="D31" i="10"/>
  <c r="D50" i="10"/>
  <c r="G23" i="11"/>
  <c r="G34" i="11"/>
  <c r="G29" i="11"/>
  <c r="G25" i="11"/>
  <c r="G19" i="11"/>
  <c r="G15" i="11"/>
  <c r="G45" i="11"/>
  <c r="J50" i="26"/>
  <c r="D41" i="7"/>
  <c r="D32" i="9"/>
  <c r="G33" i="8"/>
  <c r="B14" i="18"/>
  <c r="D14" i="8"/>
  <c r="B22" i="18"/>
  <c r="D22" i="8"/>
  <c r="B36" i="18"/>
  <c r="D36" i="8"/>
  <c r="G51" i="10"/>
  <c r="B16" i="76"/>
  <c r="D16" i="27"/>
  <c r="D16" i="76" s="1"/>
  <c r="J15" i="26"/>
  <c r="D14" i="11"/>
  <c r="D51" i="11"/>
  <c r="G38" i="8"/>
  <c r="B11" i="39"/>
  <c r="B22" i="20"/>
  <c r="B30" i="20"/>
  <c r="B39" i="20"/>
  <c r="B15" i="39"/>
  <c r="B36" i="39"/>
  <c r="G20" i="26"/>
  <c r="G38" i="26"/>
  <c r="J25" i="9"/>
  <c r="D34" i="9"/>
  <c r="B28" i="18"/>
  <c r="D28" i="8"/>
  <c r="D40" i="11"/>
  <c r="G22" i="10"/>
  <c r="B23" i="19"/>
  <c r="J23" i="11"/>
  <c r="B27" i="40"/>
  <c r="D42" i="8"/>
  <c r="G24" i="28"/>
  <c r="D23" i="28"/>
  <c r="D24" i="28"/>
  <c r="D25" i="10"/>
  <c r="B32" i="19"/>
  <c r="H18" i="18"/>
  <c r="D39" i="8"/>
  <c r="B22" i="39"/>
  <c r="J36" i="26"/>
  <c r="D28" i="9"/>
  <c r="H23" i="18"/>
  <c r="D31" i="9"/>
  <c r="B14" i="39"/>
  <c r="B41" i="76"/>
  <c r="D41" i="27"/>
  <c r="D41" i="76" s="1"/>
  <c r="B33" i="76"/>
  <c r="D33" i="27"/>
  <c r="D33" i="76" s="1"/>
  <c r="G26" i="26"/>
  <c r="D33" i="7"/>
  <c r="D38" i="9"/>
  <c r="G27" i="28"/>
  <c r="B44" i="39"/>
  <c r="B37" i="39"/>
  <c r="B32" i="39"/>
  <c r="B45" i="76"/>
  <c r="D45" i="27"/>
  <c r="D45" i="76" s="1"/>
  <c r="J26" i="26"/>
  <c r="J20" i="26"/>
  <c r="D31" i="19"/>
  <c r="D31" i="26"/>
  <c r="D12" i="26"/>
  <c r="D33" i="9"/>
  <c r="D19" i="9"/>
  <c r="G30" i="28"/>
  <c r="B37" i="40"/>
  <c r="D37" i="40" s="1"/>
  <c r="B25" i="40"/>
  <c r="D25" i="40" s="1"/>
  <c r="B35" i="40"/>
  <c r="D35" i="40" s="1"/>
  <c r="B22" i="40"/>
  <c r="D22" i="40" s="1"/>
  <c r="B30" i="76"/>
  <c r="D30" i="27"/>
  <c r="D30" i="76" s="1"/>
  <c r="J43" i="26"/>
  <c r="J27" i="26"/>
  <c r="G45" i="26"/>
  <c r="J37" i="26"/>
  <c r="J30" i="26"/>
  <c r="G27" i="26"/>
  <c r="J19" i="26"/>
  <c r="G13" i="26"/>
  <c r="G40" i="26"/>
  <c r="G35" i="26"/>
  <c r="G29" i="26"/>
  <c r="B43" i="19"/>
  <c r="B15" i="19"/>
  <c r="D35" i="11"/>
  <c r="D44" i="11"/>
  <c r="D29" i="11"/>
  <c r="G28" i="10"/>
  <c r="G41" i="10"/>
  <c r="G24" i="10"/>
  <c r="D45" i="7"/>
  <c r="D26" i="7"/>
  <c r="D17" i="9"/>
  <c r="G43" i="10"/>
  <c r="B42" i="19"/>
  <c r="J51" i="26"/>
  <c r="G50" i="11"/>
  <c r="D38" i="11"/>
  <c r="B38" i="40"/>
  <c r="D38" i="40" s="1"/>
  <c r="D50" i="11"/>
  <c r="B28" i="19"/>
  <c r="F19" i="46"/>
  <c r="D35" i="9"/>
  <c r="F35" i="45"/>
  <c r="B27" i="39"/>
  <c r="D23" i="11"/>
  <c r="B11" i="19"/>
  <c r="D50" i="9"/>
  <c r="D16" i="19"/>
  <c r="D16" i="26"/>
  <c r="H22" i="18"/>
  <c r="D30" i="10"/>
  <c r="D43" i="10"/>
  <c r="H42" i="18"/>
  <c r="B50" i="18"/>
  <c r="D50" i="8"/>
  <c r="B23" i="39"/>
  <c r="G44" i="10"/>
  <c r="H37" i="18"/>
  <c r="B43" i="39"/>
  <c r="D27" i="11"/>
  <c r="F44" i="45"/>
  <c r="G42" i="8"/>
  <c r="D42" i="10"/>
  <c r="D35" i="10"/>
  <c r="D15" i="10"/>
  <c r="B30" i="19"/>
  <c r="D27" i="10"/>
  <c r="D39" i="10"/>
  <c r="D41" i="10"/>
  <c r="J50" i="28"/>
  <c r="J21" i="11"/>
  <c r="G39" i="11"/>
  <c r="G35" i="11"/>
  <c r="G30" i="11"/>
  <c r="G26" i="11"/>
  <c r="G21" i="11"/>
  <c r="G16" i="11"/>
  <c r="G42" i="11"/>
  <c r="G31" i="11"/>
  <c r="B51" i="41"/>
  <c r="C51" i="41" s="1"/>
  <c r="D18" i="28"/>
  <c r="D37" i="7"/>
  <c r="D24" i="9"/>
  <c r="G27" i="8"/>
  <c r="G43" i="8"/>
  <c r="B19" i="18"/>
  <c r="D19" i="8"/>
  <c r="B34" i="18"/>
  <c r="D34" i="8"/>
  <c r="B51" i="39"/>
  <c r="H14" i="18"/>
  <c r="B22" i="76"/>
  <c r="D22" i="27"/>
  <c r="D22" i="76" s="1"/>
  <c r="G16" i="10"/>
  <c r="B51" i="76"/>
  <c r="D51" i="27"/>
  <c r="D51" i="76" s="1"/>
  <c r="G51" i="8"/>
  <c r="F15" i="45"/>
  <c r="F13" i="45"/>
  <c r="G19" i="8"/>
  <c r="G36" i="8"/>
  <c r="B11" i="20"/>
  <c r="B37" i="20"/>
  <c r="B34" i="39"/>
  <c r="G14" i="26"/>
  <c r="G34" i="26"/>
  <c r="J13" i="9"/>
  <c r="D16" i="9"/>
  <c r="B24" i="18"/>
  <c r="D24" i="8"/>
  <c r="D45" i="11"/>
  <c r="D32" i="11"/>
  <c r="D21" i="11"/>
  <c r="G11" i="10"/>
  <c r="G42" i="26"/>
  <c r="G39" i="8"/>
  <c r="G31" i="10"/>
  <c r="B30" i="40"/>
  <c r="D30" i="40" s="1"/>
  <c r="G51" i="28"/>
  <c r="D13" i="28"/>
  <c r="G40" i="29"/>
  <c r="G11" i="28"/>
  <c r="D33" i="29"/>
  <c r="J43" i="28"/>
  <c r="G39" i="28"/>
  <c r="G28" i="28"/>
  <c r="G23" i="28"/>
  <c r="G14" i="28"/>
  <c r="G21" i="28"/>
  <c r="H32" i="18"/>
  <c r="H39" i="18"/>
  <c r="H26" i="18"/>
  <c r="D34" i="10"/>
  <c r="D23" i="8"/>
  <c r="B35" i="18"/>
  <c r="D35" i="8"/>
  <c r="B30" i="39"/>
  <c r="J34" i="26"/>
  <c r="D21" i="9"/>
  <c r="B32" i="18"/>
  <c r="D32" i="8"/>
  <c r="H25" i="18"/>
  <c r="E21" i="18"/>
  <c r="D21" i="10"/>
  <c r="B34" i="20"/>
  <c r="D34" i="20" s="1"/>
  <c r="B35" i="76"/>
  <c r="D35" i="27"/>
  <c r="D35" i="76" s="1"/>
  <c r="G44" i="26"/>
  <c r="B19" i="40"/>
  <c r="D19" i="40" s="1"/>
  <c r="D14" i="19"/>
  <c r="D14" i="26"/>
  <c r="H17" i="18"/>
  <c r="D41" i="9"/>
  <c r="B25" i="20"/>
  <c r="B17" i="20"/>
  <c r="B39" i="40"/>
  <c r="D39" i="40" s="1"/>
  <c r="B25" i="39"/>
  <c r="B29" i="40"/>
  <c r="D29" i="40" s="1"/>
  <c r="B31" i="76"/>
  <c r="D31" i="27"/>
  <c r="D31" i="76" s="1"/>
  <c r="B24" i="76"/>
  <c r="D24" i="27"/>
  <c r="D24" i="76" s="1"/>
  <c r="J16" i="26"/>
  <c r="J39" i="26"/>
  <c r="J35" i="26"/>
  <c r="G28" i="26"/>
  <c r="G21" i="26"/>
  <c r="J14" i="26"/>
  <c r="G41" i="26"/>
  <c r="G36" i="26"/>
  <c r="G15" i="26"/>
  <c r="B44" i="19"/>
  <c r="B26" i="19"/>
  <c r="B19" i="19"/>
  <c r="D36" i="11"/>
  <c r="D17" i="11"/>
  <c r="D30" i="11"/>
  <c r="D26" i="11"/>
  <c r="G30" i="10"/>
  <c r="G20" i="10"/>
  <c r="G15" i="10"/>
  <c r="G42" i="10"/>
  <c r="G32" i="10"/>
  <c r="G25" i="10"/>
  <c r="D40" i="7"/>
  <c r="D22" i="7"/>
  <c r="J32" i="9"/>
  <c r="D30" i="9"/>
  <c r="G11" i="26"/>
  <c r="B21" i="19"/>
  <c r="B36" i="19"/>
  <c r="G38" i="28"/>
  <c r="F41" i="45"/>
  <c r="F24" i="45"/>
  <c r="J38" i="9"/>
  <c r="G22" i="26"/>
  <c r="B38" i="39"/>
  <c r="G37" i="10"/>
  <c r="G38" i="10"/>
  <c r="D51" i="19"/>
  <c r="D51" i="26"/>
  <c r="H38" i="18"/>
  <c r="E48" i="46"/>
  <c r="F11" i="46"/>
  <c r="F51" i="52"/>
  <c r="B51" i="43" s="1"/>
  <c r="F51" i="43" s="1"/>
  <c r="H51" i="43" s="1"/>
  <c r="F50" i="45"/>
  <c r="B48" i="44"/>
  <c r="B17" i="19"/>
  <c r="G18" i="10"/>
  <c r="B21" i="40"/>
  <c r="D21" i="40" s="1"/>
  <c r="B27" i="76"/>
  <c r="D27" i="27"/>
  <c r="D27" i="76" s="1"/>
  <c r="H44" i="18"/>
  <c r="H24" i="18"/>
  <c r="D40" i="10"/>
  <c r="H50" i="18"/>
  <c r="G15" i="8"/>
  <c r="D42" i="11"/>
  <c r="B38" i="76"/>
  <c r="D38" i="27"/>
  <c r="D38" i="76" s="1"/>
  <c r="G30" i="8"/>
  <c r="G32" i="8"/>
  <c r="B29" i="19"/>
  <c r="B23" i="18"/>
  <c r="H45" i="18"/>
  <c r="H19" i="18"/>
  <c r="H29" i="18"/>
  <c r="B43" i="18"/>
  <c r="E31" i="20"/>
  <c r="J41" i="11"/>
  <c r="E40" i="18"/>
  <c r="E30" i="18"/>
  <c r="E37" i="18"/>
  <c r="E32" i="18"/>
  <c r="B14" i="19"/>
  <c r="E14" i="18"/>
  <c r="E42" i="18"/>
  <c r="E38" i="18"/>
  <c r="E27" i="20"/>
  <c r="B32" i="20"/>
  <c r="B16" i="20"/>
  <c r="B14" i="20"/>
  <c r="E43" i="18"/>
  <c r="F14" i="45"/>
  <c r="E34" i="18"/>
  <c r="E17" i="18"/>
  <c r="H31" i="18"/>
  <c r="D21" i="7"/>
  <c r="G17" i="18" l="1"/>
  <c r="G34" i="18"/>
  <c r="D48" i="9"/>
  <c r="E31" i="5"/>
  <c r="G48" i="26"/>
  <c r="G43" i="18"/>
  <c r="D16" i="20"/>
  <c r="G42" i="18"/>
  <c r="G40" i="18"/>
  <c r="D14" i="20"/>
  <c r="D32" i="20"/>
  <c r="G38" i="18"/>
  <c r="G14" i="18"/>
  <c r="D48" i="7"/>
  <c r="G32" i="18"/>
  <c r="G37" i="18"/>
  <c r="G30" i="18"/>
  <c r="G31" i="20"/>
  <c r="D43" i="18"/>
  <c r="E29" i="5"/>
  <c r="E19" i="5"/>
  <c r="D23" i="18"/>
  <c r="G11" i="29"/>
  <c r="G17" i="29"/>
  <c r="H21" i="18"/>
  <c r="J51" i="11"/>
  <c r="B18" i="41"/>
  <c r="B31" i="41"/>
  <c r="F11" i="41"/>
  <c r="G30" i="29"/>
  <c r="J51" i="28"/>
  <c r="E13" i="20"/>
  <c r="E35" i="20"/>
  <c r="J46" i="11"/>
  <c r="D44" i="29"/>
  <c r="J24" i="28"/>
  <c r="B24" i="40"/>
  <c r="D24" i="40" s="1"/>
  <c r="B51" i="40"/>
  <c r="E29" i="20"/>
  <c r="F16" i="41"/>
  <c r="G16" i="41" s="1"/>
  <c r="F39" i="41"/>
  <c r="G39" i="41" s="1"/>
  <c r="F46" i="41"/>
  <c r="G46" i="41" s="1"/>
  <c r="D17" i="29"/>
  <c r="J12" i="28"/>
  <c r="J28" i="11"/>
  <c r="D36" i="29"/>
  <c r="D14" i="29"/>
  <c r="J40" i="28"/>
  <c r="F25" i="41"/>
  <c r="G25" i="41" s="1"/>
  <c r="D24" i="19"/>
  <c r="D24" i="26"/>
  <c r="D28" i="19"/>
  <c r="D28" i="26"/>
  <c r="D33" i="19"/>
  <c r="D33" i="26"/>
  <c r="D37" i="19"/>
  <c r="D37" i="26"/>
  <c r="D45" i="19"/>
  <c r="D45" i="26"/>
  <c r="D43" i="19"/>
  <c r="D43" i="26"/>
  <c r="B36" i="40"/>
  <c r="D36" i="40" s="1"/>
  <c r="G37" i="29"/>
  <c r="D32" i="28"/>
  <c r="J24" i="11"/>
  <c r="J12" i="11"/>
  <c r="J30" i="28"/>
  <c r="G16" i="29"/>
  <c r="G32" i="28"/>
  <c r="G37" i="28"/>
  <c r="E50" i="20"/>
  <c r="B12" i="41"/>
  <c r="B17" i="41"/>
  <c r="B41" i="41"/>
  <c r="F28" i="41"/>
  <c r="G28" i="41" s="1"/>
  <c r="J19" i="28"/>
  <c r="G13" i="28"/>
  <c r="G31" i="29"/>
  <c r="F27" i="41"/>
  <c r="G27" i="41" s="1"/>
  <c r="F35" i="41"/>
  <c r="G35" i="41" s="1"/>
  <c r="E12" i="20"/>
  <c r="D18" i="19"/>
  <c r="D18" i="26"/>
  <c r="B13" i="39"/>
  <c r="F23" i="41"/>
  <c r="G23" i="41" s="1"/>
  <c r="D28" i="29"/>
  <c r="J26" i="28"/>
  <c r="G19" i="28"/>
  <c r="G16" i="19"/>
  <c r="D16" i="28"/>
  <c r="G36" i="28"/>
  <c r="E30" i="20"/>
  <c r="J33" i="28"/>
  <c r="J44" i="28"/>
  <c r="G41" i="19"/>
  <c r="D41" i="28"/>
  <c r="H13" i="18"/>
  <c r="D25" i="9"/>
  <c r="B42" i="40"/>
  <c r="D42" i="40" s="1"/>
  <c r="D20" i="28"/>
  <c r="B37" i="41"/>
  <c r="J46" i="9"/>
  <c r="E17" i="20"/>
  <c r="E26" i="18"/>
  <c r="G26" i="18" s="1"/>
  <c r="D26" i="10"/>
  <c r="G46" i="8"/>
  <c r="D39" i="9"/>
  <c r="B29" i="18"/>
  <c r="D29" i="8"/>
  <c r="E46" i="20"/>
  <c r="D34" i="28"/>
  <c r="E44" i="5"/>
  <c r="F45" i="45"/>
  <c r="F48" i="46"/>
  <c r="F38" i="39"/>
  <c r="D38" i="39"/>
  <c r="H38" i="39"/>
  <c r="F14" i="19"/>
  <c r="G21" i="18"/>
  <c r="D32" i="18"/>
  <c r="D11" i="20"/>
  <c r="B18" i="19"/>
  <c r="E18" i="5" s="1"/>
  <c r="E42" i="5"/>
  <c r="E22" i="5"/>
  <c r="G35" i="28"/>
  <c r="F37" i="39"/>
  <c r="D37" i="39"/>
  <c r="H37" i="39"/>
  <c r="F22" i="39"/>
  <c r="D22" i="39"/>
  <c r="H22" i="39"/>
  <c r="D14" i="18"/>
  <c r="D11" i="18"/>
  <c r="F16" i="39"/>
  <c r="H16" i="39"/>
  <c r="D16" i="39"/>
  <c r="F37" i="45"/>
  <c r="F42" i="45"/>
  <c r="F24" i="39"/>
  <c r="H24" i="39"/>
  <c r="D24" i="39"/>
  <c r="D21" i="20"/>
  <c r="D44" i="20"/>
  <c r="E15" i="5"/>
  <c r="F15" i="19"/>
  <c r="E27" i="5"/>
  <c r="E36" i="5"/>
  <c r="J48" i="26"/>
  <c r="D40" i="18"/>
  <c r="D38" i="18"/>
  <c r="E11" i="5"/>
  <c r="D38" i="20"/>
  <c r="D26" i="18"/>
  <c r="B33" i="19"/>
  <c r="E33" i="5" s="1"/>
  <c r="B34" i="19"/>
  <c r="B42" i="18"/>
  <c r="B51" i="20"/>
  <c r="F29" i="45"/>
  <c r="B45" i="19"/>
  <c r="H28" i="18"/>
  <c r="F23" i="45"/>
  <c r="E51" i="18"/>
  <c r="F19" i="45"/>
  <c r="B20" i="18"/>
  <c r="G12" i="8"/>
  <c r="B18" i="39"/>
  <c r="D20" i="11"/>
  <c r="G32" i="29"/>
  <c r="J29" i="11"/>
  <c r="B14" i="41"/>
  <c r="B29" i="41"/>
  <c r="D19" i="29"/>
  <c r="G12" i="10"/>
  <c r="F24" i="41"/>
  <c r="G24" i="41" s="1"/>
  <c r="G19" i="29"/>
  <c r="E22" i="20"/>
  <c r="E25" i="20"/>
  <c r="B19" i="41"/>
  <c r="D38" i="29"/>
  <c r="D35" i="29"/>
  <c r="J23" i="28"/>
  <c r="F15" i="41"/>
  <c r="G15" i="41" s="1"/>
  <c r="F43" i="41"/>
  <c r="G43" i="41" s="1"/>
  <c r="B40" i="40"/>
  <c r="D40" i="40" s="1"/>
  <c r="B50" i="40"/>
  <c r="G27" i="20"/>
  <c r="E41" i="20"/>
  <c r="B39" i="41"/>
  <c r="B45" i="41"/>
  <c r="J39" i="28"/>
  <c r="D13" i="29"/>
  <c r="J39" i="11"/>
  <c r="J38" i="28"/>
  <c r="B13" i="76"/>
  <c r="D13" i="27"/>
  <c r="D13" i="76" s="1"/>
  <c r="F20" i="41"/>
  <c r="G20" i="41" s="1"/>
  <c r="D12" i="11"/>
  <c r="D20" i="19"/>
  <c r="D20" i="26"/>
  <c r="D27" i="19"/>
  <c r="D27" i="26"/>
  <c r="D32" i="19"/>
  <c r="D32" i="26"/>
  <c r="D36" i="19"/>
  <c r="D36" i="26"/>
  <c r="D42" i="19"/>
  <c r="D42" i="26"/>
  <c r="B13" i="18"/>
  <c r="D13" i="8"/>
  <c r="B46" i="39"/>
  <c r="B28" i="40"/>
  <c r="D28" i="40" s="1"/>
  <c r="G33" i="28"/>
  <c r="G40" i="19"/>
  <c r="D40" i="28"/>
  <c r="J11" i="11"/>
  <c r="D30" i="29"/>
  <c r="D41" i="29"/>
  <c r="B31" i="18"/>
  <c r="D31" i="8"/>
  <c r="B41" i="18"/>
  <c r="D41" i="8"/>
  <c r="G31" i="19"/>
  <c r="D31" i="28"/>
  <c r="G27" i="29"/>
  <c r="D28" i="28"/>
  <c r="E51" i="20"/>
  <c r="E26" i="20"/>
  <c r="B16" i="41"/>
  <c r="B34" i="41"/>
  <c r="F14" i="41"/>
  <c r="G14" i="41" s="1"/>
  <c r="D42" i="7"/>
  <c r="J27" i="28"/>
  <c r="G12" i="11"/>
  <c r="D37" i="28"/>
  <c r="G29" i="29"/>
  <c r="F41" i="41"/>
  <c r="G41" i="41" s="1"/>
  <c r="F34" i="41"/>
  <c r="G34" i="41" s="1"/>
  <c r="B20" i="41"/>
  <c r="B26" i="39"/>
  <c r="G15" i="29"/>
  <c r="E36" i="18"/>
  <c r="D36" i="10"/>
  <c r="J36" i="28"/>
  <c r="B21" i="41"/>
  <c r="G26" i="29"/>
  <c r="B27" i="41"/>
  <c r="J44" i="11"/>
  <c r="J20" i="11"/>
  <c r="B50" i="41"/>
  <c r="G18" i="28"/>
  <c r="D29" i="9"/>
  <c r="B26" i="41"/>
  <c r="J46" i="28"/>
  <c r="E29" i="18"/>
  <c r="D29" i="10"/>
  <c r="D46" i="11"/>
  <c r="D46" i="9"/>
  <c r="F30" i="41"/>
  <c r="G30" i="41" s="1"/>
  <c r="H46" i="18"/>
  <c r="G22" i="29"/>
  <c r="B41" i="39"/>
  <c r="G50" i="29"/>
  <c r="B21" i="18"/>
  <c r="D21" i="8"/>
  <c r="D23" i="29"/>
  <c r="D50" i="19"/>
  <c r="D50" i="26"/>
  <c r="B39" i="76"/>
  <c r="D39" i="27"/>
  <c r="D39" i="76" s="1"/>
  <c r="D23" i="9"/>
  <c r="E24" i="20"/>
  <c r="B45" i="40"/>
  <c r="D45" i="40" s="1"/>
  <c r="G45" i="28"/>
  <c r="B46" i="19"/>
  <c r="E14" i="20"/>
  <c r="E38" i="5"/>
  <c r="H25" i="39"/>
  <c r="F25" i="39"/>
  <c r="D25" i="39"/>
  <c r="D25" i="20"/>
  <c r="E39" i="5"/>
  <c r="F34" i="39"/>
  <c r="H34" i="39"/>
  <c r="D34" i="39"/>
  <c r="E14" i="5"/>
  <c r="E37" i="5"/>
  <c r="F23" i="39"/>
  <c r="H23" i="39"/>
  <c r="D23" i="39"/>
  <c r="F16" i="19"/>
  <c r="D11" i="27"/>
  <c r="D11" i="76" s="1"/>
  <c r="B11" i="76"/>
  <c r="D28" i="18"/>
  <c r="F15" i="39"/>
  <c r="H15" i="39"/>
  <c r="D15" i="39"/>
  <c r="D30" i="20"/>
  <c r="B12" i="76"/>
  <c r="D12" i="27"/>
  <c r="D12" i="76" s="1"/>
  <c r="D33" i="18"/>
  <c r="F42" i="39"/>
  <c r="D42" i="39"/>
  <c r="H42" i="39"/>
  <c r="F39" i="39"/>
  <c r="D39" i="39"/>
  <c r="H39" i="39"/>
  <c r="F39" i="45"/>
  <c r="F29" i="39"/>
  <c r="H29" i="39"/>
  <c r="D29" i="39"/>
  <c r="D27" i="20"/>
  <c r="D17" i="18"/>
  <c r="F12" i="39"/>
  <c r="D12" i="39"/>
  <c r="H12" i="39"/>
  <c r="F33" i="39"/>
  <c r="D33" i="39"/>
  <c r="H33" i="39"/>
  <c r="F45" i="39"/>
  <c r="D45" i="39"/>
  <c r="H45" i="39"/>
  <c r="G18" i="18"/>
  <c r="D11" i="40"/>
  <c r="F19" i="39"/>
  <c r="D19" i="39"/>
  <c r="H19" i="39"/>
  <c r="D15" i="18"/>
  <c r="F31" i="39"/>
  <c r="D31" i="39"/>
  <c r="H31" i="39"/>
  <c r="B28" i="20"/>
  <c r="E41" i="18"/>
  <c r="B46" i="40"/>
  <c r="D46" i="40" s="1"/>
  <c r="B39" i="18"/>
  <c r="G23" i="19"/>
  <c r="B24" i="19"/>
  <c r="E24" i="5" s="1"/>
  <c r="E42" i="20"/>
  <c r="B41" i="20"/>
  <c r="B24" i="20"/>
  <c r="F16" i="45"/>
  <c r="B25" i="18"/>
  <c r="D11" i="19"/>
  <c r="B12" i="20"/>
  <c r="B18" i="20"/>
  <c r="E45" i="20"/>
  <c r="D20" i="9"/>
  <c r="E20" i="18"/>
  <c r="D20" i="10"/>
  <c r="J26" i="11"/>
  <c r="J31" i="11"/>
  <c r="F31" i="41"/>
  <c r="G31" i="41" s="1"/>
  <c r="B24" i="41"/>
  <c r="B43" i="41"/>
  <c r="D40" i="29"/>
  <c r="J25" i="11"/>
  <c r="J16" i="28"/>
  <c r="D11" i="29"/>
  <c r="G12" i="26"/>
  <c r="F18" i="41"/>
  <c r="G18" i="41" s="1"/>
  <c r="F38" i="41"/>
  <c r="G38" i="41" s="1"/>
  <c r="E16" i="20"/>
  <c r="E21" i="20"/>
  <c r="D34" i="29"/>
  <c r="J43" i="11"/>
  <c r="J42" i="28"/>
  <c r="B38" i="41"/>
  <c r="F22" i="41"/>
  <c r="G22" i="41" s="1"/>
  <c r="E39" i="20"/>
  <c r="F29" i="41"/>
  <c r="G29" i="41" s="1"/>
  <c r="B31" i="40"/>
  <c r="D31" i="40" s="1"/>
  <c r="B16" i="40"/>
  <c r="D16" i="40" s="1"/>
  <c r="B15" i="40"/>
  <c r="D15" i="40" s="1"/>
  <c r="E20" i="20"/>
  <c r="E40" i="20"/>
  <c r="F36" i="41"/>
  <c r="G36" i="41" s="1"/>
  <c r="B42" i="41"/>
  <c r="F45" i="41"/>
  <c r="G45" i="41" s="1"/>
  <c r="D25" i="29"/>
  <c r="J37" i="28"/>
  <c r="J42" i="11"/>
  <c r="J35" i="11"/>
  <c r="J11" i="28"/>
  <c r="E28" i="20"/>
  <c r="G41" i="29"/>
  <c r="D45" i="28"/>
  <c r="F17" i="41"/>
  <c r="G17" i="41" s="1"/>
  <c r="F37" i="41"/>
  <c r="G37" i="41" s="1"/>
  <c r="B12" i="19"/>
  <c r="D19" i="19"/>
  <c r="D19" i="26"/>
  <c r="D26" i="19"/>
  <c r="D26" i="26"/>
  <c r="D30" i="19"/>
  <c r="D30" i="26"/>
  <c r="D35" i="19"/>
  <c r="D35" i="26"/>
  <c r="D41" i="19"/>
  <c r="D41" i="26"/>
  <c r="D23" i="19"/>
  <c r="D23" i="26"/>
  <c r="B19" i="76"/>
  <c r="D19" i="27"/>
  <c r="D19" i="76" s="1"/>
  <c r="D14" i="28"/>
  <c r="G50" i="28"/>
  <c r="B44" i="41"/>
  <c r="D11" i="28"/>
  <c r="G11" i="19"/>
  <c r="B29" i="76"/>
  <c r="D29" i="27"/>
  <c r="D29" i="76" s="1"/>
  <c r="G26" i="28"/>
  <c r="B36" i="41"/>
  <c r="D20" i="29"/>
  <c r="D31" i="29"/>
  <c r="G23" i="29"/>
  <c r="G45" i="29"/>
  <c r="G31" i="28"/>
  <c r="G22" i="28"/>
  <c r="D39" i="28"/>
  <c r="E18" i="20"/>
  <c r="B15" i="41"/>
  <c r="B25" i="41"/>
  <c r="D16" i="29"/>
  <c r="G42" i="19"/>
  <c r="D42" i="28"/>
  <c r="J40" i="11"/>
  <c r="E12" i="18"/>
  <c r="D12" i="10"/>
  <c r="E24" i="18"/>
  <c r="D24" i="10"/>
  <c r="J31" i="28"/>
  <c r="D35" i="28"/>
  <c r="B11" i="41"/>
  <c r="E23" i="20"/>
  <c r="J15" i="11"/>
  <c r="F50" i="41"/>
  <c r="D32" i="29"/>
  <c r="D39" i="19"/>
  <c r="F39" i="19" s="1"/>
  <c r="D39" i="26"/>
  <c r="E43" i="20"/>
  <c r="G13" i="11"/>
  <c r="D17" i="19"/>
  <c r="D17" i="26"/>
  <c r="F33" i="41"/>
  <c r="G33" i="41" s="1"/>
  <c r="J19" i="11"/>
  <c r="F31" i="45"/>
  <c r="B45" i="18"/>
  <c r="D45" i="8"/>
  <c r="F51" i="41"/>
  <c r="B46" i="18"/>
  <c r="D46" i="8"/>
  <c r="D46" i="7"/>
  <c r="G46" i="11"/>
  <c r="J50" i="11"/>
  <c r="B44" i="18"/>
  <c r="D44" i="8"/>
  <c r="D36" i="28"/>
  <c r="H34" i="18"/>
  <c r="D22" i="19"/>
  <c r="D22" i="26"/>
  <c r="D21" i="19"/>
  <c r="D21" i="26"/>
  <c r="F42" i="41"/>
  <c r="G42" i="41" s="1"/>
  <c r="D24" i="29"/>
  <c r="F21" i="45"/>
  <c r="F40" i="45"/>
  <c r="F22" i="45"/>
  <c r="F51" i="19"/>
  <c r="F30" i="39"/>
  <c r="D30" i="39"/>
  <c r="H30" i="39"/>
  <c r="D34" i="18"/>
  <c r="D50" i="18"/>
  <c r="F32" i="39"/>
  <c r="H32" i="39"/>
  <c r="D32" i="39"/>
  <c r="F44" i="39"/>
  <c r="D44" i="39"/>
  <c r="H44" i="39"/>
  <c r="F14" i="39"/>
  <c r="D14" i="39"/>
  <c r="H14" i="39"/>
  <c r="E23" i="5"/>
  <c r="D36" i="18"/>
  <c r="G23" i="18"/>
  <c r="E35" i="5"/>
  <c r="D29" i="20"/>
  <c r="D30" i="18"/>
  <c r="E20" i="5"/>
  <c r="E30" i="5"/>
  <c r="D37" i="18"/>
  <c r="D16" i="18"/>
  <c r="B42" i="76"/>
  <c r="D42" i="27"/>
  <c r="D42" i="76" s="1"/>
  <c r="D51" i="18"/>
  <c r="D27" i="18"/>
  <c r="G33" i="18"/>
  <c r="F27" i="45"/>
  <c r="E39" i="18"/>
  <c r="E15" i="18"/>
  <c r="F30" i="45"/>
  <c r="B25" i="19"/>
  <c r="E25" i="5" s="1"/>
  <c r="D12" i="19"/>
  <c r="E25" i="18"/>
  <c r="E50" i="18"/>
  <c r="I50" i="45"/>
  <c r="I50" i="44" s="1"/>
  <c r="F50" i="42" s="1"/>
  <c r="E43" i="5"/>
  <c r="B26" i="40"/>
  <c r="D26" i="40" s="1"/>
  <c r="F12" i="45"/>
  <c r="E34" i="20"/>
  <c r="F36" i="45"/>
  <c r="B50" i="20"/>
  <c r="E44" i="18"/>
  <c r="E11" i="18"/>
  <c r="F51" i="45"/>
  <c r="F38" i="45"/>
  <c r="G17" i="11"/>
  <c r="J27" i="11"/>
  <c r="B22" i="41"/>
  <c r="B33" i="41"/>
  <c r="D21" i="29"/>
  <c r="J34" i="11"/>
  <c r="G51" i="29"/>
  <c r="E44" i="20"/>
  <c r="E32" i="20"/>
  <c r="E37" i="20"/>
  <c r="D15" i="29"/>
  <c r="J16" i="11"/>
  <c r="J29" i="28"/>
  <c r="B30" i="41"/>
  <c r="B14" i="40"/>
  <c r="B32" i="40"/>
  <c r="D32" i="40" s="1"/>
  <c r="E15" i="20"/>
  <c r="E33" i="20"/>
  <c r="B35" i="41"/>
  <c r="F40" i="41"/>
  <c r="G40" i="41" s="1"/>
  <c r="B46" i="41"/>
  <c r="D42" i="29"/>
  <c r="J18" i="28"/>
  <c r="J38" i="11"/>
  <c r="J14" i="11"/>
  <c r="D18" i="29"/>
  <c r="J14" i="28"/>
  <c r="B40" i="41"/>
  <c r="F12" i="41"/>
  <c r="G12" i="41" s="1"/>
  <c r="F32" i="41"/>
  <c r="G32" i="41" s="1"/>
  <c r="B17" i="76"/>
  <c r="D17" i="27"/>
  <c r="D17" i="76" s="1"/>
  <c r="H12" i="18"/>
  <c r="D25" i="26"/>
  <c r="D25" i="19"/>
  <c r="D29" i="19"/>
  <c r="D29" i="26"/>
  <c r="D34" i="19"/>
  <c r="D34" i="26"/>
  <c r="D40" i="19"/>
  <c r="D40" i="26"/>
  <c r="D46" i="19"/>
  <c r="D46" i="26"/>
  <c r="D51" i="29"/>
  <c r="D44" i="19"/>
  <c r="D44" i="26"/>
  <c r="G46" i="28"/>
  <c r="B28" i="41"/>
  <c r="B20" i="40"/>
  <c r="D20" i="40" s="1"/>
  <c r="B12" i="40"/>
  <c r="D12" i="40" s="1"/>
  <c r="G43" i="28"/>
  <c r="G42" i="29"/>
  <c r="J32" i="11"/>
  <c r="J37" i="11"/>
  <c r="J21" i="28"/>
  <c r="F26" i="41"/>
  <c r="G26" i="41" s="1"/>
  <c r="D21" i="28"/>
  <c r="G16" i="28"/>
  <c r="G19" i="19"/>
  <c r="D19" i="28"/>
  <c r="G30" i="19"/>
  <c r="D30" i="28"/>
  <c r="B13" i="41"/>
  <c r="B23" i="41"/>
  <c r="J22" i="28"/>
  <c r="D12" i="28"/>
  <c r="D22" i="28"/>
  <c r="D44" i="28"/>
  <c r="J30" i="11"/>
  <c r="D12" i="29"/>
  <c r="J25" i="28"/>
  <c r="B32" i="41"/>
  <c r="F44" i="41"/>
  <c r="G44" i="41" s="1"/>
  <c r="J41" i="28"/>
  <c r="E16" i="18"/>
  <c r="D16" i="10"/>
  <c r="D43" i="9"/>
  <c r="E38" i="20"/>
  <c r="E19" i="18"/>
  <c r="D19" i="10"/>
  <c r="G46" i="10"/>
  <c r="D38" i="19"/>
  <c r="D38" i="26"/>
  <c r="B46" i="20"/>
  <c r="E50" i="5"/>
  <c r="D17" i="20"/>
  <c r="E17" i="5"/>
  <c r="D35" i="18"/>
  <c r="E26" i="5"/>
  <c r="E32" i="5"/>
  <c r="D24" i="18"/>
  <c r="D37" i="20"/>
  <c r="D19" i="18"/>
  <c r="F43" i="39"/>
  <c r="H43" i="39"/>
  <c r="D43" i="39"/>
  <c r="F33" i="45"/>
  <c r="F34" i="45"/>
  <c r="B40" i="76"/>
  <c r="D40" i="27"/>
  <c r="D40" i="76" s="1"/>
  <c r="F31" i="19"/>
  <c r="F36" i="39"/>
  <c r="D36" i="39"/>
  <c r="H36" i="39"/>
  <c r="D39" i="20"/>
  <c r="D22" i="20"/>
  <c r="H11" i="39"/>
  <c r="D11" i="39"/>
  <c r="F11" i="39"/>
  <c r="D22" i="18"/>
  <c r="F28" i="45"/>
  <c r="F17" i="39"/>
  <c r="H17" i="39"/>
  <c r="D17" i="39"/>
  <c r="E16" i="5"/>
  <c r="F17" i="45"/>
  <c r="F20" i="39"/>
  <c r="D20" i="39"/>
  <c r="H20" i="39"/>
  <c r="F40" i="39"/>
  <c r="H40" i="39"/>
  <c r="D40" i="39"/>
  <c r="D19" i="20"/>
  <c r="F21" i="39"/>
  <c r="D21" i="39"/>
  <c r="H21" i="39"/>
  <c r="F35" i="39"/>
  <c r="D35" i="39"/>
  <c r="H35" i="39"/>
  <c r="E41" i="5"/>
  <c r="F28" i="39"/>
  <c r="D28" i="39"/>
  <c r="H28" i="39"/>
  <c r="D18" i="18"/>
  <c r="B41" i="40"/>
  <c r="D41" i="40" s="1"/>
  <c r="B40" i="20"/>
  <c r="B31" i="20"/>
  <c r="D31" i="20" s="1"/>
  <c r="B20" i="20"/>
  <c r="F11" i="45"/>
  <c r="E27" i="18"/>
  <c r="E35" i="18"/>
  <c r="B36" i="20"/>
  <c r="E31" i="18"/>
  <c r="E28" i="18"/>
  <c r="D13" i="19"/>
  <c r="E22" i="18"/>
  <c r="B40" i="19"/>
  <c r="B15" i="20"/>
  <c r="E46" i="18"/>
  <c r="H51" i="18"/>
  <c r="B42" i="20"/>
  <c r="B12" i="18"/>
  <c r="B18" i="40"/>
  <c r="D18" i="40" s="1"/>
  <c r="B45" i="20"/>
  <c r="B26" i="20"/>
  <c r="F18" i="45"/>
  <c r="E36" i="20"/>
  <c r="G21" i="19"/>
  <c r="G45" i="19"/>
  <c r="G24" i="19"/>
  <c r="G43" i="19"/>
  <c r="G20" i="19"/>
  <c r="G39" i="19"/>
  <c r="G18" i="19"/>
  <c r="E11" i="20"/>
  <c r="B48" i="39" l="1"/>
  <c r="H48" i="39" s="1"/>
  <c r="H48" i="18"/>
  <c r="G50" i="44"/>
  <c r="E50" i="42" s="1"/>
  <c r="B48" i="19"/>
  <c r="G11" i="20"/>
  <c r="I18" i="19"/>
  <c r="I20" i="19"/>
  <c r="I24" i="19"/>
  <c r="I45" i="19"/>
  <c r="I21" i="19"/>
  <c r="I39" i="19"/>
  <c r="I43" i="19"/>
  <c r="F19" i="41"/>
  <c r="G19" i="41" s="1"/>
  <c r="E13" i="18"/>
  <c r="D13" i="10"/>
  <c r="D29" i="29"/>
  <c r="D26" i="29"/>
  <c r="G33" i="29"/>
  <c r="G13" i="29"/>
  <c r="G44" i="29"/>
  <c r="J45" i="11"/>
  <c r="E45" i="18"/>
  <c r="J35" i="28"/>
  <c r="D26" i="20"/>
  <c r="D12" i="18"/>
  <c r="G46" i="18"/>
  <c r="G27" i="18"/>
  <c r="D20" i="20"/>
  <c r="G19" i="18"/>
  <c r="D25" i="28"/>
  <c r="G25" i="19"/>
  <c r="D13" i="41"/>
  <c r="C13" i="41"/>
  <c r="F44" i="19"/>
  <c r="F40" i="19"/>
  <c r="D48" i="19"/>
  <c r="F25" i="19"/>
  <c r="D40" i="41"/>
  <c r="C40" i="41"/>
  <c r="G33" i="20"/>
  <c r="D30" i="41"/>
  <c r="C30" i="41"/>
  <c r="G37" i="20"/>
  <c r="G44" i="20"/>
  <c r="D22" i="41"/>
  <c r="C22" i="41"/>
  <c r="F12" i="19"/>
  <c r="G39" i="18"/>
  <c r="F22" i="19"/>
  <c r="D44" i="18"/>
  <c r="G23" i="20"/>
  <c r="D36" i="41"/>
  <c r="C36" i="41"/>
  <c r="F23" i="19"/>
  <c r="F26" i="19"/>
  <c r="G28" i="20"/>
  <c r="G20" i="18"/>
  <c r="D18" i="20"/>
  <c r="D41" i="20"/>
  <c r="G41" i="18"/>
  <c r="G48" i="10"/>
  <c r="G14" i="20"/>
  <c r="G33" i="19"/>
  <c r="D33" i="28"/>
  <c r="G46" i="19"/>
  <c r="D46" i="28"/>
  <c r="G15" i="28"/>
  <c r="G36" i="18"/>
  <c r="F26" i="39"/>
  <c r="D26" i="39"/>
  <c r="H26" i="39"/>
  <c r="D13" i="18"/>
  <c r="F27" i="19"/>
  <c r="D45" i="41"/>
  <c r="C45" i="41"/>
  <c r="G41" i="20"/>
  <c r="G25" i="20"/>
  <c r="D29" i="41"/>
  <c r="C29" i="41"/>
  <c r="F18" i="39"/>
  <c r="D18" i="39"/>
  <c r="H18" i="39"/>
  <c r="D42" i="18"/>
  <c r="G46" i="20"/>
  <c r="D29" i="18"/>
  <c r="G12" i="20"/>
  <c r="D41" i="41"/>
  <c r="C41" i="41"/>
  <c r="D12" i="41"/>
  <c r="C12" i="41"/>
  <c r="F43" i="19"/>
  <c r="F28" i="19"/>
  <c r="E21" i="5"/>
  <c r="G50" i="45"/>
  <c r="E19" i="20"/>
  <c r="E48" i="20" s="1"/>
  <c r="G18" i="29"/>
  <c r="D46" i="29"/>
  <c r="J34" i="28"/>
  <c r="G39" i="29"/>
  <c r="G36" i="29"/>
  <c r="J32" i="28"/>
  <c r="D37" i="29"/>
  <c r="J20" i="28"/>
  <c r="D45" i="29"/>
  <c r="G24" i="29"/>
  <c r="D22" i="29"/>
  <c r="F13" i="19"/>
  <c r="G28" i="18"/>
  <c r="D36" i="20"/>
  <c r="G35" i="18"/>
  <c r="D40" i="20"/>
  <c r="D46" i="20"/>
  <c r="G16" i="18"/>
  <c r="D32" i="41"/>
  <c r="C32" i="41"/>
  <c r="I30" i="19"/>
  <c r="D28" i="41"/>
  <c r="C28" i="41"/>
  <c r="F34" i="19"/>
  <c r="E12" i="5"/>
  <c r="G44" i="18"/>
  <c r="D50" i="20"/>
  <c r="G50" i="18"/>
  <c r="G25" i="18"/>
  <c r="G15" i="18"/>
  <c r="F32" i="45"/>
  <c r="G15" i="19"/>
  <c r="D15" i="28"/>
  <c r="F17" i="19"/>
  <c r="G43" i="20"/>
  <c r="B48" i="41"/>
  <c r="C25" i="41"/>
  <c r="D25" i="41"/>
  <c r="G18" i="20"/>
  <c r="G29" i="19"/>
  <c r="D29" i="28"/>
  <c r="F41" i="19"/>
  <c r="F19" i="19"/>
  <c r="D42" i="41"/>
  <c r="C42" i="41"/>
  <c r="G40" i="20"/>
  <c r="G39" i="20"/>
  <c r="D38" i="41"/>
  <c r="C38" i="41"/>
  <c r="G21" i="20"/>
  <c r="D24" i="41"/>
  <c r="C24" i="41"/>
  <c r="G45" i="20"/>
  <c r="D24" i="20"/>
  <c r="D48" i="11"/>
  <c r="D48" i="8"/>
  <c r="I23" i="19"/>
  <c r="D28" i="20"/>
  <c r="G29" i="18"/>
  <c r="D26" i="41"/>
  <c r="C26" i="41"/>
  <c r="D50" i="41"/>
  <c r="C50" i="41"/>
  <c r="D27" i="41"/>
  <c r="C27" i="41"/>
  <c r="D21" i="41"/>
  <c r="C21" i="41"/>
  <c r="G50" i="19"/>
  <c r="D50" i="28"/>
  <c r="D16" i="41"/>
  <c r="C16" i="41"/>
  <c r="G51" i="20"/>
  <c r="I31" i="19"/>
  <c r="I40" i="19"/>
  <c r="F42" i="19"/>
  <c r="F20" i="19"/>
  <c r="D20" i="18"/>
  <c r="G51" i="18"/>
  <c r="E28" i="5"/>
  <c r="G30" i="20"/>
  <c r="I16" i="19"/>
  <c r="F13" i="39"/>
  <c r="D13" i="39"/>
  <c r="H13" i="39"/>
  <c r="F45" i="19"/>
  <c r="F24" i="19"/>
  <c r="G13" i="20"/>
  <c r="D18" i="41"/>
  <c r="C18" i="41"/>
  <c r="G22" i="19"/>
  <c r="G36" i="19"/>
  <c r="F46" i="45"/>
  <c r="G37" i="19"/>
  <c r="B13" i="40"/>
  <c r="D13" i="40" s="1"/>
  <c r="J17" i="28"/>
  <c r="G17" i="19"/>
  <c r="G38" i="29"/>
  <c r="G35" i="29"/>
  <c r="J28" i="28"/>
  <c r="D50" i="29"/>
  <c r="J13" i="28"/>
  <c r="G12" i="29"/>
  <c r="G14" i="29"/>
  <c r="J45" i="28"/>
  <c r="G21" i="29"/>
  <c r="G25" i="29"/>
  <c r="D15" i="20"/>
  <c r="G22" i="18"/>
  <c r="G48" i="28"/>
  <c r="F38" i="19"/>
  <c r="B43" i="20"/>
  <c r="B43" i="40"/>
  <c r="D43" i="40" s="1"/>
  <c r="G38" i="20"/>
  <c r="D23" i="41"/>
  <c r="C23" i="41"/>
  <c r="I19" i="19"/>
  <c r="F29" i="19"/>
  <c r="D46" i="41"/>
  <c r="C46" i="41"/>
  <c r="D35" i="41"/>
  <c r="C35" i="41"/>
  <c r="G15" i="20"/>
  <c r="G32" i="20"/>
  <c r="D33" i="41"/>
  <c r="C33" i="41"/>
  <c r="G11" i="18"/>
  <c r="D48" i="26"/>
  <c r="G34" i="20"/>
  <c r="E34" i="5"/>
  <c r="D45" i="18"/>
  <c r="C11" i="41"/>
  <c r="D11" i="41"/>
  <c r="G24" i="18"/>
  <c r="I42" i="19"/>
  <c r="F35" i="19"/>
  <c r="D12" i="20"/>
  <c r="F11" i="19"/>
  <c r="G42" i="20"/>
  <c r="D39" i="18"/>
  <c r="D48" i="27"/>
  <c r="D48" i="76" s="1"/>
  <c r="G24" i="20"/>
  <c r="D21" i="18"/>
  <c r="F41" i="39"/>
  <c r="H41" i="39"/>
  <c r="D41" i="39"/>
  <c r="E46" i="5"/>
  <c r="G27" i="19"/>
  <c r="D27" i="28"/>
  <c r="D20" i="41"/>
  <c r="C20" i="41"/>
  <c r="D41" i="18"/>
  <c r="F36" i="19"/>
  <c r="D39" i="41"/>
  <c r="C39" i="41"/>
  <c r="D19" i="41"/>
  <c r="C19" i="41"/>
  <c r="G22" i="20"/>
  <c r="D14" i="41"/>
  <c r="C14" i="41"/>
  <c r="D51" i="20"/>
  <c r="G48" i="9"/>
  <c r="E13" i="5"/>
  <c r="F18" i="19"/>
  <c r="D17" i="41"/>
  <c r="C17" i="41"/>
  <c r="G50" i="20"/>
  <c r="F37" i="19"/>
  <c r="G11" i="41"/>
  <c r="G12" i="19"/>
  <c r="G35" i="19"/>
  <c r="G14" i="19"/>
  <c r="B13" i="20"/>
  <c r="G28" i="19"/>
  <c r="B48" i="18"/>
  <c r="G34" i="19"/>
  <c r="E45" i="5"/>
  <c r="G34" i="29"/>
  <c r="B23" i="40"/>
  <c r="D23" i="40" s="1"/>
  <c r="D39" i="29"/>
  <c r="D27" i="29"/>
  <c r="G43" i="29"/>
  <c r="J15" i="28"/>
  <c r="D43" i="29"/>
  <c r="G20" i="29"/>
  <c r="G46" i="29"/>
  <c r="G36" i="20"/>
  <c r="D45" i="20"/>
  <c r="D42" i="20"/>
  <c r="E51" i="5"/>
  <c r="G31" i="18"/>
  <c r="J48" i="9"/>
  <c r="G29" i="28"/>
  <c r="G38" i="19"/>
  <c r="D38" i="28"/>
  <c r="F46" i="19"/>
  <c r="G48" i="11"/>
  <c r="C50" i="45"/>
  <c r="G50" i="42" s="1"/>
  <c r="E50" i="45"/>
  <c r="H50" i="42" s="1"/>
  <c r="I50" i="43"/>
  <c r="B50" i="42" s="1"/>
  <c r="C50" i="44"/>
  <c r="C50" i="42" s="1"/>
  <c r="E50" i="44"/>
  <c r="D50" i="42" s="1"/>
  <c r="F21" i="19"/>
  <c r="D46" i="18"/>
  <c r="G12" i="18"/>
  <c r="D15" i="41"/>
  <c r="C15" i="41"/>
  <c r="I11" i="19"/>
  <c r="D44" i="41"/>
  <c r="C44" i="41"/>
  <c r="F30" i="19"/>
  <c r="G20" i="20"/>
  <c r="G16" i="20"/>
  <c r="D43" i="41"/>
  <c r="C43" i="41"/>
  <c r="D25" i="18"/>
  <c r="G48" i="8"/>
  <c r="F50" i="19"/>
  <c r="F25" i="45"/>
  <c r="D34" i="41"/>
  <c r="C34" i="41"/>
  <c r="G26" i="20"/>
  <c r="D31" i="18"/>
  <c r="F46" i="39"/>
  <c r="D46" i="39"/>
  <c r="H46" i="39"/>
  <c r="F32" i="19"/>
  <c r="B50" i="76"/>
  <c r="D50" i="27"/>
  <c r="D50" i="76" s="1"/>
  <c r="G17" i="20"/>
  <c r="D37" i="41"/>
  <c r="C37" i="41"/>
  <c r="I41" i="19"/>
  <c r="G51" i="19"/>
  <c r="D51" i="28"/>
  <c r="F33" i="19"/>
  <c r="G29" i="20"/>
  <c r="G35" i="20"/>
  <c r="D31" i="41"/>
  <c r="C31" i="41"/>
  <c r="G44" i="19"/>
  <c r="G26" i="19"/>
  <c r="G13" i="19"/>
  <c r="B48" i="76"/>
  <c r="I51" i="45"/>
  <c r="E40" i="5"/>
  <c r="G32" i="19"/>
  <c r="B23" i="20"/>
  <c r="B43" i="85"/>
  <c r="E43" i="85" s="1"/>
  <c r="B24" i="85"/>
  <c r="E24" i="85" s="1"/>
  <c r="B29" i="85"/>
  <c r="E29" i="85" s="1"/>
  <c r="F48" i="41" l="1"/>
  <c r="G48" i="41" s="1"/>
  <c r="E48" i="18"/>
  <c r="G48" i="18" s="1"/>
  <c r="D48" i="39"/>
  <c r="F48" i="39"/>
  <c r="B48" i="40"/>
  <c r="D48" i="40" s="1"/>
  <c r="E48" i="5"/>
  <c r="G48" i="20"/>
  <c r="G24" i="85"/>
  <c r="K24" i="85"/>
  <c r="B26" i="85"/>
  <c r="E26" i="85" s="1"/>
  <c r="I51" i="19"/>
  <c r="I38" i="19"/>
  <c r="I34" i="19"/>
  <c r="I28" i="19"/>
  <c r="D13" i="20"/>
  <c r="I14" i="19"/>
  <c r="I27" i="19"/>
  <c r="D43" i="20"/>
  <c r="I17" i="19"/>
  <c r="I37" i="19"/>
  <c r="I36" i="19"/>
  <c r="I50" i="19"/>
  <c r="I15" i="19"/>
  <c r="G13" i="18"/>
  <c r="B21" i="85"/>
  <c r="E21" i="85" s="1"/>
  <c r="B45" i="85"/>
  <c r="E45" i="85" s="1"/>
  <c r="B34" i="85"/>
  <c r="E34" i="85" s="1"/>
  <c r="G43" i="85"/>
  <c r="K43" i="85"/>
  <c r="D23" i="20"/>
  <c r="I13" i="19"/>
  <c r="I26" i="19"/>
  <c r="J48" i="28"/>
  <c r="I12" i="19"/>
  <c r="I46" i="19"/>
  <c r="G45" i="18"/>
  <c r="B22" i="85"/>
  <c r="E22" i="85" s="1"/>
  <c r="B14" i="85"/>
  <c r="E14" i="85" s="1"/>
  <c r="I32" i="19"/>
  <c r="I51" i="43"/>
  <c r="B51" i="42" s="1"/>
  <c r="C51" i="44"/>
  <c r="C51" i="42" s="1"/>
  <c r="E51" i="45"/>
  <c r="H51" i="42" s="1"/>
  <c r="C51" i="45"/>
  <c r="G51" i="42" s="1"/>
  <c r="E51" i="44"/>
  <c r="D51" i="42" s="1"/>
  <c r="G51" i="44"/>
  <c r="E51" i="42" s="1"/>
  <c r="I51" i="44"/>
  <c r="F51" i="42" s="1"/>
  <c r="D48" i="41"/>
  <c r="C48" i="41"/>
  <c r="G19" i="20"/>
  <c r="I33" i="19"/>
  <c r="F48" i="19"/>
  <c r="I25" i="19"/>
  <c r="F48" i="45"/>
  <c r="G51" i="45"/>
  <c r="G29" i="85"/>
  <c r="K29" i="85"/>
  <c r="B46" i="85"/>
  <c r="E46" i="85" s="1"/>
  <c r="B17" i="85"/>
  <c r="E17" i="85" s="1"/>
  <c r="G48" i="29"/>
  <c r="D48" i="29"/>
  <c r="I44" i="19"/>
  <c r="D48" i="18"/>
  <c r="I35" i="19"/>
  <c r="D48" i="28"/>
  <c r="I22" i="19"/>
  <c r="I29" i="19"/>
  <c r="J48" i="11"/>
  <c r="D48" i="10"/>
  <c r="G48" i="19"/>
  <c r="J50" i="42"/>
  <c r="B48" i="20"/>
  <c r="B31" i="85" l="1"/>
  <c r="E31" i="85" s="1"/>
  <c r="I48" i="19"/>
  <c r="B38" i="85"/>
  <c r="E38" i="85" s="1"/>
  <c r="B42" i="85"/>
  <c r="E42" i="85" s="1"/>
  <c r="G14" i="85"/>
  <c r="K14" i="85"/>
  <c r="G22" i="85"/>
  <c r="K22" i="85"/>
  <c r="K45" i="85"/>
  <c r="G45" i="85"/>
  <c r="B23" i="85"/>
  <c r="E23" i="85" s="1"/>
  <c r="G46" i="85"/>
  <c r="K46" i="85"/>
  <c r="B27" i="85"/>
  <c r="E27" i="85" s="1"/>
  <c r="B40" i="85"/>
  <c r="E40" i="85" s="1"/>
  <c r="B19" i="85"/>
  <c r="E19" i="85" s="1"/>
  <c r="B48" i="85"/>
  <c r="E48" i="85" s="1"/>
  <c r="G34" i="85"/>
  <c r="K34" i="85"/>
  <c r="G21" i="85"/>
  <c r="K21" i="85"/>
  <c r="G26" i="85"/>
  <c r="K26" i="85"/>
  <c r="J51" i="42"/>
  <c r="B37" i="85"/>
  <c r="E37" i="85" s="1"/>
  <c r="D48" i="20"/>
  <c r="B52" i="20"/>
  <c r="B53" i="20"/>
  <c r="G17" i="85"/>
  <c r="K17" i="85"/>
  <c r="B32" i="85"/>
  <c r="E32" i="85" s="1"/>
  <c r="B28" i="85"/>
  <c r="E28" i="85" s="1"/>
  <c r="B47" i="85"/>
  <c r="E47" i="85" s="1"/>
  <c r="B33" i="85"/>
  <c r="E33" i="85" s="1"/>
  <c r="B41" i="85"/>
  <c r="E41" i="85" s="1"/>
  <c r="B18" i="85"/>
  <c r="E18" i="85" s="1"/>
  <c r="G18" i="85" l="1"/>
  <c r="K18" i="85"/>
  <c r="G41" i="85"/>
  <c r="K41" i="85"/>
  <c r="G47" i="85"/>
  <c r="K47" i="85"/>
  <c r="G32" i="85"/>
  <c r="K32" i="85"/>
  <c r="B35" i="85"/>
  <c r="E35" i="85" s="1"/>
  <c r="G48" i="85"/>
  <c r="K48" i="85"/>
  <c r="G23" i="85"/>
  <c r="K23" i="85"/>
  <c r="G31" i="85"/>
  <c r="K31" i="85"/>
  <c r="G40" i="85"/>
  <c r="K40" i="85"/>
  <c r="G42" i="85"/>
  <c r="K42" i="85"/>
  <c r="B39" i="85"/>
  <c r="E39" i="85" s="1"/>
  <c r="G28" i="85"/>
  <c r="K28" i="85"/>
  <c r="B15" i="85"/>
  <c r="E15" i="85" s="1"/>
  <c r="G33" i="85"/>
  <c r="K33" i="85"/>
  <c r="G37" i="85"/>
  <c r="K37" i="85"/>
  <c r="G27" i="85"/>
  <c r="K27" i="85"/>
  <c r="B36" i="85"/>
  <c r="E36" i="85" s="1"/>
  <c r="B30" i="85"/>
  <c r="E30" i="85" s="1"/>
  <c r="G19" i="85"/>
  <c r="K19" i="85"/>
  <c r="B25" i="85"/>
  <c r="E25" i="85" s="1"/>
  <c r="G38" i="85"/>
  <c r="K38" i="85"/>
  <c r="B44" i="85"/>
  <c r="E44" i="85" s="1"/>
  <c r="B48" i="5"/>
  <c r="B13" i="85"/>
  <c r="V11" i="2" l="1"/>
  <c r="G15" i="85"/>
  <c r="K15" i="85"/>
  <c r="B50" i="85"/>
  <c r="E13" i="85"/>
  <c r="G44" i="85"/>
  <c r="K44" i="85"/>
  <c r="K25" i="85"/>
  <c r="G25" i="85"/>
  <c r="K30" i="85"/>
  <c r="G30" i="85"/>
  <c r="G36" i="85"/>
  <c r="K36" i="85"/>
  <c r="G39" i="85"/>
  <c r="K39" i="85"/>
  <c r="G35" i="85"/>
  <c r="K35" i="85"/>
  <c r="G13" i="85" l="1"/>
  <c r="K13" i="85"/>
  <c r="E50" i="85"/>
  <c r="G50" i="85" l="1"/>
  <c r="K50" i="85"/>
  <c r="F35" i="52" l="1"/>
  <c r="B35" i="43" s="1"/>
  <c r="F35" i="43" s="1"/>
  <c r="H35" i="43" s="1"/>
  <c r="F15" i="52"/>
  <c r="B15" i="43" s="1"/>
  <c r="F15" i="43" s="1"/>
  <c r="H15" i="43" s="1"/>
  <c r="F20" i="52"/>
  <c r="B20" i="43" s="1"/>
  <c r="F20" i="43" s="1"/>
  <c r="H20" i="43" s="1"/>
  <c r="F28" i="52"/>
  <c r="B28" i="43" s="1"/>
  <c r="F28" i="43" s="1"/>
  <c r="H28" i="43" s="1"/>
  <c r="F13" i="52"/>
  <c r="B13" i="43" s="1"/>
  <c r="F13" i="43" s="1"/>
  <c r="H13" i="43" s="1"/>
  <c r="F41" i="52"/>
  <c r="B41" i="43" s="1"/>
  <c r="F41" i="43" s="1"/>
  <c r="H41" i="43" s="1"/>
  <c r="F40" i="52"/>
  <c r="B40" i="43" s="1"/>
  <c r="F40" i="43" s="1"/>
  <c r="H40" i="43" s="1"/>
  <c r="F19" i="52"/>
  <c r="B19" i="43" s="1"/>
  <c r="F19" i="43" s="1"/>
  <c r="H19" i="43" s="1"/>
  <c r="F42" i="52"/>
  <c r="B42" i="43" s="1"/>
  <c r="F42" i="43" s="1"/>
  <c r="H42" i="43" s="1"/>
  <c r="F21" i="52"/>
  <c r="B21" i="43" s="1"/>
  <c r="F21" i="43" s="1"/>
  <c r="H21" i="43" s="1"/>
  <c r="F39" i="52"/>
  <c r="B39" i="43" s="1"/>
  <c r="F39" i="43" s="1"/>
  <c r="H39" i="43" s="1"/>
  <c r="F44" i="52"/>
  <c r="B44" i="43" s="1"/>
  <c r="F44" i="43" s="1"/>
  <c r="H44" i="43" s="1"/>
  <c r="F26" i="52"/>
  <c r="B26" i="43" s="1"/>
  <c r="F26" i="43" s="1"/>
  <c r="H26" i="43" s="1"/>
  <c r="F22" i="52"/>
  <c r="B22" i="43" s="1"/>
  <c r="F22" i="43" s="1"/>
  <c r="H22" i="43" s="1"/>
  <c r="F43" i="52"/>
  <c r="B43" i="43" s="1"/>
  <c r="F43" i="43" s="1"/>
  <c r="H43" i="43" s="1"/>
  <c r="F14" i="52"/>
  <c r="B14" i="43" s="1"/>
  <c r="F14" i="43" s="1"/>
  <c r="H14" i="43" s="1"/>
  <c r="F31" i="52"/>
  <c r="B31" i="43" s="1"/>
  <c r="F31" i="43" s="1"/>
  <c r="H31" i="43" s="1"/>
  <c r="F24" i="52"/>
  <c r="B24" i="43" s="1"/>
  <c r="F24" i="43" s="1"/>
  <c r="H24" i="43" s="1"/>
  <c r="F27" i="52"/>
  <c r="B27" i="43" s="1"/>
  <c r="F27" i="43" s="1"/>
  <c r="H27" i="43" s="1"/>
  <c r="F12" i="52"/>
  <c r="B12" i="43" s="1"/>
  <c r="F12" i="43" s="1"/>
  <c r="H12" i="43" s="1"/>
  <c r="F18" i="52"/>
  <c r="B18" i="43" s="1"/>
  <c r="F18" i="43" s="1"/>
  <c r="H18" i="43" s="1"/>
  <c r="F30" i="52"/>
  <c r="B30" i="43" s="1"/>
  <c r="F30" i="43" s="1"/>
  <c r="H30" i="43" s="1"/>
  <c r="F36" i="52"/>
  <c r="B36" i="43" s="1"/>
  <c r="F36" i="43" s="1"/>
  <c r="H36" i="43" s="1"/>
  <c r="F38" i="52"/>
  <c r="B38" i="43" s="1"/>
  <c r="F38" i="43" s="1"/>
  <c r="H38" i="43" s="1"/>
  <c r="F37" i="52"/>
  <c r="B37" i="43" s="1"/>
  <c r="F37" i="43" s="1"/>
  <c r="H37" i="43" s="1"/>
  <c r="F17" i="52"/>
  <c r="B17" i="43" s="1"/>
  <c r="F17" i="43" s="1"/>
  <c r="H17" i="43" s="1"/>
  <c r="F33" i="52"/>
  <c r="B33" i="43" s="1"/>
  <c r="F33" i="43" s="1"/>
  <c r="H33" i="43" s="1"/>
  <c r="F29" i="52"/>
  <c r="B29" i="43" s="1"/>
  <c r="F29" i="43" s="1"/>
  <c r="H29" i="43" s="1"/>
  <c r="F23" i="52"/>
  <c r="B23" i="43" s="1"/>
  <c r="F23" i="43" s="1"/>
  <c r="H23" i="43" s="1"/>
  <c r="F16" i="52"/>
  <c r="B16" i="43" s="1"/>
  <c r="F16" i="43" s="1"/>
  <c r="H16" i="43" s="1"/>
  <c r="F45" i="52"/>
  <c r="B45" i="43" s="1"/>
  <c r="F45" i="43" s="1"/>
  <c r="H45" i="43" s="1"/>
  <c r="F34" i="52"/>
  <c r="B34" i="43" s="1"/>
  <c r="F34" i="43" s="1"/>
  <c r="H34" i="43" s="1"/>
  <c r="F25" i="52"/>
  <c r="B25" i="43" s="1"/>
  <c r="F25" i="43" s="1"/>
  <c r="H25" i="43" s="1"/>
  <c r="F32" i="52"/>
  <c r="B32" i="43" s="1"/>
  <c r="F32" i="43" s="1"/>
  <c r="H32" i="43" s="1"/>
  <c r="F46" i="52"/>
  <c r="B46" i="43" s="1"/>
  <c r="F46" i="43" s="1"/>
  <c r="H46" i="43" s="1"/>
  <c r="F11" i="52"/>
  <c r="F48" i="52" l="1"/>
  <c r="B11" i="43"/>
  <c r="I45" i="45"/>
  <c r="I22" i="45"/>
  <c r="I22" i="43" s="1"/>
  <c r="B22" i="42" s="1"/>
  <c r="I21" i="45"/>
  <c r="I21" i="43" s="1"/>
  <c r="B21" i="42" s="1"/>
  <c r="I23" i="45"/>
  <c r="I23" i="43" s="1"/>
  <c r="B23" i="42" s="1"/>
  <c r="I43" i="45"/>
  <c r="I43" i="43" s="1"/>
  <c r="B43" i="42" s="1"/>
  <c r="I39" i="45"/>
  <c r="I46" i="45"/>
  <c r="I46" i="43" s="1"/>
  <c r="B46" i="42" s="1"/>
  <c r="I25" i="45"/>
  <c r="I25" i="43" s="1"/>
  <c r="B25" i="42" s="1"/>
  <c r="I29" i="45"/>
  <c r="I37" i="45"/>
  <c r="I37" i="43" s="1"/>
  <c r="B37" i="42" s="1"/>
  <c r="I18" i="45"/>
  <c r="I18" i="43" s="1"/>
  <c r="B18" i="42" s="1"/>
  <c r="I31" i="45"/>
  <c r="I31" i="43" s="1"/>
  <c r="B31" i="42" s="1"/>
  <c r="I26" i="45"/>
  <c r="I26" i="43" s="1"/>
  <c r="B26" i="42" s="1"/>
  <c r="I42" i="45"/>
  <c r="I42" i="43" s="1"/>
  <c r="B42" i="42" s="1"/>
  <c r="I13" i="45"/>
  <c r="I13" i="43" s="1"/>
  <c r="B13" i="42" s="1"/>
  <c r="I35" i="45"/>
  <c r="I35" i="43" s="1"/>
  <c r="B35" i="42" s="1"/>
  <c r="I17" i="45"/>
  <c r="I41" i="45"/>
  <c r="I41" i="43" s="1"/>
  <c r="B41" i="42" s="1"/>
  <c r="I32" i="45"/>
  <c r="I32" i="43" s="1"/>
  <c r="B32" i="42" s="1"/>
  <c r="I36" i="45"/>
  <c r="I36" i="43" s="1"/>
  <c r="B36" i="42" s="1"/>
  <c r="I20" i="45"/>
  <c r="I19" i="45"/>
  <c r="I19" i="43" s="1"/>
  <c r="B19" i="42" s="1"/>
  <c r="I30" i="45"/>
  <c r="I30" i="43" s="1"/>
  <c r="B30" i="42" s="1"/>
  <c r="I15" i="45"/>
  <c r="I15" i="43" s="1"/>
  <c r="B15" i="42" s="1"/>
  <c r="I34" i="45"/>
  <c r="I34" i="43" s="1"/>
  <c r="B34" i="42" s="1"/>
  <c r="I27" i="45"/>
  <c r="I27" i="43" s="1"/>
  <c r="B27" i="42" s="1"/>
  <c r="I40" i="45"/>
  <c r="I40" i="43" s="1"/>
  <c r="B40" i="42" s="1"/>
  <c r="I16" i="45"/>
  <c r="I16" i="43" s="1"/>
  <c r="B16" i="42" s="1"/>
  <c r="I33" i="45"/>
  <c r="I33" i="43" s="1"/>
  <c r="B33" i="42" s="1"/>
  <c r="I38" i="45"/>
  <c r="I38" i="43" s="1"/>
  <c r="B38" i="42" s="1"/>
  <c r="I12" i="45"/>
  <c r="I12" i="43" s="1"/>
  <c r="B12" i="42" s="1"/>
  <c r="I14" i="45"/>
  <c r="I14" i="43" s="1"/>
  <c r="B14" i="42" s="1"/>
  <c r="I44" i="45"/>
  <c r="I44" i="43" s="1"/>
  <c r="B44" i="42" s="1"/>
  <c r="I28" i="45"/>
  <c r="I28" i="43" s="1"/>
  <c r="B28" i="42" s="1"/>
  <c r="I24" i="45"/>
  <c r="I24" i="43" s="1"/>
  <c r="B24" i="42" s="1"/>
  <c r="G39" i="44" l="1"/>
  <c r="E39" i="42" s="1"/>
  <c r="I39" i="44"/>
  <c r="F39" i="42" s="1"/>
  <c r="C39" i="45"/>
  <c r="G39" i="42" s="1"/>
  <c r="E39" i="44"/>
  <c r="D39" i="42" s="1"/>
  <c r="C39" i="44"/>
  <c r="C39" i="42" s="1"/>
  <c r="G39" i="45"/>
  <c r="E39" i="45"/>
  <c r="H39" i="42" s="1"/>
  <c r="B48" i="43"/>
  <c r="F11" i="43"/>
  <c r="G29" i="45"/>
  <c r="I29" i="44"/>
  <c r="F29" i="42" s="1"/>
  <c r="E29" i="44"/>
  <c r="D29" i="42" s="1"/>
  <c r="C29" i="44"/>
  <c r="C29" i="42" s="1"/>
  <c r="C29" i="45"/>
  <c r="G29" i="42" s="1"/>
  <c r="E29" i="45"/>
  <c r="H29" i="42" s="1"/>
  <c r="G29" i="44"/>
  <c r="E29" i="42" s="1"/>
  <c r="C44" i="44"/>
  <c r="C44" i="42" s="1"/>
  <c r="G44" i="44"/>
  <c r="E44" i="42" s="1"/>
  <c r="C44" i="45"/>
  <c r="G44" i="42" s="1"/>
  <c r="I44" i="44"/>
  <c r="F44" i="42" s="1"/>
  <c r="E44" i="45"/>
  <c r="H44" i="42" s="1"/>
  <c r="E44" i="44"/>
  <c r="D44" i="42" s="1"/>
  <c r="G44" i="45"/>
  <c r="G12" i="45"/>
  <c r="I12" i="44"/>
  <c r="F12" i="42" s="1"/>
  <c r="G12" i="44"/>
  <c r="E12" i="42" s="1"/>
  <c r="C12" i="44"/>
  <c r="C12" i="42" s="1"/>
  <c r="C12" i="45"/>
  <c r="G12" i="42" s="1"/>
  <c r="E12" i="45"/>
  <c r="H12" i="42" s="1"/>
  <c r="E12" i="44"/>
  <c r="D12" i="42" s="1"/>
  <c r="G40" i="45"/>
  <c r="E40" i="44"/>
  <c r="D40" i="42" s="1"/>
  <c r="G40" i="44"/>
  <c r="E40" i="42" s="1"/>
  <c r="I40" i="44"/>
  <c r="F40" i="42" s="1"/>
  <c r="C40" i="45"/>
  <c r="G40" i="42" s="1"/>
  <c r="C40" i="44"/>
  <c r="C40" i="42" s="1"/>
  <c r="E40" i="45"/>
  <c r="H40" i="42" s="1"/>
  <c r="I30" i="44"/>
  <c r="F30" i="42" s="1"/>
  <c r="G30" i="44"/>
  <c r="E30" i="42" s="1"/>
  <c r="C30" i="44"/>
  <c r="C30" i="42" s="1"/>
  <c r="E30" i="45"/>
  <c r="H30" i="42" s="1"/>
  <c r="E30" i="44"/>
  <c r="D30" i="42" s="1"/>
  <c r="C30" i="45"/>
  <c r="G30" i="42" s="1"/>
  <c r="G30" i="45"/>
  <c r="G32" i="45"/>
  <c r="E32" i="44"/>
  <c r="D32" i="42" s="1"/>
  <c r="G32" i="44"/>
  <c r="E32" i="42" s="1"/>
  <c r="I32" i="44"/>
  <c r="F32" i="42" s="1"/>
  <c r="C32" i="45"/>
  <c r="G32" i="42" s="1"/>
  <c r="C32" i="44"/>
  <c r="C32" i="42" s="1"/>
  <c r="E32" i="45"/>
  <c r="H32" i="42" s="1"/>
  <c r="E13" i="45"/>
  <c r="H13" i="42" s="1"/>
  <c r="G13" i="44"/>
  <c r="E13" i="42" s="1"/>
  <c r="E13" i="44"/>
  <c r="D13" i="42" s="1"/>
  <c r="I13" i="44"/>
  <c r="F13" i="42" s="1"/>
  <c r="C13" i="45"/>
  <c r="G13" i="42" s="1"/>
  <c r="C13" i="44"/>
  <c r="C13" i="42" s="1"/>
  <c r="G13" i="45"/>
  <c r="C26" i="45"/>
  <c r="G26" i="42" s="1"/>
  <c r="I26" i="44"/>
  <c r="F26" i="42" s="1"/>
  <c r="G26" i="45"/>
  <c r="E26" i="45"/>
  <c r="H26" i="42" s="1"/>
  <c r="C26" i="44"/>
  <c r="C26" i="42" s="1"/>
  <c r="G26" i="44"/>
  <c r="E26" i="42" s="1"/>
  <c r="E26" i="44"/>
  <c r="D26" i="42" s="1"/>
  <c r="G46" i="45"/>
  <c r="G46" i="44"/>
  <c r="E46" i="42" s="1"/>
  <c r="C46" i="45"/>
  <c r="G46" i="42" s="1"/>
  <c r="E46" i="44"/>
  <c r="D46" i="42" s="1"/>
  <c r="E46" i="45"/>
  <c r="H46" i="42" s="1"/>
  <c r="I46" i="44"/>
  <c r="F46" i="42" s="1"/>
  <c r="C46" i="44"/>
  <c r="C46" i="42" s="1"/>
  <c r="G43" i="45"/>
  <c r="E43" i="44"/>
  <c r="D43" i="42" s="1"/>
  <c r="C43" i="44"/>
  <c r="C43" i="42" s="1"/>
  <c r="I43" i="44"/>
  <c r="F43" i="42" s="1"/>
  <c r="E43" i="45"/>
  <c r="H43" i="42" s="1"/>
  <c r="C43" i="45"/>
  <c r="G43" i="42" s="1"/>
  <c r="G43" i="44"/>
  <c r="E43" i="42" s="1"/>
  <c r="G14" i="45"/>
  <c r="C14" i="45"/>
  <c r="G14" i="42" s="1"/>
  <c r="C14" i="44"/>
  <c r="C14" i="42" s="1"/>
  <c r="I14" i="44"/>
  <c r="F14" i="42" s="1"/>
  <c r="G14" i="44"/>
  <c r="E14" i="42" s="1"/>
  <c r="E14" i="44"/>
  <c r="D14" i="42" s="1"/>
  <c r="E14" i="45"/>
  <c r="H14" i="42" s="1"/>
  <c r="E38" i="45"/>
  <c r="H38" i="42" s="1"/>
  <c r="C38" i="44"/>
  <c r="C38" i="42" s="1"/>
  <c r="E38" i="44"/>
  <c r="D38" i="42" s="1"/>
  <c r="C38" i="45"/>
  <c r="G38" i="42" s="1"/>
  <c r="G38" i="44"/>
  <c r="E38" i="42" s="1"/>
  <c r="I38" i="44"/>
  <c r="F38" i="42" s="1"/>
  <c r="G38" i="45"/>
  <c r="C27" i="44"/>
  <c r="C27" i="42" s="1"/>
  <c r="C27" i="45"/>
  <c r="G27" i="42" s="1"/>
  <c r="G27" i="44"/>
  <c r="E27" i="42" s="1"/>
  <c r="G27" i="45"/>
  <c r="I27" i="44"/>
  <c r="F27" i="42" s="1"/>
  <c r="E27" i="45"/>
  <c r="H27" i="42" s="1"/>
  <c r="E27" i="44"/>
  <c r="D27" i="42" s="1"/>
  <c r="E19" i="44"/>
  <c r="D19" i="42" s="1"/>
  <c r="I19" i="44"/>
  <c r="F19" i="42" s="1"/>
  <c r="C19" i="45"/>
  <c r="G19" i="42" s="1"/>
  <c r="G19" i="44"/>
  <c r="E19" i="42" s="1"/>
  <c r="C19" i="44"/>
  <c r="C19" i="42" s="1"/>
  <c r="E19" i="45"/>
  <c r="H19" i="42" s="1"/>
  <c r="G19" i="45"/>
  <c r="G36" i="44"/>
  <c r="E36" i="42" s="1"/>
  <c r="C36" i="44"/>
  <c r="C36" i="42" s="1"/>
  <c r="E36" i="45"/>
  <c r="H36" i="42" s="1"/>
  <c r="C36" i="45"/>
  <c r="G36" i="42" s="1"/>
  <c r="E36" i="44"/>
  <c r="D36" i="42" s="1"/>
  <c r="I36" i="44"/>
  <c r="F36" i="42" s="1"/>
  <c r="G36" i="45"/>
  <c r="C35" i="44"/>
  <c r="C35" i="42" s="1"/>
  <c r="I35" i="44"/>
  <c r="F35" i="42" s="1"/>
  <c r="G35" i="45"/>
  <c r="E35" i="45"/>
  <c r="H35" i="42" s="1"/>
  <c r="E35" i="44"/>
  <c r="D35" i="42" s="1"/>
  <c r="C35" i="45"/>
  <c r="G35" i="42" s="1"/>
  <c r="G35" i="44"/>
  <c r="E35" i="42" s="1"/>
  <c r="I31" i="44"/>
  <c r="F31" i="42" s="1"/>
  <c r="E31" i="44"/>
  <c r="D31" i="42" s="1"/>
  <c r="G31" i="44"/>
  <c r="E31" i="42" s="1"/>
  <c r="G31" i="45"/>
  <c r="E31" i="45"/>
  <c r="H31" i="42" s="1"/>
  <c r="C31" i="44"/>
  <c r="C31" i="42" s="1"/>
  <c r="C31" i="45"/>
  <c r="G31" i="42" s="1"/>
  <c r="C37" i="45"/>
  <c r="G37" i="42" s="1"/>
  <c r="G37" i="44"/>
  <c r="E37" i="42" s="1"/>
  <c r="G37" i="45"/>
  <c r="E37" i="44"/>
  <c r="D37" i="42" s="1"/>
  <c r="I37" i="44"/>
  <c r="F37" i="42" s="1"/>
  <c r="C37" i="44"/>
  <c r="C37" i="42" s="1"/>
  <c r="E37" i="45"/>
  <c r="H37" i="42" s="1"/>
  <c r="I39" i="43"/>
  <c r="B39" i="42" s="1"/>
  <c r="G15" i="45"/>
  <c r="C15" i="45"/>
  <c r="G15" i="42" s="1"/>
  <c r="C15" i="44"/>
  <c r="C15" i="42" s="1"/>
  <c r="G15" i="44"/>
  <c r="E15" i="42" s="1"/>
  <c r="I15" i="44"/>
  <c r="F15" i="42" s="1"/>
  <c r="E15" i="45"/>
  <c r="H15" i="42" s="1"/>
  <c r="E15" i="44"/>
  <c r="D15" i="42" s="1"/>
  <c r="G41" i="45"/>
  <c r="E41" i="44"/>
  <c r="D41" i="42" s="1"/>
  <c r="E41" i="45"/>
  <c r="H41" i="42" s="1"/>
  <c r="C41" i="44"/>
  <c r="C41" i="42" s="1"/>
  <c r="I41" i="44"/>
  <c r="F41" i="42" s="1"/>
  <c r="C41" i="45"/>
  <c r="G41" i="42" s="1"/>
  <c r="G41" i="44"/>
  <c r="E41" i="42" s="1"/>
  <c r="E23" i="44"/>
  <c r="D23" i="42" s="1"/>
  <c r="I23" i="44"/>
  <c r="F23" i="42" s="1"/>
  <c r="C23" i="45"/>
  <c r="G23" i="42" s="1"/>
  <c r="G23" i="44"/>
  <c r="E23" i="42" s="1"/>
  <c r="E23" i="45"/>
  <c r="H23" i="42" s="1"/>
  <c r="C23" i="44"/>
  <c r="C23" i="42" s="1"/>
  <c r="G23" i="45"/>
  <c r="G24" i="45"/>
  <c r="G24" i="44"/>
  <c r="E24" i="42" s="1"/>
  <c r="E24" i="44"/>
  <c r="D24" i="42" s="1"/>
  <c r="E24" i="45"/>
  <c r="H24" i="42" s="1"/>
  <c r="C24" i="45"/>
  <c r="G24" i="42" s="1"/>
  <c r="C24" i="44"/>
  <c r="C24" i="42" s="1"/>
  <c r="I24" i="44"/>
  <c r="F24" i="42" s="1"/>
  <c r="I20" i="44"/>
  <c r="F20" i="42" s="1"/>
  <c r="C20" i="45"/>
  <c r="G20" i="42" s="1"/>
  <c r="C20" i="44"/>
  <c r="C20" i="42" s="1"/>
  <c r="E20" i="44"/>
  <c r="D20" i="42" s="1"/>
  <c r="G20" i="45"/>
  <c r="E20" i="45"/>
  <c r="H20" i="42" s="1"/>
  <c r="G20" i="44"/>
  <c r="E20" i="42" s="1"/>
  <c r="G17" i="45"/>
  <c r="C17" i="45"/>
  <c r="G17" i="42" s="1"/>
  <c r="G17" i="44"/>
  <c r="E17" i="42" s="1"/>
  <c r="C17" i="44"/>
  <c r="C17" i="42" s="1"/>
  <c r="E17" i="44"/>
  <c r="D17" i="42" s="1"/>
  <c r="E17" i="45"/>
  <c r="H17" i="42" s="1"/>
  <c r="I17" i="44"/>
  <c r="F17" i="42" s="1"/>
  <c r="G18" i="44"/>
  <c r="E18" i="42" s="1"/>
  <c r="I18" i="44"/>
  <c r="F18" i="42" s="1"/>
  <c r="G18" i="45"/>
  <c r="C18" i="45"/>
  <c r="G18" i="42" s="1"/>
  <c r="E18" i="45"/>
  <c r="H18" i="42" s="1"/>
  <c r="E18" i="44"/>
  <c r="D18" i="42" s="1"/>
  <c r="C18" i="44"/>
  <c r="C18" i="42" s="1"/>
  <c r="C21" i="44"/>
  <c r="C21" i="42" s="1"/>
  <c r="G21" i="44"/>
  <c r="E21" i="42" s="1"/>
  <c r="C21" i="45"/>
  <c r="G21" i="42" s="1"/>
  <c r="I21" i="44"/>
  <c r="F21" i="42" s="1"/>
  <c r="E21" i="45"/>
  <c r="H21" i="42" s="1"/>
  <c r="E21" i="44"/>
  <c r="D21" i="42" s="1"/>
  <c r="G21" i="45"/>
  <c r="G45" i="45"/>
  <c r="C45" i="44"/>
  <c r="C45" i="42" s="1"/>
  <c r="E45" i="44"/>
  <c r="D45" i="42" s="1"/>
  <c r="G45" i="44"/>
  <c r="E45" i="42" s="1"/>
  <c r="E45" i="45"/>
  <c r="H45" i="42" s="1"/>
  <c r="C45" i="45"/>
  <c r="G45" i="42" s="1"/>
  <c r="I45" i="44"/>
  <c r="F45" i="42" s="1"/>
  <c r="E28" i="45"/>
  <c r="H28" i="42" s="1"/>
  <c r="C28" i="45"/>
  <c r="G28" i="42" s="1"/>
  <c r="I28" i="44"/>
  <c r="F28" i="42" s="1"/>
  <c r="G28" i="45"/>
  <c r="G28" i="44"/>
  <c r="E28" i="42" s="1"/>
  <c r="C28" i="44"/>
  <c r="C28" i="42" s="1"/>
  <c r="E28" i="44"/>
  <c r="D28" i="42" s="1"/>
  <c r="G16" i="45"/>
  <c r="G16" i="44"/>
  <c r="E16" i="42" s="1"/>
  <c r="I16" i="44"/>
  <c r="F16" i="42" s="1"/>
  <c r="E16" i="44"/>
  <c r="D16" i="42" s="1"/>
  <c r="E16" i="45"/>
  <c r="H16" i="42" s="1"/>
  <c r="C16" i="44"/>
  <c r="C16" i="42" s="1"/>
  <c r="C16" i="45"/>
  <c r="G16" i="42" s="1"/>
  <c r="C42" i="45"/>
  <c r="G42" i="42" s="1"/>
  <c r="G42" i="44"/>
  <c r="E42" i="42" s="1"/>
  <c r="E42" i="44"/>
  <c r="D42" i="42" s="1"/>
  <c r="C42" i="44"/>
  <c r="C42" i="42" s="1"/>
  <c r="I42" i="44"/>
  <c r="F42" i="42" s="1"/>
  <c r="E42" i="45"/>
  <c r="H42" i="42" s="1"/>
  <c r="G42" i="45"/>
  <c r="C25" i="44"/>
  <c r="C25" i="42" s="1"/>
  <c r="G25" i="45"/>
  <c r="I25" i="44"/>
  <c r="F25" i="42" s="1"/>
  <c r="G25" i="44"/>
  <c r="E25" i="42" s="1"/>
  <c r="C25" i="45"/>
  <c r="G25" i="42" s="1"/>
  <c r="E25" i="44"/>
  <c r="D25" i="42" s="1"/>
  <c r="E25" i="45"/>
  <c r="H25" i="42" s="1"/>
  <c r="E22" i="45"/>
  <c r="H22" i="42" s="1"/>
  <c r="C22" i="44"/>
  <c r="C22" i="42" s="1"/>
  <c r="C22" i="45"/>
  <c r="G22" i="42" s="1"/>
  <c r="G22" i="44"/>
  <c r="E22" i="42" s="1"/>
  <c r="E22" i="44"/>
  <c r="D22" i="42" s="1"/>
  <c r="I22" i="44"/>
  <c r="F22" i="42" s="1"/>
  <c r="G22" i="45"/>
  <c r="C33" i="44"/>
  <c r="C33" i="42" s="1"/>
  <c r="E33" i="45"/>
  <c r="H33" i="42" s="1"/>
  <c r="G33" i="45"/>
  <c r="G33" i="44"/>
  <c r="E33" i="42" s="1"/>
  <c r="E33" i="44"/>
  <c r="D33" i="42" s="1"/>
  <c r="I33" i="44"/>
  <c r="F33" i="42" s="1"/>
  <c r="C33" i="45"/>
  <c r="G33" i="42" s="1"/>
  <c r="G34" i="45"/>
  <c r="G34" i="44"/>
  <c r="E34" i="42" s="1"/>
  <c r="I34" i="44"/>
  <c r="F34" i="42" s="1"/>
  <c r="C34" i="44"/>
  <c r="C34" i="42" s="1"/>
  <c r="E34" i="44"/>
  <c r="D34" i="42" s="1"/>
  <c r="E34" i="45"/>
  <c r="H34" i="42" s="1"/>
  <c r="C34" i="45"/>
  <c r="G34" i="42" s="1"/>
  <c r="I20" i="43"/>
  <c r="B20" i="42" s="1"/>
  <c r="I17" i="43"/>
  <c r="B17" i="42" s="1"/>
  <c r="I29" i="43"/>
  <c r="B29" i="42" s="1"/>
  <c r="I45" i="43"/>
  <c r="B45" i="42" s="1"/>
  <c r="J13" i="42" l="1"/>
  <c r="J43" i="42"/>
  <c r="J33" i="42"/>
  <c r="J18" i="42"/>
  <c r="J23" i="42"/>
  <c r="J15" i="42"/>
  <c r="J37" i="42"/>
  <c r="J31" i="42"/>
  <c r="J35" i="42"/>
  <c r="J19" i="42"/>
  <c r="J32" i="42"/>
  <c r="J30" i="42"/>
  <c r="J40" i="42"/>
  <c r="J44" i="42"/>
  <c r="J27" i="42"/>
  <c r="J14" i="42"/>
  <c r="J16" i="42"/>
  <c r="J21" i="42"/>
  <c r="J36" i="42"/>
  <c r="J38" i="42"/>
  <c r="J46" i="42"/>
  <c r="J26" i="42"/>
  <c r="J12" i="42"/>
  <c r="J34" i="42"/>
  <c r="J45" i="42"/>
  <c r="J22" i="42"/>
  <c r="J25" i="42"/>
  <c r="J42" i="42"/>
  <c r="J28" i="42"/>
  <c r="J24" i="42"/>
  <c r="J41" i="42"/>
  <c r="H11" i="43"/>
  <c r="F48" i="43"/>
  <c r="J29" i="42"/>
  <c r="J39" i="42"/>
  <c r="J20" i="42"/>
  <c r="J17" i="42"/>
  <c r="H48" i="43" l="1"/>
  <c r="I11" i="45"/>
  <c r="C11" i="44" l="1"/>
  <c r="C11" i="42" s="1"/>
  <c r="E11" i="44"/>
  <c r="D11" i="42" s="1"/>
  <c r="G11" i="44"/>
  <c r="E11" i="42" s="1"/>
  <c r="I48" i="45"/>
  <c r="I11" i="44"/>
  <c r="F11" i="42" s="1"/>
  <c r="C11" i="45"/>
  <c r="G11" i="42" s="1"/>
  <c r="G11" i="45"/>
  <c r="E11" i="45"/>
  <c r="H11" i="42" s="1"/>
  <c r="I11" i="43"/>
  <c r="B11" i="42" s="1"/>
  <c r="J11" i="42" l="1"/>
  <c r="G48" i="45"/>
  <c r="E48" i="44"/>
  <c r="D48" i="42" s="1"/>
  <c r="L13" i="42" s="1"/>
  <c r="C48" i="45"/>
  <c r="G48" i="42" s="1"/>
  <c r="L16" i="42" s="1"/>
  <c r="E48" i="45"/>
  <c r="H48" i="42" s="1"/>
  <c r="L17" i="42" s="1"/>
  <c r="C48" i="44"/>
  <c r="C48" i="42" s="1"/>
  <c r="L12" i="42" s="1"/>
  <c r="V12" i="2"/>
  <c r="G48" i="44"/>
  <c r="E48" i="42" s="1"/>
  <c r="L14" i="42" s="1"/>
  <c r="I48" i="44"/>
  <c r="F48" i="42" s="1"/>
  <c r="L15" i="42" s="1"/>
  <c r="I48" i="43"/>
  <c r="B48" i="42" s="1"/>
  <c r="J48" i="42" l="1"/>
  <c r="L11" i="42"/>
  <c r="L19" i="42" s="1"/>
  <c r="B26" i="88" l="1"/>
  <c r="B18" i="88" l="1"/>
  <c r="B20" i="88"/>
  <c r="B34" i="88"/>
  <c r="B22" i="88"/>
  <c r="B28" i="88"/>
  <c r="B17" i="88"/>
  <c r="B14" i="88"/>
  <c r="B19" i="88"/>
  <c r="E31" i="78"/>
  <c r="X11" i="2"/>
  <c r="E38" i="78"/>
  <c r="B43" i="88"/>
  <c r="B24" i="88"/>
  <c r="B31" i="88"/>
  <c r="B33" i="88"/>
  <c r="B35" i="88"/>
  <c r="B39" i="88"/>
  <c r="E45" i="78"/>
  <c r="B45" i="88"/>
  <c r="B41" i="88"/>
  <c r="B44" i="88"/>
  <c r="B37" i="88"/>
  <c r="X12" i="2"/>
  <c r="E40" i="78"/>
  <c r="B36" i="88"/>
  <c r="E34" i="78"/>
  <c r="X13" i="2"/>
  <c r="B15" i="88"/>
  <c r="E39" i="78"/>
  <c r="B42" i="88"/>
  <c r="B21" i="88" l="1"/>
  <c r="B40" i="88"/>
  <c r="B30" i="88"/>
  <c r="B12" i="88"/>
  <c r="B25" i="88"/>
  <c r="B38" i="88"/>
  <c r="B29" i="88"/>
  <c r="L15" i="2"/>
  <c r="C15" i="5" s="1"/>
  <c r="D15" i="5" s="1"/>
  <c r="C15" i="26" s="1"/>
  <c r="K48" i="2"/>
  <c r="L31" i="2"/>
  <c r="C31" i="5" s="1"/>
  <c r="D31" i="5" s="1"/>
  <c r="G31" i="34" s="1"/>
  <c r="L22" i="2"/>
  <c r="C22" i="5" s="1"/>
  <c r="D22" i="5" s="1"/>
  <c r="I22" i="11" s="1"/>
  <c r="L38" i="2"/>
  <c r="C38" i="5" s="1"/>
  <c r="D38" i="5" s="1"/>
  <c r="E38" i="38" s="1"/>
  <c r="L51" i="2"/>
  <c r="C51" i="5" s="1"/>
  <c r="D51" i="5" s="1"/>
  <c r="F51" i="18" s="1"/>
  <c r="L11" i="2"/>
  <c r="C11" i="5" s="1"/>
  <c r="J35" i="54"/>
  <c r="G27" i="54"/>
  <c r="G23" i="54"/>
  <c r="J19" i="54"/>
  <c r="J17" i="54"/>
  <c r="G15" i="54"/>
  <c r="D16" i="54"/>
  <c r="E16" i="76"/>
  <c r="G14" i="54"/>
  <c r="D24" i="54"/>
  <c r="D30" i="54"/>
  <c r="E30" i="76"/>
  <c r="D12" i="54"/>
  <c r="J44" i="54"/>
  <c r="J36" i="54"/>
  <c r="J34" i="54"/>
  <c r="J32" i="54"/>
  <c r="J30" i="54"/>
  <c r="J16" i="54"/>
  <c r="D11" i="54"/>
  <c r="C48" i="88"/>
  <c r="B16" i="88"/>
  <c r="B13" i="88"/>
  <c r="B46" i="88"/>
  <c r="B27" i="88"/>
  <c r="B11" i="88"/>
  <c r="G17" i="54"/>
  <c r="J50" i="54"/>
  <c r="G39" i="54"/>
  <c r="J33" i="54"/>
  <c r="G25" i="54"/>
  <c r="J15" i="54"/>
  <c r="G24" i="54"/>
  <c r="G26" i="54"/>
  <c r="G18" i="54"/>
  <c r="D27" i="54"/>
  <c r="E27" i="76"/>
  <c r="J46" i="54"/>
  <c r="G40" i="54"/>
  <c r="G22" i="54"/>
  <c r="G46" i="54"/>
  <c r="B32" i="88"/>
  <c r="B23" i="88"/>
  <c r="F48" i="2"/>
  <c r="D48" i="88"/>
  <c r="G31" i="54"/>
  <c r="F31" i="54"/>
  <c r="J38" i="54"/>
  <c r="G28" i="54"/>
  <c r="J37" i="54"/>
  <c r="G43" i="54"/>
  <c r="G33" i="54"/>
  <c r="J41" i="54"/>
  <c r="D18" i="54"/>
  <c r="E18" i="76"/>
  <c r="J51" i="54"/>
  <c r="J14" i="54"/>
  <c r="G38" i="54"/>
  <c r="G16" i="54"/>
  <c r="D42" i="54"/>
  <c r="E42" i="76"/>
  <c r="J21" i="54"/>
  <c r="G30" i="54"/>
  <c r="J42" i="54"/>
  <c r="G50" i="54"/>
  <c r="G45" i="54"/>
  <c r="G41" i="54"/>
  <c r="J31" i="54"/>
  <c r="J23" i="54"/>
  <c r="G21" i="54"/>
  <c r="G29" i="54"/>
  <c r="G42" i="54"/>
  <c r="J40" i="54"/>
  <c r="J26" i="54"/>
  <c r="L25" i="2"/>
  <c r="C25" i="5" s="1"/>
  <c r="D25" i="5" s="1"/>
  <c r="F25" i="54" s="1"/>
  <c r="L13" i="2"/>
  <c r="C13" i="5" s="1"/>
  <c r="D13" i="5" s="1"/>
  <c r="J48" i="2"/>
  <c r="J28" i="54"/>
  <c r="J20" i="54"/>
  <c r="J45" i="54"/>
  <c r="J43" i="54"/>
  <c r="G37" i="54"/>
  <c r="G35" i="54"/>
  <c r="G19" i="54"/>
  <c r="J39" i="54"/>
  <c r="D38" i="54"/>
  <c r="E38" i="76"/>
  <c r="D22" i="54"/>
  <c r="J27" i="54"/>
  <c r="J18" i="54"/>
  <c r="L34" i="2"/>
  <c r="C34" i="5" s="1"/>
  <c r="D34" i="5" s="1"/>
  <c r="G44" i="54"/>
  <c r="G36" i="54"/>
  <c r="G34" i="54"/>
  <c r="G32" i="54"/>
  <c r="G20" i="54"/>
  <c r="G51" i="54"/>
  <c r="D50" i="54"/>
  <c r="E50" i="76"/>
  <c r="L17" i="2"/>
  <c r="C17" i="5" s="1"/>
  <c r="D17" i="5" s="1"/>
  <c r="L44" i="2"/>
  <c r="C44" i="5" s="1"/>
  <c r="D44" i="5" s="1"/>
  <c r="L14" i="2"/>
  <c r="C14" i="5" s="1"/>
  <c r="D14" i="5" s="1"/>
  <c r="L26" i="2"/>
  <c r="C26" i="5" s="1"/>
  <c r="D26" i="5" s="1"/>
  <c r="L30" i="2"/>
  <c r="C30" i="5" s="1"/>
  <c r="D30" i="5" s="1"/>
  <c r="L28" i="2"/>
  <c r="C28" i="5" s="1"/>
  <c r="D28" i="5" s="1"/>
  <c r="F28" i="54" s="1"/>
  <c r="L35" i="2"/>
  <c r="C35" i="5" s="1"/>
  <c r="D35" i="5" s="1"/>
  <c r="L24" i="2"/>
  <c r="C24" i="5" s="1"/>
  <c r="D24" i="5" s="1"/>
  <c r="E48" i="2"/>
  <c r="E14" i="78"/>
  <c r="E21" i="78"/>
  <c r="E19" i="78"/>
  <c r="E30" i="78"/>
  <c r="E33" i="78"/>
  <c r="E15" i="78"/>
  <c r="E17" i="78"/>
  <c r="E37" i="78"/>
  <c r="E25" i="78"/>
  <c r="E44" i="78"/>
  <c r="E50" i="78"/>
  <c r="E35" i="78"/>
  <c r="E24" i="78"/>
  <c r="E29" i="78"/>
  <c r="E13" i="78"/>
  <c r="E41" i="78"/>
  <c r="E27" i="78"/>
  <c r="E28" i="78"/>
  <c r="E43" i="78"/>
  <c r="E46" i="78"/>
  <c r="E23" i="78"/>
  <c r="E22" i="78"/>
  <c r="L27" i="2"/>
  <c r="C27" i="5" s="1"/>
  <c r="D27" i="5" s="1"/>
  <c r="E26" i="78"/>
  <c r="L19" i="2"/>
  <c r="C19" i="5" s="1"/>
  <c r="D19" i="5" s="1"/>
  <c r="H48" i="2"/>
  <c r="E18" i="78"/>
  <c r="E12" i="78"/>
  <c r="L50" i="2" l="1"/>
  <c r="C50" i="5" s="1"/>
  <c r="D50" i="5" s="1"/>
  <c r="I31" i="54"/>
  <c r="F31" i="10"/>
  <c r="I31" i="26"/>
  <c r="C51" i="82"/>
  <c r="F15" i="18"/>
  <c r="I15" i="54"/>
  <c r="I15" i="25"/>
  <c r="E15" i="37"/>
  <c r="F51" i="11"/>
  <c r="C31" i="37"/>
  <c r="E31" i="37"/>
  <c r="C31" i="34"/>
  <c r="F31" i="26"/>
  <c r="C31" i="20"/>
  <c r="I31" i="11"/>
  <c r="I22" i="9"/>
  <c r="C31" i="26"/>
  <c r="E31" i="35"/>
  <c r="F31" i="8"/>
  <c r="C31" i="35"/>
  <c r="F31" i="20"/>
  <c r="C31" i="19"/>
  <c r="C31" i="38"/>
  <c r="F15" i="54"/>
  <c r="G15" i="34"/>
  <c r="C15" i="38"/>
  <c r="F15" i="10"/>
  <c r="L41" i="2"/>
  <c r="C41" i="5" s="1"/>
  <c r="D41" i="5" s="1"/>
  <c r="I38" i="54"/>
  <c r="C15" i="35"/>
  <c r="C15" i="29"/>
  <c r="F22" i="20"/>
  <c r="L16" i="2"/>
  <c r="C16" i="5" s="1"/>
  <c r="D16" i="5" s="1"/>
  <c r="I16" i="26" s="1"/>
  <c r="L46" i="2"/>
  <c r="C46" i="5" s="1"/>
  <c r="D46" i="5" s="1"/>
  <c r="I46" i="25" s="1"/>
  <c r="C38" i="54"/>
  <c r="F38" i="54"/>
  <c r="F15" i="20"/>
  <c r="C15" i="82"/>
  <c r="C22" i="37"/>
  <c r="I38" i="9"/>
  <c r="C15" i="37"/>
  <c r="F15" i="11"/>
  <c r="E15" i="38"/>
  <c r="I15" i="11"/>
  <c r="E15" i="34"/>
  <c r="C15" i="36"/>
  <c r="F15" i="8"/>
  <c r="F15" i="28"/>
  <c r="C15" i="11"/>
  <c r="C15" i="8"/>
  <c r="C15" i="18"/>
  <c r="C15" i="7"/>
  <c r="C15" i="27"/>
  <c r="C15" i="76" s="1"/>
  <c r="C15" i="34"/>
  <c r="G15" i="25"/>
  <c r="I15" i="28"/>
  <c r="I15" i="9"/>
  <c r="I15" i="20"/>
  <c r="G15" i="36"/>
  <c r="I15" i="26"/>
  <c r="C38" i="8"/>
  <c r="L39" i="2"/>
  <c r="C39" i="5" s="1"/>
  <c r="D39" i="5" s="1"/>
  <c r="E39" i="38" s="1"/>
  <c r="F15" i="29"/>
  <c r="C15" i="25"/>
  <c r="H15" i="19"/>
  <c r="C15" i="10"/>
  <c r="C15" i="9"/>
  <c r="E15" i="19"/>
  <c r="F15" i="26"/>
  <c r="C15" i="19"/>
  <c r="E15" i="82"/>
  <c r="F15" i="5"/>
  <c r="D15" i="6" s="1"/>
  <c r="F22" i="18"/>
  <c r="I22" i="10"/>
  <c r="C22" i="11"/>
  <c r="C22" i="28"/>
  <c r="F22" i="26"/>
  <c r="C22" i="38"/>
  <c r="E22" i="37"/>
  <c r="C22" i="19"/>
  <c r="I22" i="26"/>
  <c r="E22" i="38"/>
  <c r="L36" i="2"/>
  <c r="C36" i="5" s="1"/>
  <c r="D36" i="5" s="1"/>
  <c r="C36" i="25" s="1"/>
  <c r="C15" i="28"/>
  <c r="E15" i="35"/>
  <c r="F15" i="9"/>
  <c r="C15" i="20"/>
  <c r="I15" i="18"/>
  <c r="E15" i="25"/>
  <c r="E15" i="36"/>
  <c r="I15" i="10"/>
  <c r="I31" i="28"/>
  <c r="E31" i="36"/>
  <c r="F31" i="18"/>
  <c r="I51" i="10"/>
  <c r="C38" i="25"/>
  <c r="I38" i="25"/>
  <c r="E38" i="19"/>
  <c r="G38" i="34"/>
  <c r="C38" i="20"/>
  <c r="C31" i="28"/>
  <c r="C31" i="25"/>
  <c r="C31" i="18"/>
  <c r="F31" i="28"/>
  <c r="E31" i="82"/>
  <c r="E31" i="19"/>
  <c r="C31" i="10"/>
  <c r="C31" i="36"/>
  <c r="E31" i="34"/>
  <c r="C31" i="9"/>
  <c r="C31" i="8"/>
  <c r="C31" i="11"/>
  <c r="I31" i="20"/>
  <c r="C31" i="29"/>
  <c r="I31" i="25"/>
  <c r="H31" i="19"/>
  <c r="I31" i="18"/>
  <c r="E31" i="38"/>
  <c r="G31" i="25"/>
  <c r="C38" i="28"/>
  <c r="F38" i="18"/>
  <c r="G38" i="25"/>
  <c r="I38" i="26"/>
  <c r="E38" i="37"/>
  <c r="C38" i="7"/>
  <c r="C38" i="37"/>
  <c r="C38" i="27"/>
  <c r="C38" i="76" s="1"/>
  <c r="C38" i="82"/>
  <c r="H38" i="19"/>
  <c r="I38" i="18"/>
  <c r="C38" i="11"/>
  <c r="F38" i="29"/>
  <c r="F38" i="8"/>
  <c r="F38" i="5"/>
  <c r="D38" i="6" s="1"/>
  <c r="E38" i="6" s="1"/>
  <c r="C38" i="78" s="1"/>
  <c r="F38" i="26"/>
  <c r="F38" i="20"/>
  <c r="C38" i="19"/>
  <c r="E38" i="25"/>
  <c r="F38" i="11"/>
  <c r="I38" i="10"/>
  <c r="F38" i="28"/>
  <c r="C38" i="18"/>
  <c r="C38" i="38"/>
  <c r="L42" i="2"/>
  <c r="C42" i="5" s="1"/>
  <c r="D42" i="5" s="1"/>
  <c r="I42" i="54" s="1"/>
  <c r="C22" i="54"/>
  <c r="C22" i="20"/>
  <c r="C22" i="8"/>
  <c r="H22" i="19"/>
  <c r="F22" i="29"/>
  <c r="E22" i="34"/>
  <c r="I22" i="25"/>
  <c r="F22" i="28"/>
  <c r="E22" i="82"/>
  <c r="G22" i="34"/>
  <c r="C22" i="26"/>
  <c r="C22" i="10"/>
  <c r="I22" i="20"/>
  <c r="C31" i="27"/>
  <c r="C31" i="76" s="1"/>
  <c r="F31" i="5"/>
  <c r="D31" i="6" s="1"/>
  <c r="E31" i="6" s="1"/>
  <c r="C31" i="78" s="1"/>
  <c r="F31" i="9"/>
  <c r="I31" i="10"/>
  <c r="F31" i="11"/>
  <c r="C31" i="82"/>
  <c r="I31" i="9"/>
  <c r="E31" i="25"/>
  <c r="F22" i="54"/>
  <c r="I22" i="28"/>
  <c r="C22" i="25"/>
  <c r="F22" i="5"/>
  <c r="D22" i="6" s="1"/>
  <c r="E22" i="6" s="1"/>
  <c r="C22" i="78" s="1"/>
  <c r="I22" i="18"/>
  <c r="C22" i="27"/>
  <c r="C22" i="76" s="1"/>
  <c r="G22" i="25"/>
  <c r="C22" i="36"/>
  <c r="C22" i="7"/>
  <c r="C22" i="82"/>
  <c r="E22" i="36"/>
  <c r="F22" i="8"/>
  <c r="F22" i="10"/>
  <c r="C31" i="7"/>
  <c r="G31" i="36"/>
  <c r="F31" i="29"/>
  <c r="L43" i="2"/>
  <c r="C43" i="5" s="1"/>
  <c r="D43" i="5" s="1"/>
  <c r="C43" i="10" s="1"/>
  <c r="C22" i="18"/>
  <c r="E22" i="35"/>
  <c r="F22" i="11"/>
  <c r="C22" i="29"/>
  <c r="C22" i="35"/>
  <c r="C22" i="34"/>
  <c r="E22" i="19"/>
  <c r="F22" i="9"/>
  <c r="E22" i="25"/>
  <c r="G22" i="36"/>
  <c r="C22" i="9"/>
  <c r="L12" i="2"/>
  <c r="C12" i="5" s="1"/>
  <c r="D12" i="5" s="1"/>
  <c r="E12" i="25" s="1"/>
  <c r="L29" i="2"/>
  <c r="C29" i="5" s="1"/>
  <c r="D29" i="5" s="1"/>
  <c r="E29" i="37" s="1"/>
  <c r="E51" i="36"/>
  <c r="C51" i="34"/>
  <c r="E51" i="82"/>
  <c r="F51" i="54"/>
  <c r="G51" i="36"/>
  <c r="F51" i="8"/>
  <c r="I51" i="25"/>
  <c r="G38" i="36"/>
  <c r="E38" i="82"/>
  <c r="C38" i="10"/>
  <c r="E38" i="36"/>
  <c r="L18" i="2"/>
  <c r="C18" i="5" s="1"/>
  <c r="D18" i="5" s="1"/>
  <c r="F18" i="29" s="1"/>
  <c r="I51" i="54"/>
  <c r="I51" i="11"/>
  <c r="C51" i="36"/>
  <c r="I51" i="26"/>
  <c r="F51" i="9"/>
  <c r="I38" i="20"/>
  <c r="C38" i="29"/>
  <c r="E38" i="34"/>
  <c r="C38" i="9"/>
  <c r="I38" i="28"/>
  <c r="F38" i="10"/>
  <c r="C38" i="34"/>
  <c r="I38" i="11"/>
  <c r="C38" i="35"/>
  <c r="E51" i="25"/>
  <c r="I51" i="20"/>
  <c r="C51" i="37"/>
  <c r="E51" i="35"/>
  <c r="C51" i="9"/>
  <c r="E51" i="19"/>
  <c r="F51" i="26"/>
  <c r="C51" i="38"/>
  <c r="E51" i="37"/>
  <c r="I51" i="9"/>
  <c r="E51" i="38"/>
  <c r="L37" i="2"/>
  <c r="C37" i="5" s="1"/>
  <c r="D37" i="5" s="1"/>
  <c r="F37" i="11" s="1"/>
  <c r="I51" i="18"/>
  <c r="C51" i="25"/>
  <c r="G51" i="25"/>
  <c r="C51" i="18"/>
  <c r="C51" i="27"/>
  <c r="C51" i="76" s="1"/>
  <c r="C51" i="35"/>
  <c r="C51" i="19"/>
  <c r="C51" i="8"/>
  <c r="C51" i="10"/>
  <c r="C51" i="28"/>
  <c r="C51" i="26"/>
  <c r="C51" i="7"/>
  <c r="F38" i="9"/>
  <c r="F51" i="20"/>
  <c r="C51" i="29"/>
  <c r="G51" i="34"/>
  <c r="C51" i="20"/>
  <c r="I51" i="28"/>
  <c r="E51" i="34"/>
  <c r="F51" i="5"/>
  <c r="D51" i="6" s="1"/>
  <c r="F51" i="6" s="1"/>
  <c r="F51" i="28"/>
  <c r="F51" i="10"/>
  <c r="H51" i="19"/>
  <c r="F51" i="29"/>
  <c r="C51" i="11"/>
  <c r="C38" i="26"/>
  <c r="E38" i="35"/>
  <c r="C38" i="36"/>
  <c r="G48" i="2"/>
  <c r="L33" i="2"/>
  <c r="C33" i="5" s="1"/>
  <c r="D33" i="5" s="1"/>
  <c r="C33" i="26" s="1"/>
  <c r="L23" i="2"/>
  <c r="C23" i="5" s="1"/>
  <c r="D23" i="5" s="1"/>
  <c r="I23" i="26" s="1"/>
  <c r="B48" i="88"/>
  <c r="L21" i="2"/>
  <c r="C21" i="5" s="1"/>
  <c r="D21" i="5" s="1"/>
  <c r="G21" i="25" s="1"/>
  <c r="H27" i="19"/>
  <c r="E27" i="38"/>
  <c r="G27" i="34"/>
  <c r="E27" i="34"/>
  <c r="I27" i="10"/>
  <c r="F27" i="26"/>
  <c r="C27" i="8"/>
  <c r="G27" i="25"/>
  <c r="I27" i="18"/>
  <c r="I27" i="28"/>
  <c r="G27" i="36"/>
  <c r="C27" i="20"/>
  <c r="C27" i="28"/>
  <c r="F27" i="5"/>
  <c r="D27" i="6" s="1"/>
  <c r="C27" i="7"/>
  <c r="C27" i="34"/>
  <c r="E27" i="35"/>
  <c r="F27" i="11"/>
  <c r="I27" i="26"/>
  <c r="F27" i="9"/>
  <c r="I27" i="9"/>
  <c r="C27" i="35"/>
  <c r="C27" i="26"/>
  <c r="C27" i="19"/>
  <c r="E27" i="19"/>
  <c r="E27" i="37"/>
  <c r="I27" i="20"/>
  <c r="F27" i="10"/>
  <c r="C27" i="27"/>
  <c r="C27" i="76" s="1"/>
  <c r="C27" i="82"/>
  <c r="F27" i="28"/>
  <c r="C27" i="10"/>
  <c r="C27" i="9"/>
  <c r="I27" i="11"/>
  <c r="C27" i="18"/>
  <c r="F27" i="29"/>
  <c r="F27" i="18"/>
  <c r="C27" i="38"/>
  <c r="E27" i="25"/>
  <c r="F27" i="8"/>
  <c r="E27" i="82"/>
  <c r="C27" i="11"/>
  <c r="I27" i="25"/>
  <c r="C27" i="25"/>
  <c r="F27" i="20"/>
  <c r="E27" i="36"/>
  <c r="C27" i="36"/>
  <c r="C27" i="37"/>
  <c r="C27" i="29"/>
  <c r="F27" i="54"/>
  <c r="I27" i="54"/>
  <c r="C27" i="54"/>
  <c r="I37" i="26"/>
  <c r="F19" i="20"/>
  <c r="E19" i="38"/>
  <c r="I19" i="26"/>
  <c r="I19" i="9"/>
  <c r="F19" i="9"/>
  <c r="C19" i="7"/>
  <c r="I19" i="25"/>
  <c r="C19" i="26"/>
  <c r="C19" i="10"/>
  <c r="C19" i="29"/>
  <c r="C19" i="18"/>
  <c r="C19" i="38"/>
  <c r="F19" i="11"/>
  <c r="C19" i="34"/>
  <c r="E19" i="82"/>
  <c r="E19" i="35"/>
  <c r="C19" i="25"/>
  <c r="E19" i="36"/>
  <c r="I19" i="18"/>
  <c r="C19" i="37"/>
  <c r="I19" i="11"/>
  <c r="G19" i="36"/>
  <c r="F19" i="18"/>
  <c r="F19" i="5"/>
  <c r="D19" i="6" s="1"/>
  <c r="F19" i="10"/>
  <c r="G19" i="34"/>
  <c r="C19" i="11"/>
  <c r="F19" i="26"/>
  <c r="C19" i="8"/>
  <c r="G19" i="25"/>
  <c r="F19" i="29"/>
  <c r="C19" i="82"/>
  <c r="I19" i="28"/>
  <c r="C19" i="27"/>
  <c r="C19" i="76" s="1"/>
  <c r="C19" i="28"/>
  <c r="H19" i="19"/>
  <c r="C19" i="36"/>
  <c r="I19" i="20"/>
  <c r="I19" i="10"/>
  <c r="E19" i="34"/>
  <c r="F19" i="8"/>
  <c r="E19" i="25"/>
  <c r="C19" i="9"/>
  <c r="C19" i="35"/>
  <c r="C19" i="20"/>
  <c r="C19" i="19"/>
  <c r="E19" i="37"/>
  <c r="F19" i="28"/>
  <c r="E19" i="19"/>
  <c r="F19" i="54"/>
  <c r="I19" i="54"/>
  <c r="C24" i="38"/>
  <c r="E24" i="82"/>
  <c r="I24" i="26"/>
  <c r="C24" i="7"/>
  <c r="E24" i="34"/>
  <c r="F24" i="9"/>
  <c r="E24" i="37"/>
  <c r="E24" i="36"/>
  <c r="C24" i="34"/>
  <c r="C24" i="20"/>
  <c r="F24" i="18"/>
  <c r="E24" i="38"/>
  <c r="C24" i="28"/>
  <c r="F24" i="8"/>
  <c r="C24" i="11"/>
  <c r="C24" i="8"/>
  <c r="F24" i="26"/>
  <c r="C24" i="27"/>
  <c r="C24" i="76" s="1"/>
  <c r="G24" i="25"/>
  <c r="C24" i="36"/>
  <c r="C24" i="18"/>
  <c r="C24" i="19"/>
  <c r="H24" i="19"/>
  <c r="F24" i="5"/>
  <c r="D24" i="6" s="1"/>
  <c r="C24" i="82"/>
  <c r="C24" i="35"/>
  <c r="E24" i="35"/>
  <c r="F24" i="11"/>
  <c r="I24" i="10"/>
  <c r="I24" i="9"/>
  <c r="C24" i="9"/>
  <c r="I24" i="11"/>
  <c r="I24" i="28"/>
  <c r="C24" i="29"/>
  <c r="C24" i="37"/>
  <c r="E24" i="19"/>
  <c r="I24" i="25"/>
  <c r="I24" i="20"/>
  <c r="C24" i="25"/>
  <c r="E24" i="25"/>
  <c r="F24" i="10"/>
  <c r="G24" i="34"/>
  <c r="F24" i="28"/>
  <c r="C24" i="26"/>
  <c r="I24" i="18"/>
  <c r="G24" i="36"/>
  <c r="C24" i="10"/>
  <c r="F24" i="29"/>
  <c r="F24" i="20"/>
  <c r="C24" i="54"/>
  <c r="F24" i="54"/>
  <c r="F26" i="18"/>
  <c r="I26" i="20"/>
  <c r="C26" i="9"/>
  <c r="C26" i="11"/>
  <c r="F26" i="9"/>
  <c r="C26" i="82"/>
  <c r="F26" i="28"/>
  <c r="C26" i="19"/>
  <c r="I26" i="18"/>
  <c r="C26" i="37"/>
  <c r="F26" i="20"/>
  <c r="H26" i="19"/>
  <c r="E26" i="38"/>
  <c r="C26" i="34"/>
  <c r="F26" i="11"/>
  <c r="I26" i="25"/>
  <c r="C26" i="35"/>
  <c r="C26" i="28"/>
  <c r="I26" i="10"/>
  <c r="C26" i="10"/>
  <c r="E26" i="36"/>
  <c r="I26" i="11"/>
  <c r="C26" i="20"/>
  <c r="E26" i="19"/>
  <c r="C26" i="38"/>
  <c r="F26" i="8"/>
  <c r="C26" i="25"/>
  <c r="I26" i="9"/>
  <c r="C26" i="27"/>
  <c r="C26" i="76" s="1"/>
  <c r="E26" i="35"/>
  <c r="C26" i="7"/>
  <c r="E26" i="25"/>
  <c r="C26" i="18"/>
  <c r="E26" i="34"/>
  <c r="F26" i="29"/>
  <c r="C26" i="36"/>
  <c r="F26" i="5"/>
  <c r="D26" i="6" s="1"/>
  <c r="F26" i="10"/>
  <c r="F26" i="26"/>
  <c r="C26" i="8"/>
  <c r="G26" i="34"/>
  <c r="G26" i="25"/>
  <c r="I26" i="26"/>
  <c r="E26" i="82"/>
  <c r="I26" i="28"/>
  <c r="C26" i="26"/>
  <c r="E26" i="37"/>
  <c r="G26" i="36"/>
  <c r="C26" i="29"/>
  <c r="F26" i="54"/>
  <c r="I26" i="54"/>
  <c r="F23" i="10"/>
  <c r="E23" i="38"/>
  <c r="C23" i="29"/>
  <c r="F23" i="28"/>
  <c r="G23" i="25"/>
  <c r="G23" i="36"/>
  <c r="C34" i="20"/>
  <c r="I34" i="20"/>
  <c r="C34" i="34"/>
  <c r="C34" i="10"/>
  <c r="C34" i="7"/>
  <c r="F34" i="10"/>
  <c r="I34" i="25"/>
  <c r="C34" i="9"/>
  <c r="F34" i="18"/>
  <c r="C34" i="26"/>
  <c r="C34" i="25"/>
  <c r="E34" i="38"/>
  <c r="E34" i="37"/>
  <c r="C34" i="11"/>
  <c r="F34" i="26"/>
  <c r="F34" i="11"/>
  <c r="I34" i="10"/>
  <c r="E34" i="35"/>
  <c r="I34" i="11"/>
  <c r="E34" i="36"/>
  <c r="F34" i="29"/>
  <c r="F34" i="20"/>
  <c r="C34" i="38"/>
  <c r="F34" i="9"/>
  <c r="C34" i="82"/>
  <c r="F34" i="28"/>
  <c r="E34" i="34"/>
  <c r="E34" i="25"/>
  <c r="I34" i="9"/>
  <c r="C34" i="8"/>
  <c r="E34" i="82"/>
  <c r="C34" i="37"/>
  <c r="C34" i="28"/>
  <c r="I34" i="18"/>
  <c r="I34" i="28"/>
  <c r="F34" i="5"/>
  <c r="D34" i="6" s="1"/>
  <c r="F34" i="8"/>
  <c r="G34" i="25"/>
  <c r="C34" i="35"/>
  <c r="C34" i="27"/>
  <c r="C34" i="76" s="1"/>
  <c r="I34" i="26"/>
  <c r="G34" i="34"/>
  <c r="C34" i="36"/>
  <c r="C34" i="18"/>
  <c r="G34" i="36"/>
  <c r="C34" i="19"/>
  <c r="E34" i="19"/>
  <c r="C34" i="29"/>
  <c r="H34" i="19"/>
  <c r="F34" i="54"/>
  <c r="I34" i="54"/>
  <c r="F14" i="20"/>
  <c r="I14" i="20"/>
  <c r="C14" i="82"/>
  <c r="C14" i="10"/>
  <c r="C14" i="9"/>
  <c r="F14" i="28"/>
  <c r="E14" i="36"/>
  <c r="I14" i="28"/>
  <c r="C14" i="25"/>
  <c r="C14" i="19"/>
  <c r="C14" i="28"/>
  <c r="C14" i="38"/>
  <c r="E14" i="34"/>
  <c r="C14" i="7"/>
  <c r="C14" i="26"/>
  <c r="F14" i="11"/>
  <c r="I14" i="10"/>
  <c r="F14" i="26"/>
  <c r="E14" i="19"/>
  <c r="I14" i="11"/>
  <c r="G14" i="36"/>
  <c r="C14" i="20"/>
  <c r="C14" i="37"/>
  <c r="F14" i="29"/>
  <c r="E14" i="38"/>
  <c r="E14" i="35"/>
  <c r="F14" i="8"/>
  <c r="E14" i="82"/>
  <c r="I14" i="9"/>
  <c r="C14" i="27"/>
  <c r="C14" i="76" s="1"/>
  <c r="C14" i="11"/>
  <c r="C14" i="35"/>
  <c r="C14" i="34"/>
  <c r="E14" i="37"/>
  <c r="C14" i="18"/>
  <c r="H14" i="19"/>
  <c r="F14" i="5"/>
  <c r="D14" i="6" s="1"/>
  <c r="F14" i="10"/>
  <c r="G14" i="34"/>
  <c r="C14" i="8"/>
  <c r="I14" i="25"/>
  <c r="F14" i="9"/>
  <c r="E14" i="25"/>
  <c r="I14" i="26"/>
  <c r="I14" i="18"/>
  <c r="F14" i="18"/>
  <c r="G14" i="25"/>
  <c r="C14" i="29"/>
  <c r="C14" i="36"/>
  <c r="F14" i="54"/>
  <c r="I14" i="54"/>
  <c r="H44" i="19"/>
  <c r="F44" i="5"/>
  <c r="D44" i="6" s="1"/>
  <c r="F44" i="11"/>
  <c r="G44" i="25"/>
  <c r="C44" i="25"/>
  <c r="E44" i="82"/>
  <c r="G44" i="34"/>
  <c r="F44" i="8"/>
  <c r="C44" i="19"/>
  <c r="C44" i="26"/>
  <c r="E44" i="37"/>
  <c r="E44" i="36"/>
  <c r="F44" i="20"/>
  <c r="F44" i="9"/>
  <c r="I44" i="20"/>
  <c r="E44" i="34"/>
  <c r="E44" i="35"/>
  <c r="F44" i="26"/>
  <c r="F44" i="28"/>
  <c r="F44" i="10"/>
  <c r="C44" i="8"/>
  <c r="C44" i="20"/>
  <c r="I44" i="11"/>
  <c r="F44" i="29"/>
  <c r="C44" i="38"/>
  <c r="C44" i="35"/>
  <c r="E44" i="25"/>
  <c r="I44" i="10"/>
  <c r="C44" i="82"/>
  <c r="C44" i="10"/>
  <c r="C44" i="11"/>
  <c r="C44" i="37"/>
  <c r="I44" i="18"/>
  <c r="C44" i="36"/>
  <c r="C44" i="29"/>
  <c r="F44" i="18"/>
  <c r="C44" i="18"/>
  <c r="E44" i="38"/>
  <c r="I44" i="26"/>
  <c r="C44" i="34"/>
  <c r="C44" i="7"/>
  <c r="C44" i="27"/>
  <c r="C44" i="76" s="1"/>
  <c r="I44" i="9"/>
  <c r="C44" i="9"/>
  <c r="I44" i="25"/>
  <c r="I44" i="28"/>
  <c r="G44" i="36"/>
  <c r="C44" i="28"/>
  <c r="E44" i="19"/>
  <c r="F44" i="54"/>
  <c r="I44" i="54"/>
  <c r="I17" i="20"/>
  <c r="F17" i="28"/>
  <c r="I17" i="10"/>
  <c r="F17" i="8"/>
  <c r="F17" i="26"/>
  <c r="E17" i="25"/>
  <c r="C17" i="7"/>
  <c r="I17" i="25"/>
  <c r="C17" i="26"/>
  <c r="F17" i="11"/>
  <c r="E17" i="37"/>
  <c r="C17" i="19"/>
  <c r="E17" i="19"/>
  <c r="C17" i="38"/>
  <c r="C17" i="9"/>
  <c r="C17" i="28"/>
  <c r="I17" i="11"/>
  <c r="I17" i="26"/>
  <c r="C17" i="35"/>
  <c r="E17" i="35"/>
  <c r="C17" i="18"/>
  <c r="F17" i="18"/>
  <c r="C17" i="29"/>
  <c r="C17" i="27"/>
  <c r="C17" i="76" s="1"/>
  <c r="E17" i="38"/>
  <c r="C17" i="8"/>
  <c r="C17" i="25"/>
  <c r="F17" i="9"/>
  <c r="G17" i="25"/>
  <c r="C17" i="82"/>
  <c r="E17" i="82"/>
  <c r="E17" i="36"/>
  <c r="C17" i="37"/>
  <c r="C17" i="36"/>
  <c r="G17" i="36"/>
  <c r="F17" i="20"/>
  <c r="F17" i="5"/>
  <c r="D17" i="6" s="1"/>
  <c r="G17" i="34"/>
  <c r="C17" i="34"/>
  <c r="C17" i="11"/>
  <c r="C17" i="10"/>
  <c r="F17" i="10"/>
  <c r="I17" i="9"/>
  <c r="E17" i="34"/>
  <c r="F17" i="29"/>
  <c r="C17" i="20"/>
  <c r="I17" i="18"/>
  <c r="I17" i="28"/>
  <c r="H17" i="19"/>
  <c r="F17" i="54"/>
  <c r="I17" i="54"/>
  <c r="E20" i="76"/>
  <c r="D20" i="54"/>
  <c r="E32" i="76"/>
  <c r="D32" i="54"/>
  <c r="J29" i="54"/>
  <c r="G12" i="54"/>
  <c r="D45" i="54"/>
  <c r="E45" i="76"/>
  <c r="I16" i="20"/>
  <c r="F16" i="10"/>
  <c r="E16" i="34"/>
  <c r="G16" i="25"/>
  <c r="C16" i="25"/>
  <c r="C16" i="10"/>
  <c r="C16" i="19"/>
  <c r="I16" i="28"/>
  <c r="F16" i="18"/>
  <c r="E16" i="38"/>
  <c r="F16" i="11"/>
  <c r="C16" i="9"/>
  <c r="F16" i="8"/>
  <c r="E16" i="35"/>
  <c r="I16" i="9"/>
  <c r="C16" i="37"/>
  <c r="C16" i="36"/>
  <c r="I16" i="18"/>
  <c r="H16" i="19"/>
  <c r="C16" i="38"/>
  <c r="C16" i="35"/>
  <c r="C16" i="82"/>
  <c r="E16" i="82"/>
  <c r="C16" i="18"/>
  <c r="G16" i="36"/>
  <c r="C16" i="20"/>
  <c r="C16" i="34"/>
  <c r="F16" i="5"/>
  <c r="D16" i="6" s="1"/>
  <c r="C16" i="11"/>
  <c r="F16" i="26"/>
  <c r="I16" i="25"/>
  <c r="C16" i="27"/>
  <c r="C16" i="76" s="1"/>
  <c r="F16" i="9"/>
  <c r="C16" i="29"/>
  <c r="E16" i="36"/>
  <c r="E16" i="37"/>
  <c r="F16" i="20"/>
  <c r="E41" i="38"/>
  <c r="F41" i="10"/>
  <c r="F41" i="8"/>
  <c r="I41" i="10"/>
  <c r="F41" i="26"/>
  <c r="C41" i="82"/>
  <c r="C41" i="34"/>
  <c r="E41" i="34"/>
  <c r="I41" i="18"/>
  <c r="E41" i="37"/>
  <c r="E41" i="19"/>
  <c r="C41" i="18"/>
  <c r="F41" i="5"/>
  <c r="D41" i="6" s="1"/>
  <c r="G41" i="34"/>
  <c r="C41" i="35"/>
  <c r="C41" i="10"/>
  <c r="E41" i="35"/>
  <c r="C41" i="9"/>
  <c r="F41" i="28"/>
  <c r="G41" i="36"/>
  <c r="C41" i="26"/>
  <c r="C41" i="36"/>
  <c r="I41" i="28"/>
  <c r="F41" i="20"/>
  <c r="I41" i="11"/>
  <c r="I41" i="20"/>
  <c r="I41" i="26"/>
  <c r="C41" i="25"/>
  <c r="E41" i="25"/>
  <c r="C41" i="27"/>
  <c r="C41" i="76" s="1"/>
  <c r="C41" i="11"/>
  <c r="F41" i="11"/>
  <c r="C41" i="19"/>
  <c r="F41" i="29"/>
  <c r="C41" i="28"/>
  <c r="C41" i="8"/>
  <c r="H41" i="19"/>
  <c r="F41" i="18"/>
  <c r="C41" i="38"/>
  <c r="F41" i="9"/>
  <c r="I41" i="9"/>
  <c r="G41" i="25"/>
  <c r="C41" i="7"/>
  <c r="I41" i="25"/>
  <c r="E41" i="82"/>
  <c r="C41" i="37"/>
  <c r="E41" i="36"/>
  <c r="C41" i="29"/>
  <c r="C41" i="20"/>
  <c r="H50" i="19"/>
  <c r="C50" i="38"/>
  <c r="F50" i="9"/>
  <c r="C50" i="82"/>
  <c r="F50" i="10"/>
  <c r="I50" i="28"/>
  <c r="C50" i="10"/>
  <c r="E50" i="82"/>
  <c r="I50" i="11"/>
  <c r="F50" i="29"/>
  <c r="C50" i="36"/>
  <c r="F50" i="20"/>
  <c r="C50" i="29"/>
  <c r="E50" i="38"/>
  <c r="C50" i="25"/>
  <c r="G50" i="34"/>
  <c r="C50" i="35"/>
  <c r="C50" i="7"/>
  <c r="I50" i="26"/>
  <c r="I50" i="9"/>
  <c r="C50" i="8"/>
  <c r="G50" i="36"/>
  <c r="C50" i="34"/>
  <c r="C50" i="37"/>
  <c r="C50" i="28"/>
  <c r="C50" i="27"/>
  <c r="C50" i="76" s="1"/>
  <c r="F50" i="5"/>
  <c r="D50" i="6" s="1"/>
  <c r="E50" i="35"/>
  <c r="E50" i="25"/>
  <c r="F50" i="26"/>
  <c r="G50" i="25"/>
  <c r="I50" i="25"/>
  <c r="I50" i="10"/>
  <c r="C50" i="9"/>
  <c r="C50" i="19"/>
  <c r="F50" i="28"/>
  <c r="I50" i="18"/>
  <c r="E50" i="19"/>
  <c r="F50" i="18"/>
  <c r="I50" i="20"/>
  <c r="F50" i="11"/>
  <c r="F50" i="8"/>
  <c r="E50" i="34"/>
  <c r="C50" i="11"/>
  <c r="E50" i="37"/>
  <c r="E50" i="36"/>
  <c r="C50" i="26"/>
  <c r="C50" i="18"/>
  <c r="C50" i="20"/>
  <c r="E35" i="35"/>
  <c r="I35" i="20"/>
  <c r="E35" i="82"/>
  <c r="C35" i="20"/>
  <c r="E35" i="25"/>
  <c r="I35" i="9"/>
  <c r="C35" i="10"/>
  <c r="E35" i="34"/>
  <c r="G35" i="36"/>
  <c r="C35" i="18"/>
  <c r="F35" i="28"/>
  <c r="C35" i="26"/>
  <c r="F35" i="18"/>
  <c r="H35" i="19"/>
  <c r="E35" i="38"/>
  <c r="C35" i="7"/>
  <c r="C35" i="27"/>
  <c r="C35" i="76" s="1"/>
  <c r="G35" i="25"/>
  <c r="C35" i="25"/>
  <c r="C35" i="9"/>
  <c r="C35" i="34"/>
  <c r="E35" i="36"/>
  <c r="E35" i="37"/>
  <c r="I35" i="11"/>
  <c r="F35" i="20"/>
  <c r="C35" i="38"/>
  <c r="F35" i="11"/>
  <c r="C35" i="11"/>
  <c r="G35" i="34"/>
  <c r="F35" i="26"/>
  <c r="I35" i="10"/>
  <c r="F35" i="8"/>
  <c r="I35" i="18"/>
  <c r="C35" i="19"/>
  <c r="C35" i="37"/>
  <c r="I35" i="28"/>
  <c r="E35" i="19"/>
  <c r="F35" i="5"/>
  <c r="D35" i="6" s="1"/>
  <c r="C35" i="35"/>
  <c r="F35" i="9"/>
  <c r="C35" i="82"/>
  <c r="I35" i="26"/>
  <c r="F35" i="10"/>
  <c r="C35" i="8"/>
  <c r="I35" i="25"/>
  <c r="C35" i="29"/>
  <c r="C35" i="36"/>
  <c r="C35" i="28"/>
  <c r="F35" i="29"/>
  <c r="D21" i="54"/>
  <c r="E21" i="76"/>
  <c r="F30" i="5"/>
  <c r="D30" i="6" s="1"/>
  <c r="F30" i="26"/>
  <c r="E30" i="34"/>
  <c r="F30" i="28"/>
  <c r="F30" i="10"/>
  <c r="F30" i="11"/>
  <c r="F30" i="9"/>
  <c r="I30" i="28"/>
  <c r="I30" i="18"/>
  <c r="E30" i="37"/>
  <c r="G30" i="36"/>
  <c r="E30" i="36"/>
  <c r="C30" i="8"/>
  <c r="I30" i="20"/>
  <c r="I30" i="26"/>
  <c r="E30" i="35"/>
  <c r="I30" i="25"/>
  <c r="E30" i="25"/>
  <c r="C30" i="10"/>
  <c r="F30" i="8"/>
  <c r="C30" i="18"/>
  <c r="F30" i="18"/>
  <c r="F30" i="29"/>
  <c r="C30" i="26"/>
  <c r="E30" i="19"/>
  <c r="C30" i="38"/>
  <c r="C30" i="27"/>
  <c r="C30" i="76" s="1"/>
  <c r="I30" i="9"/>
  <c r="G30" i="34"/>
  <c r="C30" i="7"/>
  <c r="C30" i="35"/>
  <c r="C30" i="34"/>
  <c r="C30" i="36"/>
  <c r="C30" i="37"/>
  <c r="C30" i="19"/>
  <c r="H30" i="19"/>
  <c r="E30" i="38"/>
  <c r="E30" i="82"/>
  <c r="C30" i="82"/>
  <c r="G30" i="25"/>
  <c r="C30" i="9"/>
  <c r="C30" i="11"/>
  <c r="I30" i="10"/>
  <c r="C30" i="25"/>
  <c r="C30" i="29"/>
  <c r="C30" i="28"/>
  <c r="I30" i="11"/>
  <c r="C30" i="20"/>
  <c r="F30" i="20"/>
  <c r="D39" i="54"/>
  <c r="E39" i="76"/>
  <c r="D43" i="54"/>
  <c r="E43" i="76"/>
  <c r="J24" i="54"/>
  <c r="I24" i="54"/>
  <c r="G30" i="76"/>
  <c r="F30" i="76"/>
  <c r="G16" i="76"/>
  <c r="F16" i="76"/>
  <c r="F15" i="6"/>
  <c r="E15" i="6"/>
  <c r="C15" i="78" s="1"/>
  <c r="L45" i="2"/>
  <c r="C45" i="5" s="1"/>
  <c r="D45" i="5" s="1"/>
  <c r="C50" i="54"/>
  <c r="C48" i="2"/>
  <c r="F42" i="54"/>
  <c r="I41" i="54"/>
  <c r="D48" i="2"/>
  <c r="I35" i="54"/>
  <c r="D25" i="54"/>
  <c r="E25" i="76"/>
  <c r="C25" i="54"/>
  <c r="D46" i="54"/>
  <c r="E46" i="76"/>
  <c r="E44" i="76"/>
  <c r="D44" i="54"/>
  <c r="C44" i="54"/>
  <c r="D14" i="54"/>
  <c r="E14" i="76"/>
  <c r="C14" i="54"/>
  <c r="J25" i="54"/>
  <c r="I25" i="54"/>
  <c r="D31" i="54"/>
  <c r="E31" i="76"/>
  <c r="C31" i="54"/>
  <c r="G13" i="54"/>
  <c r="F13" i="54"/>
  <c r="F42" i="5"/>
  <c r="D42" i="6" s="1"/>
  <c r="F42" i="28"/>
  <c r="C42" i="35"/>
  <c r="F42" i="8"/>
  <c r="C42" i="9"/>
  <c r="F42" i="11"/>
  <c r="G42" i="34"/>
  <c r="C42" i="26"/>
  <c r="C42" i="37"/>
  <c r="F42" i="29"/>
  <c r="C42" i="29"/>
  <c r="C42" i="18"/>
  <c r="C42" i="20"/>
  <c r="I42" i="20"/>
  <c r="C42" i="11"/>
  <c r="C42" i="82"/>
  <c r="C42" i="25"/>
  <c r="F42" i="26"/>
  <c r="I42" i="10"/>
  <c r="I42" i="9"/>
  <c r="C42" i="34"/>
  <c r="I42" i="18"/>
  <c r="C42" i="27"/>
  <c r="C42" i="76" s="1"/>
  <c r="C42" i="19"/>
  <c r="F42" i="20"/>
  <c r="E42" i="38"/>
  <c r="E42" i="37"/>
  <c r="C42" i="8"/>
  <c r="E42" i="82"/>
  <c r="E42" i="35"/>
  <c r="F42" i="18"/>
  <c r="G42" i="36"/>
  <c r="I42" i="11"/>
  <c r="C42" i="36"/>
  <c r="C42" i="28"/>
  <c r="H42" i="19"/>
  <c r="C42" i="38"/>
  <c r="I42" i="25"/>
  <c r="E42" i="34"/>
  <c r="E42" i="25"/>
  <c r="C42" i="10"/>
  <c r="G42" i="25"/>
  <c r="I42" i="26"/>
  <c r="F42" i="10"/>
  <c r="C42" i="7"/>
  <c r="E42" i="36"/>
  <c r="F42" i="9"/>
  <c r="I42" i="28"/>
  <c r="E42" i="19"/>
  <c r="E28" i="76"/>
  <c r="D28" i="54"/>
  <c r="C28" i="54"/>
  <c r="E26" i="76"/>
  <c r="D26" i="54"/>
  <c r="C26" i="54"/>
  <c r="D40" i="54"/>
  <c r="E40" i="76"/>
  <c r="C13" i="38"/>
  <c r="G13" i="36"/>
  <c r="C13" i="28"/>
  <c r="E13" i="35"/>
  <c r="I13" i="10"/>
  <c r="I13" i="26"/>
  <c r="E13" i="37"/>
  <c r="E13" i="36"/>
  <c r="C13" i="27"/>
  <c r="C13" i="76" s="1"/>
  <c r="F13" i="20"/>
  <c r="F13" i="18"/>
  <c r="E13" i="38"/>
  <c r="F13" i="10"/>
  <c r="I13" i="9"/>
  <c r="F13" i="9"/>
  <c r="I13" i="11"/>
  <c r="C13" i="7"/>
  <c r="E13" i="82"/>
  <c r="C13" i="82"/>
  <c r="C13" i="19"/>
  <c r="C13" i="35"/>
  <c r="E13" i="19"/>
  <c r="I13" i="28"/>
  <c r="I13" i="18"/>
  <c r="F13" i="5"/>
  <c r="D13" i="6" s="1"/>
  <c r="C13" i="11"/>
  <c r="E13" i="25"/>
  <c r="C13" i="25"/>
  <c r="F13" i="26"/>
  <c r="G13" i="25"/>
  <c r="C13" i="8"/>
  <c r="C13" i="29"/>
  <c r="C13" i="37"/>
  <c r="C13" i="36"/>
  <c r="C13" i="34"/>
  <c r="C13" i="18"/>
  <c r="C13" i="20"/>
  <c r="I13" i="20"/>
  <c r="I13" i="25"/>
  <c r="C13" i="9"/>
  <c r="G13" i="34"/>
  <c r="C13" i="26"/>
  <c r="F13" i="8"/>
  <c r="E13" i="34"/>
  <c r="F13" i="28"/>
  <c r="F13" i="11"/>
  <c r="C13" i="10"/>
  <c r="F13" i="29"/>
  <c r="H13" i="19"/>
  <c r="G42" i="76"/>
  <c r="F42" i="76"/>
  <c r="F22" i="6"/>
  <c r="E51" i="6"/>
  <c r="F35" i="54"/>
  <c r="F55" i="2"/>
  <c r="C30" i="54"/>
  <c r="E24" i="76"/>
  <c r="D36" i="54"/>
  <c r="E36" i="76"/>
  <c r="D34" i="54"/>
  <c r="E34" i="76"/>
  <c r="C34" i="54"/>
  <c r="J12" i="54"/>
  <c r="D51" i="54"/>
  <c r="E51" i="76"/>
  <c r="C51" i="54"/>
  <c r="D13" i="54"/>
  <c r="E13" i="76"/>
  <c r="C13" i="54"/>
  <c r="G18" i="76"/>
  <c r="D11" i="5"/>
  <c r="L20" i="2"/>
  <c r="C20" i="5" s="1"/>
  <c r="D20" i="5" s="1"/>
  <c r="C20" i="54" s="1"/>
  <c r="L32" i="2"/>
  <c r="C32" i="5" s="1"/>
  <c r="D32" i="5" s="1"/>
  <c r="L40" i="2"/>
  <c r="C40" i="5" s="1"/>
  <c r="D40" i="5" s="1"/>
  <c r="C40" i="54" s="1"/>
  <c r="F41" i="54"/>
  <c r="F50" i="54"/>
  <c r="F30" i="54"/>
  <c r="C42" i="54"/>
  <c r="I30" i="54"/>
  <c r="I48" i="2"/>
  <c r="D41" i="54"/>
  <c r="E41" i="76"/>
  <c r="C41" i="54"/>
  <c r="D23" i="54"/>
  <c r="E23" i="76"/>
  <c r="D35" i="54"/>
  <c r="E35" i="76"/>
  <c r="C35" i="54"/>
  <c r="J13" i="54"/>
  <c r="I13" i="54"/>
  <c r="D15" i="54"/>
  <c r="E15" i="76"/>
  <c r="C15" i="54"/>
  <c r="E33" i="76"/>
  <c r="D33" i="54"/>
  <c r="C28" i="38"/>
  <c r="C28" i="7"/>
  <c r="E28" i="25"/>
  <c r="E28" i="35"/>
  <c r="C28" i="27"/>
  <c r="C28" i="76" s="1"/>
  <c r="F28" i="28"/>
  <c r="C28" i="82"/>
  <c r="E28" i="36"/>
  <c r="C28" i="28"/>
  <c r="C28" i="19"/>
  <c r="I28" i="18"/>
  <c r="H28" i="19"/>
  <c r="E28" i="38"/>
  <c r="C28" i="11"/>
  <c r="I28" i="25"/>
  <c r="G28" i="34"/>
  <c r="C28" i="10"/>
  <c r="E28" i="34"/>
  <c r="G28" i="36"/>
  <c r="C28" i="34"/>
  <c r="C28" i="29"/>
  <c r="C28" i="36"/>
  <c r="F28" i="20"/>
  <c r="F28" i="5"/>
  <c r="D28" i="6" s="1"/>
  <c r="I28" i="26"/>
  <c r="C28" i="8"/>
  <c r="F28" i="29"/>
  <c r="G28" i="25"/>
  <c r="C28" i="35"/>
  <c r="F28" i="10"/>
  <c r="C28" i="25"/>
  <c r="C28" i="26"/>
  <c r="I28" i="11"/>
  <c r="C28" i="37"/>
  <c r="C28" i="20"/>
  <c r="F28" i="18"/>
  <c r="F28" i="9"/>
  <c r="I28" i="20"/>
  <c r="F28" i="11"/>
  <c r="I28" i="9"/>
  <c r="F28" i="8"/>
  <c r="E28" i="82"/>
  <c r="C28" i="9"/>
  <c r="F28" i="26"/>
  <c r="I28" i="10"/>
  <c r="E28" i="37"/>
  <c r="C28" i="18"/>
  <c r="E28" i="19"/>
  <c r="I28" i="28"/>
  <c r="D17" i="54"/>
  <c r="E17" i="76"/>
  <c r="C17" i="54"/>
  <c r="J55" i="2"/>
  <c r="D37" i="54"/>
  <c r="E37" i="76"/>
  <c r="C37" i="54"/>
  <c r="D29" i="54"/>
  <c r="E29" i="76"/>
  <c r="G50" i="76"/>
  <c r="F50" i="76"/>
  <c r="G38" i="76"/>
  <c r="F38" i="76"/>
  <c r="F25" i="5"/>
  <c r="D25" i="6" s="1"/>
  <c r="I25" i="26"/>
  <c r="G25" i="34"/>
  <c r="C25" i="7"/>
  <c r="F25" i="8"/>
  <c r="I25" i="9"/>
  <c r="C25" i="10"/>
  <c r="G25" i="25"/>
  <c r="C25" i="29"/>
  <c r="C25" i="9"/>
  <c r="C25" i="26"/>
  <c r="C25" i="28"/>
  <c r="C25" i="18"/>
  <c r="H25" i="19"/>
  <c r="I25" i="20"/>
  <c r="F25" i="26"/>
  <c r="C25" i="27"/>
  <c r="C25" i="76" s="1"/>
  <c r="E25" i="25"/>
  <c r="F25" i="11"/>
  <c r="F25" i="10"/>
  <c r="I25" i="11"/>
  <c r="I25" i="18"/>
  <c r="C25" i="20"/>
  <c r="F25" i="29"/>
  <c r="C25" i="38"/>
  <c r="C25" i="8"/>
  <c r="E25" i="82"/>
  <c r="E25" i="34"/>
  <c r="C25" i="35"/>
  <c r="I25" i="10"/>
  <c r="C25" i="82"/>
  <c r="C25" i="36"/>
  <c r="I25" i="28"/>
  <c r="E25" i="37"/>
  <c r="G25" i="36"/>
  <c r="C25" i="19"/>
  <c r="F25" i="20"/>
  <c r="E25" i="38"/>
  <c r="F25" i="9"/>
  <c r="I25" i="25"/>
  <c r="E25" i="35"/>
  <c r="F25" i="28"/>
  <c r="C25" i="11"/>
  <c r="C25" i="34"/>
  <c r="C25" i="37"/>
  <c r="E25" i="36"/>
  <c r="C25" i="25"/>
  <c r="F25" i="18"/>
  <c r="E25" i="19"/>
  <c r="G27" i="76"/>
  <c r="F27" i="76"/>
  <c r="I28" i="54"/>
  <c r="F16" i="54"/>
  <c r="I50" i="54"/>
  <c r="E12" i="76"/>
  <c r="E55" i="2"/>
  <c r="H55" i="2"/>
  <c r="E11" i="78"/>
  <c r="E36" i="78"/>
  <c r="E32" i="78"/>
  <c r="E20" i="78"/>
  <c r="E42" i="78"/>
  <c r="E16" i="78"/>
  <c r="K55" i="2"/>
  <c r="X14" i="2"/>
  <c r="C12" i="25" l="1"/>
  <c r="C46" i="29"/>
  <c r="C16" i="54"/>
  <c r="I16" i="54"/>
  <c r="C39" i="7"/>
  <c r="I16" i="11"/>
  <c r="C16" i="8"/>
  <c r="E16" i="25"/>
  <c r="F16" i="28"/>
  <c r="I16" i="10"/>
  <c r="C16" i="26"/>
  <c r="F16" i="29"/>
  <c r="C16" i="7"/>
  <c r="G16" i="34"/>
  <c r="E16" i="19"/>
  <c r="C16" i="28"/>
  <c r="G37" i="36"/>
  <c r="I43" i="54"/>
  <c r="C21" i="36"/>
  <c r="I46" i="9"/>
  <c r="I39" i="25"/>
  <c r="I12" i="25"/>
  <c r="F37" i="20"/>
  <c r="F43" i="18"/>
  <c r="C43" i="38"/>
  <c r="F36" i="20"/>
  <c r="G36" i="36"/>
  <c r="H36" i="19"/>
  <c r="F31" i="6"/>
  <c r="C29" i="54"/>
  <c r="C29" i="18"/>
  <c r="I36" i="10"/>
  <c r="C18" i="37"/>
  <c r="I29" i="10"/>
  <c r="C36" i="7"/>
  <c r="C39" i="28"/>
  <c r="E39" i="25"/>
  <c r="F12" i="8"/>
  <c r="I12" i="18"/>
  <c r="C43" i="27"/>
  <c r="C43" i="76" s="1"/>
  <c r="C43" i="36"/>
  <c r="I21" i="18"/>
  <c r="F46" i="11"/>
  <c r="C46" i="10"/>
  <c r="I12" i="54"/>
  <c r="C39" i="35"/>
  <c r="I12" i="20"/>
  <c r="F43" i="5"/>
  <c r="D43" i="6" s="1"/>
  <c r="F43" i="6" s="1"/>
  <c r="G46" i="36"/>
  <c r="C39" i="19"/>
  <c r="I12" i="9"/>
  <c r="C43" i="20"/>
  <c r="C43" i="25"/>
  <c r="F21" i="26"/>
  <c r="F46" i="10"/>
  <c r="C18" i="25"/>
  <c r="C18" i="34"/>
  <c r="F29" i="5"/>
  <c r="D29" i="6" s="1"/>
  <c r="F29" i="6" s="1"/>
  <c r="G29" i="34"/>
  <c r="C36" i="34"/>
  <c r="G36" i="25"/>
  <c r="I36" i="9"/>
  <c r="C36" i="20"/>
  <c r="C36" i="36"/>
  <c r="F18" i="28"/>
  <c r="C18" i="35"/>
  <c r="C36" i="54"/>
  <c r="I29" i="11"/>
  <c r="F29" i="10"/>
  <c r="E36" i="35"/>
  <c r="F36" i="18"/>
  <c r="E36" i="25"/>
  <c r="I36" i="18"/>
  <c r="G36" i="34"/>
  <c r="F36" i="54"/>
  <c r="I36" i="25"/>
  <c r="F36" i="28"/>
  <c r="I36" i="26"/>
  <c r="F37" i="18"/>
  <c r="F38" i="6"/>
  <c r="C39" i="10"/>
  <c r="C39" i="37"/>
  <c r="E39" i="19"/>
  <c r="C39" i="11"/>
  <c r="C39" i="36"/>
  <c r="F39" i="8"/>
  <c r="C12" i="27"/>
  <c r="C12" i="76" s="1"/>
  <c r="E12" i="34"/>
  <c r="I12" i="28"/>
  <c r="F12" i="9"/>
  <c r="F12" i="28"/>
  <c r="I12" i="11"/>
  <c r="C43" i="18"/>
  <c r="C43" i="29"/>
  <c r="G43" i="34"/>
  <c r="C43" i="37"/>
  <c r="E43" i="35"/>
  <c r="C43" i="34"/>
  <c r="C21" i="18"/>
  <c r="E21" i="36"/>
  <c r="C21" i="27"/>
  <c r="C21" i="76" s="1"/>
  <c r="F21" i="5"/>
  <c r="D21" i="6" s="1"/>
  <c r="E21" i="6" s="1"/>
  <c r="C21" i="78" s="1"/>
  <c r="E46" i="19"/>
  <c r="E46" i="25"/>
  <c r="I46" i="28"/>
  <c r="I46" i="20"/>
  <c r="C46" i="82"/>
  <c r="C46" i="28"/>
  <c r="E46" i="38"/>
  <c r="C37" i="20"/>
  <c r="C37" i="8"/>
  <c r="F39" i="29"/>
  <c r="E39" i="34"/>
  <c r="C39" i="34"/>
  <c r="G39" i="36"/>
  <c r="C39" i="8"/>
  <c r="C39" i="82"/>
  <c r="E12" i="82"/>
  <c r="C12" i="18"/>
  <c r="E12" i="35"/>
  <c r="C12" i="37"/>
  <c r="C12" i="19"/>
  <c r="C12" i="9"/>
  <c r="I43" i="26"/>
  <c r="C43" i="26"/>
  <c r="F43" i="11"/>
  <c r="C43" i="28"/>
  <c r="I43" i="11"/>
  <c r="E43" i="25"/>
  <c r="C21" i="29"/>
  <c r="G21" i="36"/>
  <c r="I21" i="20"/>
  <c r="E46" i="34"/>
  <c r="C46" i="38"/>
  <c r="E46" i="35"/>
  <c r="C46" i="19"/>
  <c r="E46" i="82"/>
  <c r="C46" i="8"/>
  <c r="C37" i="26"/>
  <c r="F37" i="9"/>
  <c r="E37" i="36"/>
  <c r="C39" i="25"/>
  <c r="C39" i="26"/>
  <c r="I39" i="20"/>
  <c r="E39" i="35"/>
  <c r="F39" i="20"/>
  <c r="F39" i="28"/>
  <c r="C12" i="36"/>
  <c r="C12" i="35"/>
  <c r="C12" i="34"/>
  <c r="C12" i="28"/>
  <c r="G12" i="34"/>
  <c r="C12" i="10"/>
  <c r="E43" i="37"/>
  <c r="E43" i="82"/>
  <c r="I43" i="25"/>
  <c r="C43" i="19"/>
  <c r="E43" i="38"/>
  <c r="C43" i="35"/>
  <c r="I21" i="25"/>
  <c r="C21" i="26"/>
  <c r="F21" i="11"/>
  <c r="I46" i="54"/>
  <c r="I46" i="11"/>
  <c r="F46" i="28"/>
  <c r="C46" i="34"/>
  <c r="C46" i="35"/>
  <c r="F46" i="29"/>
  <c r="I46" i="26"/>
  <c r="I37" i="54"/>
  <c r="C37" i="18"/>
  <c r="C37" i="11"/>
  <c r="I37" i="28"/>
  <c r="G37" i="34"/>
  <c r="C37" i="27"/>
  <c r="C37" i="76" s="1"/>
  <c r="F37" i="28"/>
  <c r="F37" i="26"/>
  <c r="C37" i="35"/>
  <c r="E37" i="82"/>
  <c r="F37" i="54"/>
  <c r="C37" i="29"/>
  <c r="C37" i="7"/>
  <c r="E37" i="37"/>
  <c r="E37" i="34"/>
  <c r="C37" i="38"/>
  <c r="F37" i="29"/>
  <c r="I37" i="25"/>
  <c r="C37" i="9"/>
  <c r="F37" i="5"/>
  <c r="D37" i="6" s="1"/>
  <c r="E37" i="6" s="1"/>
  <c r="C37" i="78" s="1"/>
  <c r="H37" i="19"/>
  <c r="C37" i="37"/>
  <c r="F37" i="8"/>
  <c r="C37" i="36"/>
  <c r="C37" i="82"/>
  <c r="E37" i="19"/>
  <c r="E37" i="25"/>
  <c r="I37" i="11"/>
  <c r="I37" i="20"/>
  <c r="I33" i="20"/>
  <c r="E37" i="38"/>
  <c r="C37" i="25"/>
  <c r="I37" i="10"/>
  <c r="I37" i="18"/>
  <c r="G37" i="25"/>
  <c r="F37" i="10"/>
  <c r="C37" i="19"/>
  <c r="E37" i="35"/>
  <c r="C37" i="10"/>
  <c r="C37" i="28"/>
  <c r="C37" i="34"/>
  <c r="I37" i="9"/>
  <c r="F33" i="10"/>
  <c r="E33" i="36"/>
  <c r="F33" i="26"/>
  <c r="E33" i="34"/>
  <c r="F33" i="5"/>
  <c r="D33" i="6" s="1"/>
  <c r="F33" i="6" s="1"/>
  <c r="C33" i="37"/>
  <c r="C33" i="27"/>
  <c r="C33" i="76" s="1"/>
  <c r="F18" i="54"/>
  <c r="C18" i="18"/>
  <c r="E18" i="35"/>
  <c r="I18" i="26"/>
  <c r="I18" i="9"/>
  <c r="C18" i="27"/>
  <c r="C18" i="76" s="1"/>
  <c r="I18" i="25"/>
  <c r="F29" i="26"/>
  <c r="C29" i="9"/>
  <c r="E29" i="38"/>
  <c r="C29" i="7"/>
  <c r="H29" i="19"/>
  <c r="I29" i="26"/>
  <c r="C29" i="82"/>
  <c r="I36" i="20"/>
  <c r="C36" i="9"/>
  <c r="C36" i="19"/>
  <c r="C36" i="38"/>
  <c r="C36" i="8"/>
  <c r="C36" i="18"/>
  <c r="E36" i="38"/>
  <c r="F36" i="9"/>
  <c r="C36" i="10"/>
  <c r="E36" i="19"/>
  <c r="F36" i="11"/>
  <c r="F36" i="26"/>
  <c r="F36" i="29"/>
  <c r="I36" i="54"/>
  <c r="E36" i="34"/>
  <c r="C36" i="28"/>
  <c r="F36" i="10"/>
  <c r="C36" i="11"/>
  <c r="C36" i="37"/>
  <c r="C36" i="27"/>
  <c r="C36" i="76" s="1"/>
  <c r="F36" i="8"/>
  <c r="C36" i="26"/>
  <c r="I36" i="11"/>
  <c r="E36" i="37"/>
  <c r="E36" i="36"/>
  <c r="F36" i="5"/>
  <c r="D36" i="6" s="1"/>
  <c r="E36" i="6" s="1"/>
  <c r="C36" i="78" s="1"/>
  <c r="E36" i="82"/>
  <c r="C36" i="29"/>
  <c r="C36" i="82"/>
  <c r="I36" i="28"/>
  <c r="C36" i="35"/>
  <c r="C12" i="54"/>
  <c r="F43" i="54"/>
  <c r="C43" i="54"/>
  <c r="C39" i="54"/>
  <c r="C21" i="54"/>
  <c r="E39" i="37"/>
  <c r="F39" i="11"/>
  <c r="C39" i="38"/>
  <c r="C39" i="27"/>
  <c r="C39" i="76" s="1"/>
  <c r="G39" i="25"/>
  <c r="C39" i="29"/>
  <c r="E39" i="36"/>
  <c r="I39" i="9"/>
  <c r="F39" i="5"/>
  <c r="D39" i="6" s="1"/>
  <c r="E39" i="6" s="1"/>
  <c r="C39" i="78" s="1"/>
  <c r="I39" i="18"/>
  <c r="F39" i="10"/>
  <c r="F39" i="26"/>
  <c r="F12" i="29"/>
  <c r="G12" i="25"/>
  <c r="G12" i="36"/>
  <c r="C12" i="38"/>
  <c r="I12" i="10"/>
  <c r="F12" i="10"/>
  <c r="C12" i="20"/>
  <c r="C12" i="82"/>
  <c r="C12" i="11"/>
  <c r="F12" i="5"/>
  <c r="D12" i="6" s="1"/>
  <c r="E12" i="6" s="1"/>
  <c r="C12" i="78" s="1"/>
  <c r="C12" i="29"/>
  <c r="F12" i="26"/>
  <c r="E12" i="38"/>
  <c r="F12" i="54"/>
  <c r="F43" i="29"/>
  <c r="F43" i="9"/>
  <c r="I43" i="10"/>
  <c r="F43" i="28"/>
  <c r="C43" i="11"/>
  <c r="C43" i="7"/>
  <c r="E43" i="19"/>
  <c r="E43" i="34"/>
  <c r="G43" i="25"/>
  <c r="F43" i="20"/>
  <c r="I43" i="28"/>
  <c r="C43" i="82"/>
  <c r="C21" i="28"/>
  <c r="C21" i="38"/>
  <c r="F21" i="10"/>
  <c r="C21" i="20"/>
  <c r="F21" i="29"/>
  <c r="C21" i="10"/>
  <c r="C46" i="20"/>
  <c r="E46" i="37"/>
  <c r="C46" i="27"/>
  <c r="C46" i="76" s="1"/>
  <c r="F46" i="18"/>
  <c r="C46" i="26"/>
  <c r="E46" i="36"/>
  <c r="H46" i="19"/>
  <c r="C46" i="11"/>
  <c r="I46" i="10"/>
  <c r="F46" i="5"/>
  <c r="D46" i="6" s="1"/>
  <c r="F46" i="6" s="1"/>
  <c r="C46" i="37"/>
  <c r="C46" i="7"/>
  <c r="F39" i="54"/>
  <c r="I39" i="54"/>
  <c r="C46" i="54"/>
  <c r="F39" i="18"/>
  <c r="I39" i="11"/>
  <c r="E39" i="82"/>
  <c r="C39" i="18"/>
  <c r="C39" i="9"/>
  <c r="F39" i="9"/>
  <c r="C39" i="20"/>
  <c r="I39" i="26"/>
  <c r="G39" i="34"/>
  <c r="H39" i="19"/>
  <c r="I39" i="28"/>
  <c r="I39" i="10"/>
  <c r="F12" i="18"/>
  <c r="E12" i="36"/>
  <c r="C12" i="26"/>
  <c r="E12" i="19"/>
  <c r="E12" i="37"/>
  <c r="C12" i="8"/>
  <c r="F12" i="20"/>
  <c r="C12" i="7"/>
  <c r="I12" i="26"/>
  <c r="H12" i="19"/>
  <c r="F12" i="11"/>
  <c r="E43" i="36"/>
  <c r="I43" i="9"/>
  <c r="I43" i="20"/>
  <c r="G43" i="36"/>
  <c r="F43" i="8"/>
  <c r="I43" i="18"/>
  <c r="H43" i="19"/>
  <c r="F43" i="10"/>
  <c r="F43" i="26"/>
  <c r="C43" i="9"/>
  <c r="C43" i="8"/>
  <c r="F21" i="54"/>
  <c r="G21" i="34"/>
  <c r="E21" i="19"/>
  <c r="F21" i="9"/>
  <c r="E21" i="35"/>
  <c r="C21" i="19"/>
  <c r="C21" i="9"/>
  <c r="F46" i="54"/>
  <c r="C46" i="36"/>
  <c r="C46" i="25"/>
  <c r="F46" i="26"/>
  <c r="I46" i="18"/>
  <c r="C46" i="9"/>
  <c r="G46" i="34"/>
  <c r="F46" i="20"/>
  <c r="F46" i="9"/>
  <c r="G46" i="25"/>
  <c r="C46" i="18"/>
  <c r="F46" i="8"/>
  <c r="E33" i="38"/>
  <c r="C23" i="37"/>
  <c r="I23" i="9"/>
  <c r="I23" i="10"/>
  <c r="G23" i="34"/>
  <c r="E23" i="35"/>
  <c r="F23" i="8"/>
  <c r="H33" i="19"/>
  <c r="E33" i="37"/>
  <c r="F33" i="11"/>
  <c r="C23" i="20"/>
  <c r="I23" i="25"/>
  <c r="I23" i="18"/>
  <c r="F23" i="5"/>
  <c r="D23" i="6" s="1"/>
  <c r="E23" i="6" s="1"/>
  <c r="C23" i="78" s="1"/>
  <c r="C23" i="7"/>
  <c r="E23" i="36"/>
  <c r="C23" i="38"/>
  <c r="F23" i="54"/>
  <c r="C23" i="27"/>
  <c r="C23" i="76" s="1"/>
  <c r="E23" i="37"/>
  <c r="F23" i="11"/>
  <c r="C23" i="82"/>
  <c r="C23" i="9"/>
  <c r="E23" i="82"/>
  <c r="E18" i="37"/>
  <c r="F18" i="10"/>
  <c r="E18" i="38"/>
  <c r="E18" i="34"/>
  <c r="G18" i="25"/>
  <c r="G18" i="34"/>
  <c r="G18" i="36"/>
  <c r="E18" i="82"/>
  <c r="C18" i="10"/>
  <c r="C18" i="26"/>
  <c r="F18" i="26"/>
  <c r="F18" i="11"/>
  <c r="E29" i="19"/>
  <c r="C29" i="36"/>
  <c r="C29" i="11"/>
  <c r="C29" i="28"/>
  <c r="I29" i="28"/>
  <c r="C29" i="34"/>
  <c r="F29" i="20"/>
  <c r="E29" i="36"/>
  <c r="E29" i="25"/>
  <c r="F29" i="18"/>
  <c r="C29" i="27"/>
  <c r="C29" i="76" s="1"/>
  <c r="E29" i="82"/>
  <c r="F33" i="20"/>
  <c r="G33" i="34"/>
  <c r="I33" i="9"/>
  <c r="C33" i="20"/>
  <c r="C33" i="18"/>
  <c r="C33" i="35"/>
  <c r="F33" i="29"/>
  <c r="C33" i="7"/>
  <c r="I33" i="26"/>
  <c r="C33" i="19"/>
  <c r="F33" i="9"/>
  <c r="C33" i="38"/>
  <c r="C18" i="54"/>
  <c r="C33" i="54"/>
  <c r="C18" i="36"/>
  <c r="F18" i="9"/>
  <c r="C18" i="9"/>
  <c r="C18" i="20"/>
  <c r="C18" i="7"/>
  <c r="F18" i="8"/>
  <c r="H18" i="19"/>
  <c r="E18" i="36"/>
  <c r="I18" i="10"/>
  <c r="F18" i="20"/>
  <c r="E18" i="25"/>
  <c r="C18" i="11"/>
  <c r="F18" i="76"/>
  <c r="C29" i="20"/>
  <c r="F29" i="8"/>
  <c r="E29" i="35"/>
  <c r="I29" i="18"/>
  <c r="I29" i="25"/>
  <c r="G29" i="25"/>
  <c r="C29" i="37"/>
  <c r="C29" i="10"/>
  <c r="C29" i="38"/>
  <c r="F29" i="29"/>
  <c r="C29" i="35"/>
  <c r="I29" i="20"/>
  <c r="I29" i="54"/>
  <c r="I33" i="54"/>
  <c r="I33" i="18"/>
  <c r="C33" i="10"/>
  <c r="G33" i="25"/>
  <c r="F33" i="18"/>
  <c r="I33" i="11"/>
  <c r="C33" i="8"/>
  <c r="C33" i="36"/>
  <c r="I33" i="25"/>
  <c r="E33" i="82"/>
  <c r="C33" i="25"/>
  <c r="C33" i="34"/>
  <c r="I18" i="54"/>
  <c r="E18" i="19"/>
  <c r="I18" i="28"/>
  <c r="C18" i="82"/>
  <c r="C18" i="19"/>
  <c r="I18" i="18"/>
  <c r="C18" i="8"/>
  <c r="I18" i="20"/>
  <c r="C18" i="29"/>
  <c r="I18" i="11"/>
  <c r="F18" i="5"/>
  <c r="D18" i="6" s="1"/>
  <c r="F18" i="6" s="1"/>
  <c r="F18" i="18"/>
  <c r="C18" i="28"/>
  <c r="C18" i="38"/>
  <c r="F29" i="54"/>
  <c r="C29" i="26"/>
  <c r="F29" i="9"/>
  <c r="C29" i="25"/>
  <c r="F29" i="28"/>
  <c r="C29" i="19"/>
  <c r="E29" i="34"/>
  <c r="C29" i="29"/>
  <c r="C29" i="8"/>
  <c r="F29" i="11"/>
  <c r="G29" i="36"/>
  <c r="I29" i="9"/>
  <c r="F33" i="54"/>
  <c r="F33" i="28"/>
  <c r="E33" i="35"/>
  <c r="I33" i="10"/>
  <c r="C33" i="28"/>
  <c r="G33" i="36"/>
  <c r="C33" i="29"/>
  <c r="I33" i="28"/>
  <c r="C33" i="11"/>
  <c r="F33" i="8"/>
  <c r="E33" i="19"/>
  <c r="C33" i="82"/>
  <c r="G55" i="2"/>
  <c r="I55" i="2"/>
  <c r="I21" i="54"/>
  <c r="E21" i="82"/>
  <c r="C21" i="82"/>
  <c r="E21" i="25"/>
  <c r="F21" i="18"/>
  <c r="F21" i="8"/>
  <c r="E21" i="38"/>
  <c r="E21" i="37"/>
  <c r="F21" i="28"/>
  <c r="C21" i="7"/>
  <c r="I21" i="28"/>
  <c r="C21" i="35"/>
  <c r="I21" i="26"/>
  <c r="F23" i="20"/>
  <c r="F23" i="29"/>
  <c r="E23" i="34"/>
  <c r="E23" i="19"/>
  <c r="C23" i="10"/>
  <c r="F23" i="26"/>
  <c r="H23" i="19"/>
  <c r="F23" i="18"/>
  <c r="C23" i="8"/>
  <c r="C23" i="34"/>
  <c r="C23" i="18"/>
  <c r="C23" i="11"/>
  <c r="C23" i="54"/>
  <c r="F21" i="20"/>
  <c r="C21" i="25"/>
  <c r="I21" i="9"/>
  <c r="H21" i="19"/>
  <c r="C21" i="34"/>
  <c r="C21" i="11"/>
  <c r="C21" i="37"/>
  <c r="E21" i="34"/>
  <c r="I21" i="11"/>
  <c r="C21" i="8"/>
  <c r="I21" i="10"/>
  <c r="I23" i="54"/>
  <c r="C23" i="19"/>
  <c r="C23" i="35"/>
  <c r="I23" i="20"/>
  <c r="C23" i="36"/>
  <c r="I23" i="11"/>
  <c r="C23" i="25"/>
  <c r="I23" i="28"/>
  <c r="E23" i="25"/>
  <c r="C23" i="28"/>
  <c r="C23" i="26"/>
  <c r="F23" i="9"/>
  <c r="E33" i="25"/>
  <c r="C33" i="9"/>
  <c r="G27" i="90"/>
  <c r="I27" i="90"/>
  <c r="E27" i="90"/>
  <c r="I22" i="90"/>
  <c r="G22" i="90"/>
  <c r="E22" i="90"/>
  <c r="E19" i="76"/>
  <c r="D19" i="54"/>
  <c r="C19" i="54"/>
  <c r="G29" i="76"/>
  <c r="F29" i="76"/>
  <c r="G17" i="76"/>
  <c r="F17" i="76"/>
  <c r="G15" i="76"/>
  <c r="F15" i="76"/>
  <c r="G23" i="76"/>
  <c r="F23" i="76"/>
  <c r="F40" i="9"/>
  <c r="I40" i="20"/>
  <c r="C40" i="35"/>
  <c r="C40" i="82"/>
  <c r="E40" i="25"/>
  <c r="F40" i="10"/>
  <c r="I40" i="10"/>
  <c r="C40" i="11"/>
  <c r="C40" i="28"/>
  <c r="I40" i="11"/>
  <c r="C40" i="29"/>
  <c r="G40" i="36"/>
  <c r="E40" i="19"/>
  <c r="C40" i="19"/>
  <c r="C40" i="38"/>
  <c r="F40" i="26"/>
  <c r="I40" i="9"/>
  <c r="G40" i="34"/>
  <c r="G40" i="25"/>
  <c r="F40" i="29"/>
  <c r="I40" i="25"/>
  <c r="C40" i="34"/>
  <c r="E40" i="37"/>
  <c r="C40" i="18"/>
  <c r="C40" i="36"/>
  <c r="H40" i="19"/>
  <c r="E40" i="38"/>
  <c r="F40" i="11"/>
  <c r="F40" i="28"/>
  <c r="F40" i="8"/>
  <c r="C40" i="10"/>
  <c r="E40" i="82"/>
  <c r="E40" i="34"/>
  <c r="E40" i="35"/>
  <c r="I40" i="28"/>
  <c r="F40" i="18"/>
  <c r="C40" i="25"/>
  <c r="I40" i="18"/>
  <c r="F40" i="20"/>
  <c r="F40" i="5"/>
  <c r="D40" i="6" s="1"/>
  <c r="C40" i="7"/>
  <c r="C40" i="8"/>
  <c r="I40" i="26"/>
  <c r="C40" i="9"/>
  <c r="C40" i="27"/>
  <c r="C40" i="76" s="1"/>
  <c r="C40" i="26"/>
  <c r="C40" i="37"/>
  <c r="E40" i="36"/>
  <c r="C40" i="20"/>
  <c r="F40" i="54"/>
  <c r="I40" i="54"/>
  <c r="G13" i="76"/>
  <c r="F13" i="76"/>
  <c r="G34" i="76"/>
  <c r="F34" i="76"/>
  <c r="G40" i="76"/>
  <c r="F40" i="76"/>
  <c r="G26" i="76"/>
  <c r="F26" i="76"/>
  <c r="E42" i="6"/>
  <c r="C42" i="78" s="1"/>
  <c r="F42" i="6"/>
  <c r="G31" i="76"/>
  <c r="F31" i="76"/>
  <c r="G25" i="76"/>
  <c r="F25" i="76"/>
  <c r="E45" i="38"/>
  <c r="E45" i="25"/>
  <c r="E45" i="34"/>
  <c r="I45" i="10"/>
  <c r="I45" i="9"/>
  <c r="G45" i="25"/>
  <c r="C45" i="37"/>
  <c r="C45" i="28"/>
  <c r="H45" i="19"/>
  <c r="I45" i="28"/>
  <c r="F45" i="5"/>
  <c r="D45" i="6" s="1"/>
  <c r="F45" i="10"/>
  <c r="F45" i="9"/>
  <c r="E45" i="82"/>
  <c r="C45" i="11"/>
  <c r="C45" i="10"/>
  <c r="I45" i="26"/>
  <c r="C45" i="26"/>
  <c r="F45" i="28"/>
  <c r="F45" i="29"/>
  <c r="C45" i="8"/>
  <c r="C45" i="20"/>
  <c r="I45" i="11"/>
  <c r="F45" i="8"/>
  <c r="I45" i="20"/>
  <c r="F45" i="26"/>
  <c r="C45" i="7"/>
  <c r="C45" i="9"/>
  <c r="E45" i="35"/>
  <c r="I45" i="18"/>
  <c r="C45" i="36"/>
  <c r="C45" i="34"/>
  <c r="G45" i="36"/>
  <c r="E45" i="19"/>
  <c r="F45" i="20"/>
  <c r="F45" i="18"/>
  <c r="C45" i="38"/>
  <c r="F45" i="11"/>
  <c r="E45" i="37"/>
  <c r="C45" i="27"/>
  <c r="C45" i="76" s="1"/>
  <c r="I45" i="25"/>
  <c r="G45" i="34"/>
  <c r="C45" i="35"/>
  <c r="C45" i="25"/>
  <c r="E45" i="36"/>
  <c r="C45" i="82"/>
  <c r="C45" i="29"/>
  <c r="C45" i="19"/>
  <c r="C45" i="18"/>
  <c r="I45" i="54"/>
  <c r="F45" i="54"/>
  <c r="G43" i="76"/>
  <c r="F43" i="76"/>
  <c r="G39" i="76"/>
  <c r="F39" i="76"/>
  <c r="G21" i="76"/>
  <c r="F21" i="76"/>
  <c r="F26" i="6"/>
  <c r="E26" i="6"/>
  <c r="C26" i="78" s="1"/>
  <c r="E24" i="6"/>
  <c r="C24" i="78" s="1"/>
  <c r="F24" i="6"/>
  <c r="F37" i="6"/>
  <c r="L48" i="2"/>
  <c r="C48" i="5"/>
  <c r="G11" i="54"/>
  <c r="E48" i="54"/>
  <c r="F11" i="54"/>
  <c r="E11" i="76"/>
  <c r="G15" i="90"/>
  <c r="I15" i="90"/>
  <c r="E15" i="90"/>
  <c r="G37" i="76"/>
  <c r="F37" i="76"/>
  <c r="E28" i="6"/>
  <c r="C28" i="78" s="1"/>
  <c r="F28" i="6"/>
  <c r="G41" i="76"/>
  <c r="F41" i="76"/>
  <c r="C11" i="38"/>
  <c r="G11" i="25"/>
  <c r="C11" i="8"/>
  <c r="I11" i="26"/>
  <c r="F11" i="8"/>
  <c r="C11" i="7"/>
  <c r="C11" i="82"/>
  <c r="I11" i="9"/>
  <c r="C11" i="37"/>
  <c r="C11" i="20"/>
  <c r="I11" i="11"/>
  <c r="F11" i="20"/>
  <c r="F11" i="18"/>
  <c r="D48" i="5"/>
  <c r="F11" i="11"/>
  <c r="E11" i="82"/>
  <c r="I11" i="25"/>
  <c r="C11" i="10"/>
  <c r="F11" i="9"/>
  <c r="E11" i="34"/>
  <c r="C11" i="18"/>
  <c r="E11" i="36"/>
  <c r="F11" i="29"/>
  <c r="C11" i="28"/>
  <c r="H11" i="19"/>
  <c r="F11" i="5"/>
  <c r="E11" i="90" s="1"/>
  <c r="I11" i="20"/>
  <c r="C11" i="26"/>
  <c r="C11" i="35"/>
  <c r="C11" i="11"/>
  <c r="F11" i="10"/>
  <c r="E11" i="25"/>
  <c r="C11" i="25"/>
  <c r="G11" i="36"/>
  <c r="I11" i="28"/>
  <c r="I11" i="18"/>
  <c r="C11" i="29"/>
  <c r="C11" i="36"/>
  <c r="E11" i="38"/>
  <c r="C11" i="34"/>
  <c r="I11" i="10"/>
  <c r="C11" i="9"/>
  <c r="E11" i="35"/>
  <c r="G11" i="34"/>
  <c r="F11" i="26"/>
  <c r="F11" i="28"/>
  <c r="E11" i="37"/>
  <c r="C11" i="19"/>
  <c r="C11" i="27"/>
  <c r="C11" i="76" s="1"/>
  <c r="E11" i="19"/>
  <c r="C11" i="54"/>
  <c r="G51" i="76"/>
  <c r="F51" i="76"/>
  <c r="G36" i="76"/>
  <c r="F36" i="76"/>
  <c r="G28" i="76"/>
  <c r="F28" i="76"/>
  <c r="G14" i="76"/>
  <c r="F14" i="76"/>
  <c r="G44" i="76"/>
  <c r="F44" i="76"/>
  <c r="G32" i="76"/>
  <c r="F32" i="76"/>
  <c r="F44" i="6"/>
  <c r="E44" i="6"/>
  <c r="C44" i="78" s="1"/>
  <c r="E14" i="6"/>
  <c r="C14" i="78" s="1"/>
  <c r="F14" i="6"/>
  <c r="F34" i="6"/>
  <c r="E34" i="6"/>
  <c r="C34" i="78" s="1"/>
  <c r="E19" i="6"/>
  <c r="C19" i="78" s="1"/>
  <c r="F19" i="6"/>
  <c r="E27" i="6"/>
  <c r="C27" i="78" s="1"/>
  <c r="F27" i="6"/>
  <c r="J11" i="54"/>
  <c r="H48" i="54"/>
  <c r="I11" i="54"/>
  <c r="J22" i="54"/>
  <c r="I22" i="54"/>
  <c r="E22" i="76"/>
  <c r="E25" i="6"/>
  <c r="C25" i="78" s="1"/>
  <c r="F25" i="6"/>
  <c r="C20" i="38"/>
  <c r="E20" i="82"/>
  <c r="C20" i="27"/>
  <c r="C20" i="76" s="1"/>
  <c r="C20" i="82"/>
  <c r="F20" i="9"/>
  <c r="E20" i="34"/>
  <c r="F20" i="10"/>
  <c r="C20" i="29"/>
  <c r="G20" i="36"/>
  <c r="C20" i="36"/>
  <c r="C20" i="34"/>
  <c r="E20" i="19"/>
  <c r="E20" i="38"/>
  <c r="I20" i="25"/>
  <c r="F20" i="8"/>
  <c r="F20" i="11"/>
  <c r="I20" i="10"/>
  <c r="F20" i="28"/>
  <c r="E20" i="35"/>
  <c r="E20" i="36"/>
  <c r="C20" i="11"/>
  <c r="I20" i="18"/>
  <c r="E20" i="37"/>
  <c r="C20" i="18"/>
  <c r="F20" i="18"/>
  <c r="F20" i="5"/>
  <c r="D20" i="6" s="1"/>
  <c r="G20" i="34"/>
  <c r="C20" i="35"/>
  <c r="I20" i="9"/>
  <c r="I20" i="26"/>
  <c r="C20" i="26"/>
  <c r="C20" i="28"/>
  <c r="C20" i="10"/>
  <c r="C20" i="9"/>
  <c r="H20" i="19"/>
  <c r="I20" i="28"/>
  <c r="C20" i="19"/>
  <c r="I20" i="20"/>
  <c r="C20" i="7"/>
  <c r="C20" i="8"/>
  <c r="F20" i="26"/>
  <c r="C20" i="25"/>
  <c r="E20" i="25"/>
  <c r="G20" i="25"/>
  <c r="C20" i="37"/>
  <c r="I20" i="11"/>
  <c r="F20" i="20"/>
  <c r="C20" i="20"/>
  <c r="F20" i="29"/>
  <c r="F20" i="54"/>
  <c r="I20" i="54"/>
  <c r="G24" i="76"/>
  <c r="F24" i="76"/>
  <c r="F13" i="6"/>
  <c r="E13" i="6"/>
  <c r="C13" i="78" s="1"/>
  <c r="F30" i="6"/>
  <c r="E30" i="6"/>
  <c r="C30" i="78" s="1"/>
  <c r="E16" i="6"/>
  <c r="C16" i="78" s="1"/>
  <c r="F16" i="6"/>
  <c r="G45" i="76"/>
  <c r="F45" i="76"/>
  <c r="G20" i="76"/>
  <c r="F20" i="76"/>
  <c r="B48" i="54"/>
  <c r="D55" i="2"/>
  <c r="C55" i="2"/>
  <c r="G11" i="90"/>
  <c r="I11" i="90"/>
  <c r="G12" i="76"/>
  <c r="F12" i="76"/>
  <c r="G33" i="76"/>
  <c r="F33" i="76"/>
  <c r="G35" i="76"/>
  <c r="F35" i="76"/>
  <c r="H32" i="19"/>
  <c r="F32" i="5"/>
  <c r="D32" i="6" s="1"/>
  <c r="F32" i="11"/>
  <c r="C32" i="82"/>
  <c r="I32" i="9"/>
  <c r="F32" i="10"/>
  <c r="C32" i="9"/>
  <c r="G32" i="25"/>
  <c r="E32" i="82"/>
  <c r="C32" i="19"/>
  <c r="C32" i="20"/>
  <c r="C32" i="28"/>
  <c r="F32" i="20"/>
  <c r="C32" i="8"/>
  <c r="I32" i="20"/>
  <c r="E32" i="25"/>
  <c r="C32" i="35"/>
  <c r="I32" i="25"/>
  <c r="C32" i="27"/>
  <c r="C32" i="76" s="1"/>
  <c r="G32" i="34"/>
  <c r="F32" i="29"/>
  <c r="I32" i="18"/>
  <c r="E32" i="36"/>
  <c r="C32" i="29"/>
  <c r="E32" i="38"/>
  <c r="C32" i="25"/>
  <c r="E32" i="34"/>
  <c r="C32" i="7"/>
  <c r="F32" i="9"/>
  <c r="C32" i="11"/>
  <c r="C32" i="18"/>
  <c r="E32" i="37"/>
  <c r="I32" i="11"/>
  <c r="C32" i="36"/>
  <c r="G32" i="36"/>
  <c r="E32" i="19"/>
  <c r="C32" i="38"/>
  <c r="F32" i="26"/>
  <c r="I32" i="10"/>
  <c r="I32" i="26"/>
  <c r="F32" i="8"/>
  <c r="E32" i="35"/>
  <c r="C32" i="10"/>
  <c r="F32" i="28"/>
  <c r="C32" i="37"/>
  <c r="F32" i="18"/>
  <c r="C32" i="26"/>
  <c r="C32" i="34"/>
  <c r="I32" i="28"/>
  <c r="F32" i="54"/>
  <c r="I32" i="54"/>
  <c r="G46" i="76"/>
  <c r="F46" i="76"/>
  <c r="F35" i="6"/>
  <c r="E35" i="6"/>
  <c r="C35" i="78" s="1"/>
  <c r="F50" i="6"/>
  <c r="E50" i="6"/>
  <c r="C50" i="78" s="1"/>
  <c r="E41" i="6"/>
  <c r="C41" i="78" s="1"/>
  <c r="F41" i="6"/>
  <c r="E17" i="6"/>
  <c r="C17" i="78" s="1"/>
  <c r="F17" i="6"/>
  <c r="L54" i="2"/>
  <c r="C45" i="54"/>
  <c r="C32" i="54"/>
  <c r="E48" i="78"/>
  <c r="E43" i="6" l="1"/>
  <c r="C43" i="78" s="1"/>
  <c r="E33" i="6"/>
  <c r="C33" i="78" s="1"/>
  <c r="F39" i="6"/>
  <c r="E46" i="6"/>
  <c r="C46" i="78" s="1"/>
  <c r="F23" i="6"/>
  <c r="E29" i="6"/>
  <c r="C29" i="78" s="1"/>
  <c r="F36" i="6"/>
  <c r="F21" i="6"/>
  <c r="F12" i="6"/>
  <c r="E18" i="6"/>
  <c r="C18" i="78" s="1"/>
  <c r="G20" i="90"/>
  <c r="I20" i="90"/>
  <c r="E20" i="90"/>
  <c r="I12" i="90"/>
  <c r="G12" i="90"/>
  <c r="E12" i="90"/>
  <c r="I28" i="90"/>
  <c r="G28" i="90"/>
  <c r="E28" i="90"/>
  <c r="G24" i="90"/>
  <c r="I24" i="90"/>
  <c r="E24" i="90"/>
  <c r="G45" i="90"/>
  <c r="I45" i="90"/>
  <c r="E45" i="90"/>
  <c r="G34" i="90"/>
  <c r="I34" i="90"/>
  <c r="E34" i="90"/>
  <c r="G14" i="90"/>
  <c r="I14" i="90"/>
  <c r="E14" i="90"/>
  <c r="G18" i="90"/>
  <c r="I18" i="90"/>
  <c r="E18" i="90"/>
  <c r="G21" i="90"/>
  <c r="I21" i="90"/>
  <c r="E21" i="90"/>
  <c r="G36" i="90"/>
  <c r="I36" i="90"/>
  <c r="E36" i="90"/>
  <c r="G42" i="90"/>
  <c r="I42" i="90"/>
  <c r="E42" i="90"/>
  <c r="F32" i="6"/>
  <c r="E32" i="6"/>
  <c r="C32" i="78" s="1"/>
  <c r="I38" i="90"/>
  <c r="G38" i="90"/>
  <c r="E38" i="90"/>
  <c r="D11" i="6"/>
  <c r="F48" i="5"/>
  <c r="C48" i="38"/>
  <c r="I48" i="26"/>
  <c r="I48" i="25"/>
  <c r="C48" i="8"/>
  <c r="F48" i="10"/>
  <c r="C48" i="27"/>
  <c r="C48" i="76" s="1"/>
  <c r="F48" i="28"/>
  <c r="E48" i="19"/>
  <c r="C48" i="36"/>
  <c r="E48" i="38"/>
  <c r="I48" i="10"/>
  <c r="E48" i="82"/>
  <c r="E48" i="25"/>
  <c r="C48" i="19"/>
  <c r="C48" i="26"/>
  <c r="C48" i="11"/>
  <c r="C48" i="35"/>
  <c r="G48" i="36"/>
  <c r="F48" i="18"/>
  <c r="N27" i="21"/>
  <c r="G48" i="25"/>
  <c r="F48" i="26"/>
  <c r="C48" i="82"/>
  <c r="I48" i="18"/>
  <c r="E48" i="36"/>
  <c r="I48" i="9"/>
  <c r="F48" i="8"/>
  <c r="F48" i="11"/>
  <c r="I48" i="11"/>
  <c r="I48" i="28"/>
  <c r="F48" i="20"/>
  <c r="E48" i="35"/>
  <c r="H48" i="19"/>
  <c r="I48" i="20"/>
  <c r="C48" i="9"/>
  <c r="C48" i="7"/>
  <c r="E48" i="34"/>
  <c r="G48" i="34"/>
  <c r="C48" i="25"/>
  <c r="C48" i="37"/>
  <c r="F48" i="9"/>
  <c r="C48" i="18"/>
  <c r="F48" i="29"/>
  <c r="C48" i="10"/>
  <c r="E48" i="37"/>
  <c r="C48" i="34"/>
  <c r="C48" i="28"/>
  <c r="C48" i="20"/>
  <c r="C48" i="29"/>
  <c r="F45" i="6"/>
  <c r="E45" i="6"/>
  <c r="C45" i="78" s="1"/>
  <c r="F40" i="6"/>
  <c r="E40" i="6"/>
  <c r="C40" i="78" s="1"/>
  <c r="L55" i="2"/>
  <c r="G13" i="90"/>
  <c r="I13" i="90"/>
  <c r="E13" i="90"/>
  <c r="G40" i="90"/>
  <c r="I40" i="90"/>
  <c r="E40" i="90"/>
  <c r="I35" i="90"/>
  <c r="G35" i="90"/>
  <c r="E35" i="90"/>
  <c r="G16" i="90"/>
  <c r="I16" i="90"/>
  <c r="E16" i="90"/>
  <c r="G26" i="90"/>
  <c r="I26" i="90"/>
  <c r="E26" i="90"/>
  <c r="G22" i="76"/>
  <c r="F22" i="76"/>
  <c r="J48" i="54"/>
  <c r="I48" i="54"/>
  <c r="G30" i="90"/>
  <c r="I30" i="90"/>
  <c r="E30" i="90"/>
  <c r="E48" i="76"/>
  <c r="G11" i="76"/>
  <c r="F11" i="76"/>
  <c r="D48" i="54"/>
  <c r="C48" i="54"/>
  <c r="G31" i="90"/>
  <c r="I31" i="90"/>
  <c r="E31" i="90"/>
  <c r="I29" i="90"/>
  <c r="G29" i="90"/>
  <c r="E29" i="90"/>
  <c r="G19" i="76"/>
  <c r="F19" i="76"/>
  <c r="G19" i="90"/>
  <c r="I19" i="90"/>
  <c r="E19" i="90"/>
  <c r="G25" i="90"/>
  <c r="I25" i="90"/>
  <c r="E25" i="90"/>
  <c r="F20" i="6"/>
  <c r="E20" i="6"/>
  <c r="C20" i="78" s="1"/>
  <c r="G44" i="90"/>
  <c r="I44" i="90"/>
  <c r="E44" i="90"/>
  <c r="G48" i="54"/>
  <c r="F48" i="54"/>
  <c r="G41" i="90"/>
  <c r="I41" i="90"/>
  <c r="E41" i="90"/>
  <c r="G46" i="90"/>
  <c r="I46" i="90"/>
  <c r="E46" i="90"/>
  <c r="G37" i="90" l="1"/>
  <c r="I37" i="90"/>
  <c r="E37" i="90"/>
  <c r="G39" i="90"/>
  <c r="I39" i="90"/>
  <c r="E39" i="90"/>
  <c r="N19" i="21"/>
  <c r="N16" i="21"/>
  <c r="N21" i="21"/>
  <c r="N17" i="21"/>
  <c r="N15" i="21"/>
  <c r="N13" i="21"/>
  <c r="N22" i="21"/>
  <c r="N18" i="21"/>
  <c r="N23" i="21"/>
  <c r="N24" i="21"/>
  <c r="I17" i="90"/>
  <c r="G17" i="90"/>
  <c r="E17" i="90"/>
  <c r="G43" i="90"/>
  <c r="I43" i="90"/>
  <c r="E43" i="90"/>
  <c r="G23" i="90"/>
  <c r="I23" i="90"/>
  <c r="E23" i="90"/>
  <c r="D48" i="90"/>
  <c r="G48" i="90" s="1"/>
  <c r="I33" i="90"/>
  <c r="G33" i="90"/>
  <c r="E33" i="90"/>
  <c r="G48" i="76"/>
  <c r="F48" i="76"/>
  <c r="I32" i="90"/>
  <c r="G32" i="90"/>
  <c r="E32" i="90"/>
  <c r="D48" i="6"/>
  <c r="E11" i="6"/>
  <c r="C11" i="78" s="1"/>
  <c r="F11" i="6"/>
  <c r="E48" i="90" l="1"/>
  <c r="F48" i="6"/>
  <c r="E48" i="6"/>
  <c r="C48" i="78" s="1"/>
</calcChain>
</file>

<file path=xl/comments1.xml><?xml version="1.0" encoding="utf-8"?>
<comments xmlns="http://schemas.openxmlformats.org/spreadsheetml/2006/main">
  <authors>
    <author>GPizzaro</author>
  </authors>
  <commentList>
    <comment ref="J8" authorId="0" shapeId="0">
      <text>
        <r>
          <rPr>
            <b/>
            <sz val="8"/>
            <color indexed="81"/>
            <rFont val="Tahoma"/>
            <family val="2"/>
          </rPr>
          <t>GPizzaro:</t>
        </r>
        <r>
          <rPr>
            <sz val="8"/>
            <color indexed="81"/>
            <rFont val="Tahoma"/>
            <family val="2"/>
          </rPr>
          <t xml:space="preserve">
Portioned assessment come from W:\Edusfb\Total School Assessment\YYYY F assessment.</t>
        </r>
      </text>
    </comment>
    <comment ref="H16" authorId="0" shapeId="0">
      <text>
        <r>
          <rPr>
            <b/>
            <sz val="8"/>
            <color indexed="81"/>
            <rFont val="Tahoma"/>
            <family val="2"/>
          </rPr>
          <t>GPizzaro:</t>
        </r>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GPizarro</author>
  </authors>
  <commentList>
    <comment ref="N2" authorId="0" shapeId="0">
      <text>
        <r>
          <rPr>
            <b/>
            <sz val="9"/>
            <color indexed="81"/>
            <rFont val="Tahoma"/>
            <family val="2"/>
          </rPr>
          <t>GPizarro: Adj as per Chris email Aug 29, 2017</t>
        </r>
        <r>
          <rPr>
            <sz val="9"/>
            <color indexed="81"/>
            <rFont val="Tahoma"/>
            <family val="2"/>
          </rPr>
          <t xml:space="preserve">
</t>
        </r>
      </text>
    </comment>
  </commentList>
</comments>
</file>

<file path=xl/sharedStrings.xml><?xml version="1.0" encoding="utf-8"?>
<sst xmlns="http://schemas.openxmlformats.org/spreadsheetml/2006/main" count="2919" uniqueCount="617">
  <si>
    <t>PAGE 1 OF 3</t>
  </si>
  <si>
    <t xml:space="preserve"> </t>
  </si>
  <si>
    <t>PAGE 2 OF 3</t>
  </si>
  <si>
    <t>PAGE 3 OF 3</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</si>
  <si>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</si>
  <si>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</si>
  <si>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</si>
  <si>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</si>
  <si>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</si>
  <si>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</si>
  <si>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</si>
  <si>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</si>
  <si>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 REGULAR AND OTHER</t>
  </si>
  <si>
    <t xml:space="preserve">TOTAL </t>
  </si>
  <si>
    <t>ADMINISTRATION</t>
  </si>
  <si>
    <t>ENGLISH LANGUAGE</t>
  </si>
  <si>
    <t>FRANÇAIS</t>
  </si>
  <si>
    <t>FRENCH IMMERSION</t>
  </si>
  <si>
    <t>BOARD OF TRUSTEES</t>
  </si>
  <si>
    <t>OTHER</t>
  </si>
  <si>
    <t>SCHOOL BUILDINGS</t>
  </si>
  <si>
    <t>REGULAR INSTRUCTION</t>
  </si>
  <si>
    <t>COMMUNITY EDUCATION</t>
  </si>
  <si>
    <t>MAINTENANCE</t>
  </si>
  <si>
    <t>FISCAL</t>
  </si>
  <si>
    <t>TOTAL</t>
  </si>
  <si>
    <t>(PROGRAM 720)</t>
  </si>
  <si>
    <t>(PROGRAMS 710, 720 AND 790)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</si>
  <si>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</si>
  <si>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</si>
  <si>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</si>
  <si>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</si>
  <si>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</si>
  <si>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</si>
  <si>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</si>
  <si>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</si>
  <si>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</si>
  <si>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</si>
  <si>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</si>
  <si>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</si>
  <si>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</si>
  <si>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</si>
  <si>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</si>
  <si>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</si>
  <si>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</si>
  <si>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</si>
  <si>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</si>
  <si>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</si>
  <si>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</si>
  <si>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</si>
  <si>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FEDERAL</t>
  </si>
  <si>
    <t>MUNICIPAL</t>
  </si>
  <si>
    <t>GOVERNMENTS</t>
  </si>
  <si>
    <t>PROVINCIAL</t>
  </si>
  <si>
    <t>FIRST NATIONS</t>
  </si>
  <si>
    <t>REVENUE</t>
  </si>
  <si>
    <t>MINING</t>
  </si>
  <si>
    <t>OCCUPANCY</t>
  </si>
  <si>
    <t>SERVICES</t>
  </si>
  <si>
    <t>EQUIPMENT</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</si>
  <si>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</si>
  <si>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</si>
  <si>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</si>
  <si>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</si>
  <si>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</si>
  <si>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</si>
  <si>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</si>
  <si>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</si>
  <si>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</si>
  <si>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</si>
  <si>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</si>
  <si>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</si>
  <si>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</si>
  <si>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</si>
  <si>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</si>
  <si>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</si>
  <si>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</si>
  <si>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</si>
  <si>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</si>
  <si>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FRAME PUPIL / TEACHER RATIOS</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</si>
  <si>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</si>
  <si>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</si>
  <si>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</si>
  <si>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</si>
  <si>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</si>
  <si>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</si>
  <si>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</si>
  <si>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</si>
  <si>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</si>
  <si>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</si>
  <si>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</si>
  <si>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STATISTICAL SUMMARY</t>
  </si>
  <si>
    <t>PAGE 1 OF 5</t>
  </si>
  <si>
    <t>PAGE 2 OF 5</t>
  </si>
  <si>
    <t>PAGE 3 OF 5</t>
  </si>
  <si>
    <t>PAGE 4 OF 5</t>
  </si>
  <si>
    <t>PAGE 5 OF 5</t>
  </si>
  <si>
    <t>PROGRAMS</t>
  </si>
  <si>
    <t>YEAR</t>
  </si>
  <si>
    <t>(Grants-</t>
  </si>
  <si>
    <t>in-Lieu)</t>
  </si>
  <si>
    <t>ADULT LEARNING CENTRES</t>
  </si>
  <si>
    <t>- 13 -</t>
  </si>
  <si>
    <t>- 12 -</t>
  </si>
  <si>
    <t>INSTRUCTIONAL</t>
  </si>
  <si>
    <t>FUNDING OF SCHOOLS PROGRAM (CONT'D)</t>
  </si>
  <si>
    <t>FUNDING OF SCHOOLS PROGRAM</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</si>
  <si>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</si>
  <si>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</si>
  <si>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</si>
  <si>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</si>
  <si>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</si>
  <si>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</si>
  <si>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</si>
  <si>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</si>
  <si>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</si>
  <si>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</si>
  <si>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</si>
  <si>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</si>
  <si>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</si>
  <si>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</si>
  <si>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</si>
  <si>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</si>
  <si>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</si>
  <si>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</si>
  <si>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</si>
  <si>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</si>
  <si>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</si>
  <si>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</si>
  <si>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</si>
  <si>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</si>
  <si>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</si>
  <si>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</si>
  <si>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</si>
  <si>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</si>
  <si>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</si>
  <si>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</si>
  <si>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</si>
  <si>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</si>
  <si>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</si>
  <si>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</si>
  <si>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</si>
  <si>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</si>
  <si>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</si>
  <si>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</si>
  <si>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L.G.D. OF PINAWA</t>
  </si>
  <si>
    <t xml:space="preserve"> NOT IN ANY DIVISION</t>
  </si>
  <si>
    <t xml:space="preserve"> DIVISION/DISTRICT TOTAL</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</si>
  <si>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</si>
  <si>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</si>
  <si>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</si>
  <si>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</si>
  <si>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</si>
  <si>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</si>
  <si>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</si>
  <si>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</si>
  <si>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</si>
  <si>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</si>
  <si>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</si>
  <si>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</si>
  <si>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</si>
  <si>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</si>
  <si>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</si>
  <si>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</si>
  <si>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</si>
  <si>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</si>
  <si>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</si>
  <si>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</si>
  <si>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</si>
  <si>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</si>
  <si>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</si>
  <si>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</si>
  <si>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</si>
  <si>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</si>
  <si>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</si>
  <si>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</si>
  <si>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</si>
  <si>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</si>
  <si>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</si>
  <si>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</si>
  <si>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</si>
  <si>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</si>
  <si>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</si>
  <si>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</si>
  <si>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</si>
  <si>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</si>
  <si>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</si>
  <si>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</si>
  <si>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LIABILITY</t>
  </si>
  <si>
    <t>SELF-FUNDED</t>
  </si>
  <si>
    <t xml:space="preserve"> FUNCTION 300: ADULT LEARNING CENTRES</t>
  </si>
  <si>
    <t>LOCAL TAXATION AND ASSESSMENT PER RESIDENT PUPIL</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</si>
  <si>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</si>
  <si>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</si>
  <si>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</si>
  <si>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</si>
  <si>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</si>
  <si>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</si>
  <si>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</si>
  <si>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</si>
  <si>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</si>
  <si>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</si>
  <si>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</si>
  <si>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</si>
  <si>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</si>
  <si>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</si>
  <si>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</si>
  <si>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</si>
  <si>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</si>
  <si>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</si>
  <si>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</si>
  <si>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</si>
  <si>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</si>
  <si>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</si>
  <si>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</si>
  <si>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</si>
  <si>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</si>
  <si>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</si>
  <si>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</si>
  <si>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</si>
  <si>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</si>
  <si>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</si>
  <si>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</si>
  <si>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</si>
  <si>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</si>
  <si>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ADMIN. COSTS</t>
  </si>
  <si>
    <t>PAGE 1 0F 2</t>
  </si>
  <si>
    <t>PAGE 2 0F 2</t>
  </si>
  <si>
    <t>CALCULATION OF EXPENDITURE BASE AND ADMINISTRATION PERCENTAGE</t>
  </si>
  <si>
    <t>ACTUAL AND ESTIMATES AS OF SEPTEMBER 30</t>
  </si>
  <si>
    <t>(2)</t>
  </si>
  <si>
    <r>
      <t xml:space="preserve">SINGLE TRACK </t>
    </r>
    <r>
      <rPr>
        <b/>
        <vertAlign val="superscript"/>
        <sz val="9"/>
        <rFont val="Arial"/>
        <family val="2"/>
      </rPr>
      <t>(1)</t>
    </r>
  </si>
  <si>
    <r>
      <t xml:space="preserve">DUAL TRACK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</si>
  <si>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</si>
  <si>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</si>
  <si>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</si>
  <si>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t xml:space="preserve"> FUNCTION 800: (CONT'D)</t>
  </si>
  <si>
    <t xml:space="preserve"> FUNCTION 700: TRANSPORTATION (CONT'D)</t>
  </si>
  <si>
    <t xml:space="preserve"> FUNCTION 500: (CONT'D)</t>
  </si>
  <si>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</si>
  <si>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</si>
  <si>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</si>
  <si>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t xml:space="preserve">  TRAVEL AND MEETINGS</t>
  </si>
  <si>
    <t xml:space="preserve"> FUNCTION 200: STUDENT SUPPORT SERVICES</t>
  </si>
  <si>
    <t xml:space="preserve"> FUNCTION 200: STUDENT SUPPORT SERVICES (CONT'D)</t>
  </si>
  <si>
    <t>STUDENT SUPPORT SERVICES</t>
  </si>
  <si>
    <r>
      <t xml:space="preserve">  RECHARGE </t>
    </r>
    <r>
      <rPr>
        <vertAlign val="superscript"/>
        <sz val="9"/>
        <rFont val="Arial"/>
        <family val="2"/>
      </rPr>
      <t>(1)</t>
    </r>
  </si>
  <si>
    <t>Reallocation of school building costs associated with Adult Learning Centre operations to Function 300</t>
  </si>
  <si>
    <t xml:space="preserve">  PROPERTY TAXES</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</si>
  <si>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</si>
  <si>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</si>
  <si>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</si>
  <si>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</si>
  <si>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</si>
  <si>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t>RECONCILIATION  OF  EXPENSES</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</si>
  <si>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</si>
  <si>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</si>
  <si>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</si>
  <si>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</si>
  <si>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</si>
  <si>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</si>
  <si>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</si>
  <si>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</si>
  <si>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EXPENSE BY 2ND LEVEL OBJECT</t>
  </si>
  <si>
    <t>AS A PERCENTAGE OF TOTAL OPERATING FUND EXPENSES</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</si>
  <si>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</si>
  <si>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</si>
  <si>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</si>
  <si>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</si>
  <si>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</si>
  <si>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</si>
  <si>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</si>
  <si>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</si>
  <si>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</si>
  <si>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</si>
  <si>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</si>
  <si>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</si>
  <si>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</si>
  <si>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</si>
  <si>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</si>
  <si>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</si>
  <si>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</si>
  <si>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</si>
  <si>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</si>
  <si>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</si>
  <si>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</si>
  <si>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</si>
  <si>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</si>
  <si>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</si>
  <si>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</si>
  <si>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</si>
  <si>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</si>
  <si>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</si>
  <si>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</si>
  <si>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</si>
  <si>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</si>
  <si>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</si>
  <si>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 xml:space="preserve">  RECHARGE</t>
  </si>
  <si>
    <r>
      <t xml:space="preserve">OTHER </t>
    </r>
    <r>
      <rPr>
        <b/>
        <vertAlign val="superscript"/>
        <sz val="9"/>
        <rFont val="Arial"/>
        <family val="2"/>
      </rPr>
      <t>(1)</t>
    </r>
  </si>
  <si>
    <t>TOTAL PORTIONED ASSESSMENT</t>
  </si>
  <si>
    <t>NET SPECIAL LEVY</t>
  </si>
  <si>
    <t xml:space="preserve">  EXECUTIVE, MANAGERIAL
 AND SUPERVISORY</t>
  </si>
  <si>
    <t xml:space="preserve"> TECHNICAL, 
SPECIALIZED AND SERVICE</t>
  </si>
  <si>
    <t>SECRETARIAL 
CLERICAL
 AND OTHER</t>
  </si>
  <si>
    <r>
      <t xml:space="preserve">  
  IT  </t>
    </r>
    <r>
      <rPr>
        <b/>
        <vertAlign val="superscript"/>
        <sz val="11"/>
        <rFont val="Arial"/>
        <family val="2"/>
      </rPr>
      <t>(3)</t>
    </r>
  </si>
  <si>
    <t>ANALYSIS OF INFORMATION TECHNOLOGY EXPENSES</t>
  </si>
  <si>
    <r>
      <t>PROVINCIAL</t>
    </r>
    <r>
      <rPr>
        <vertAlign val="superscript"/>
        <sz val="9"/>
        <rFont val="Arial"/>
        <family val="2"/>
      </rPr>
      <t>(1)</t>
    </r>
  </si>
  <si>
    <t>DIRECT SUPPORT TO PUPILS</t>
  </si>
  <si>
    <t>PER PUPIL</t>
  </si>
  <si>
    <t xml:space="preserve">% of Total Expense </t>
  </si>
  <si>
    <t>Control</t>
  </si>
  <si>
    <t>Total expenses</t>
  </si>
  <si>
    <t>Frame</t>
  </si>
  <si>
    <t>tables budget</t>
  </si>
  <si>
    <t>Variance</t>
  </si>
  <si>
    <t>Budget Table</t>
  </si>
  <si>
    <t>Total Revenues</t>
  </si>
  <si>
    <t>SENIOR YEARS tech</t>
  </si>
  <si>
    <t>Total Reg. Instruct..</t>
  </si>
  <si>
    <t xml:space="preserve"> DSFM</t>
  </si>
  <si>
    <t>NET TRANSFERS TO/(FROM) CAPITAL FUND</t>
  </si>
  <si>
    <t>(2)  Provided in recognition of the higher costs associated with sparsely populated rural and northern divisions.</t>
  </si>
  <si>
    <t>(1)  Includes vehicle support for school buses.</t>
  </si>
  <si>
    <t>(2)  For a definition of Divisional Administration, see expense definitions, page iii.</t>
  </si>
  <si>
    <t>(3)  Information Technology.</t>
  </si>
  <si>
    <t>(1)  From page 4 (for more information, see page 4).</t>
  </si>
  <si>
    <t>(2)  From page 9 (for more information, see page 9).</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</si>
  <si>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</si>
  <si>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</si>
  <si>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</si>
  <si>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</si>
  <si>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</si>
  <si>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(1)  Includes transfers to bus reserves and other capital reserves.</t>
  </si>
  <si>
    <t>(1)  See appendix for more detail.</t>
  </si>
  <si>
    <t>(5)  Includes revenue from other provincial government departments.</t>
  </si>
  <si>
    <t>(1)  Excludes information technology expenses in Function 300 (Adult Learning Centres) and Function 400 (Community Education and Services).</t>
  </si>
  <si>
    <t>(2)  Square footage (as per note above) divided by total F.T.E. enrolment (from page 7).</t>
  </si>
  <si>
    <t>(1)  No one language program comprises 90% or more of Regular Instruction enrolment.</t>
  </si>
  <si>
    <t>(1)  90% or more of Regular Instruction enrolment is in one language.</t>
  </si>
  <si>
    <t>(1)  Pupils taught in schools, whether or not they are counted for grant purposes.</t>
  </si>
  <si>
    <t>(1)  90% or more of Regular Instruction enrolment is in one language program.</t>
  </si>
  <si>
    <t>(2)  No one language program comprises 90% or more of Regular Instruction enrolment.</t>
  </si>
  <si>
    <r>
      <t xml:space="preserve"> 
 CLINICIAN</t>
    </r>
    <r>
      <rPr>
        <b/>
        <vertAlign val="superscript"/>
        <sz val="11"/>
        <rFont val="Arial"/>
        <family val="2"/>
      </rPr>
      <t xml:space="preserve"> (2)</t>
    </r>
  </si>
  <si>
    <t xml:space="preserve"> TEACHING</t>
  </si>
  <si>
    <r>
      <t xml:space="preserve">REGULAR INSTRUCTION </t>
    </r>
    <r>
      <rPr>
        <b/>
        <vertAlign val="superscript"/>
        <sz val="9"/>
        <rFont val="Arial"/>
        <family val="2"/>
      </rPr>
      <t>(1)</t>
    </r>
  </si>
  <si>
    <t>Replace</t>
  </si>
  <si>
    <t>Before click replace select the range you want.</t>
  </si>
  <si>
    <t>This</t>
  </si>
  <si>
    <t>into</t>
  </si>
  <si>
    <t>Per Funded</t>
  </si>
  <si>
    <t>Resident</t>
  </si>
  <si>
    <t>Pupil &lt; 21</t>
  </si>
  <si>
    <t>N/A</t>
  </si>
  <si>
    <t>(2)  Includes clinicians contracted/outsourced/private or employed by other divisions on a full time equivalent basis.</t>
  </si>
  <si>
    <t xml:space="preserve">      </t>
  </si>
  <si>
    <t>Prev. Year</t>
  </si>
  <si>
    <t>+</t>
  </si>
  <si>
    <t xml:space="preserve">       per pupil costs.</t>
  </si>
  <si>
    <t xml:space="preserve"> MITT</t>
  </si>
  <si>
    <t>Reallocation of administration costs associated with Adult Learning Centre operations from Function 500 to Function 300.</t>
  </si>
  <si>
    <r>
      <t>(1)</t>
    </r>
    <r>
      <rPr>
        <sz val="9"/>
        <rFont val="Arial"/>
        <family val="2"/>
      </rPr>
      <t xml:space="preserve"> Reallocation of administration costs associated with Adult Learning Centre operations from Function 500 to Function 300.</t>
    </r>
  </si>
  <si>
    <t>Select Language</t>
  </si>
  <si>
    <t>English</t>
  </si>
  <si>
    <t>French</t>
  </si>
  <si>
    <r>
      <t xml:space="preserve">LESS 
OPERATING FUND TRANSFERS </t>
    </r>
    <r>
      <rPr>
        <b/>
        <vertAlign val="superscript"/>
        <sz val="9"/>
        <rFont val="Arial"/>
        <family val="2"/>
      </rPr>
      <t>(2)</t>
    </r>
  </si>
  <si>
    <r>
      <t xml:space="preserve">EXPENSES NET OF TRANSFERS </t>
    </r>
    <r>
      <rPr>
        <b/>
        <vertAlign val="superscript"/>
        <sz val="9"/>
        <rFont val="Arial"/>
        <family val="2"/>
      </rPr>
      <t>(3)</t>
    </r>
  </si>
  <si>
    <r>
      <t xml:space="preserve">LESS
 NON K-12 EDUCATION &amp; SERVICES </t>
    </r>
    <r>
      <rPr>
        <b/>
        <vertAlign val="superscript"/>
        <sz val="9"/>
        <rFont val="Arial"/>
        <family val="2"/>
      </rPr>
      <t>(4)</t>
    </r>
  </si>
  <si>
    <r>
      <t xml:space="preserve">TOTAL EXPENSES FOR PER PUPIL COSTS </t>
    </r>
    <r>
      <rPr>
        <b/>
        <vertAlign val="superscript"/>
        <sz val="9"/>
        <rFont val="Arial"/>
        <family val="2"/>
      </rPr>
      <t>(5)</t>
    </r>
  </si>
  <si>
    <r>
      <t xml:space="preserve">TOTAL 
 EXPENSES </t>
    </r>
    <r>
      <rPr>
        <b/>
        <vertAlign val="superscript"/>
        <sz val="9"/>
        <rFont val="Arial"/>
        <family val="2"/>
      </rPr>
      <t>(1)</t>
    </r>
  </si>
  <si>
    <t>CONCILIATION DES DÉPENSES</t>
  </si>
  <si>
    <t>DÉPENSES DU FONDS DE FONCTIONNEMENT PAR ÉLÈVE</t>
  </si>
  <si>
    <t/>
  </si>
  <si>
    <t xml:space="preserve"> FRANÇAIS</t>
  </si>
  <si>
    <t>OTHER BILINGUAL</t>
  </si>
  <si>
    <t xml:space="preserve"> STATISTIQUES SUR LES ÉLÈVES (SYSTÈME COMPTABLE FRAME)</t>
  </si>
  <si>
    <t>SENIOR YEARS TECHNOLOGY</t>
  </si>
  <si>
    <t>K-12  F.T.E. ENROLMENT</t>
  </si>
  <si>
    <t>(2)  The total number of pupils enrolled in schools adjusted for full time equivalence (F.T.E.). Full time equivalent means pupils are counted on the
       basis of time attending school - eg. Kindergarten as 1/2.  This total is the same as reported on page 7.</t>
  </si>
  <si>
    <t>N-12 ENROLMENT</t>
  </si>
  <si>
    <t>NURSERY ENROLMENT</t>
  </si>
  <si>
    <t>K-12 ENROLMENT</t>
  </si>
  <si>
    <t>INSCRIPTIONS – ÉLÈVES PRÉSENTS, SELON LE SYSTÈME COMPTABLE FRAME, ET ADMISSIBLES</t>
  </si>
  <si>
    <t>CHIFFRES RÉELS ET PRÉVISIONS AU 30 SEPTEMBRE</t>
  </si>
  <si>
    <t>RAPPORTS ÉLÈVES-ENSEIGNANT</t>
  </si>
  <si>
    <r>
      <t xml:space="preserve">REGULAR 
 INSTRUCTION </t>
    </r>
    <r>
      <rPr>
        <b/>
        <vertAlign val="superscript"/>
        <sz val="9"/>
        <rFont val="Arial"/>
        <family val="2"/>
      </rPr>
      <t>(1)</t>
    </r>
  </si>
  <si>
    <r>
      <t>EDUCATOR</t>
    </r>
    <r>
      <rPr>
        <b/>
        <vertAlign val="superscript"/>
        <sz val="9"/>
        <rFont val="Arial"/>
        <family val="2"/>
      </rPr>
      <t xml:space="preserve"> (2)</t>
    </r>
  </si>
  <si>
    <t>(1)  Based on object code 330 instructional-teaching personnel and F.T.E. students in Function 100. Included are teachers in physical education, 
       music, EAL, etc. in addition to regular classroom teachers. School-based administrative personnel and Special Placement classroom 
       teachers are excluded.</t>
  </si>
  <si>
    <t>DÉPENSES PAR FONCTION ET PAR OBJET</t>
  </si>
  <si>
    <t>SUPPLIES AND MATERIALS</t>
  </si>
  <si>
    <t>BAD DEBT EXPENSE</t>
  </si>
  <si>
    <t>DÉPENSES PAR OBJET DE DEUXIÈME CATÉGORIE EXPRIMÉES</t>
  </si>
  <si>
    <t xml:space="preserve"> EN POURCENTAGE DU TOTAL DES DÉPENSES DU FONDS DE FONCTIONNEMENT</t>
  </si>
  <si>
    <t>REGULAR
 INSTRUCTION</t>
  </si>
  <si>
    <t>STUDENT SUPPORTSERVICES</t>
  </si>
  <si>
    <t>COMMUNITY 
EDUCATION</t>
  </si>
  <si>
    <t>INSTRUCTIONAL &amp; OTHER SUPPORT SERVICES</t>
  </si>
  <si>
    <t>PER 
PUPIL</t>
  </si>
  <si>
    <t>STUDENT SUPPORT 
SERVICES</t>
  </si>
  <si>
    <t>ANALYSE DES DÉPENSES PAR FONCTION</t>
  </si>
  <si>
    <t>COMMUNITY EDUCATION AND SERVICES</t>
  </si>
  <si>
    <t>DIVISIONAL
 ADMINISTRATION</t>
  </si>
  <si>
    <t>TRANSPORTATION 
OF PUPILS</t>
  </si>
  <si>
    <t>ANALYSE DES DÉPENSES PAR PROGRAMME</t>
  </si>
  <si>
    <t>SENIOR YEARS 
TECHNOLOGY EDUCATION</t>
  </si>
  <si>
    <t>NO. OF F.T.E. PUPILS</t>
  </si>
  <si>
    <t>ADMINISTRATION / COORDINATION</t>
  </si>
  <si>
    <t>CLINICAL AND RELATED
 SERVICES</t>
  </si>
  <si>
    <t>(1)  Expenses shown are extra costs associated with special needs students in regular classes, not the total cost of educating 
       those students.</t>
  </si>
  <si>
    <t>SPECIAL 
PLACEMENT</t>
  </si>
  <si>
    <r>
      <t xml:space="preserve">REGULAR 
PLACEMENT </t>
    </r>
    <r>
      <rPr>
        <b/>
        <vertAlign val="superscript"/>
        <sz val="9"/>
        <rFont val="Arial"/>
        <family val="2"/>
      </rPr>
      <t>(1)</t>
    </r>
  </si>
  <si>
    <t>OTHER RESOURCE
 SERVICES</t>
  </si>
  <si>
    <t>COUNSELLING AND GUIDANCE</t>
  </si>
  <si>
    <t>COUNSELLING 
AND GUIDANCE</t>
  </si>
  <si>
    <t>ADMINISTRATION
 AND OTHER</t>
  </si>
  <si>
    <t>CONTINUING EDUCATION</t>
  </si>
  <si>
    <t>ENGLISH AS AN ADDITIONAL LANGUAGE</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</si>
  <si>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</si>
  <si>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</si>
  <si>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</si>
  <si>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</si>
  <si>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</si>
  <si>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</si>
  <si>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ADMINISTRATION</t>
  </si>
  <si>
    <t>CURRICULUM CONSULTING AND DEVELOPMENT</t>
  </si>
  <si>
    <t>LIBRARY /
 MEDIA CENTRE</t>
  </si>
  <si>
    <t>PROFESSIONAL AND 
STAFF DEVELOPMENT</t>
  </si>
  <si>
    <t>(1)  Includes food services, health services, and other activities related to instructional and other support not included
       in previous programs.</t>
  </si>
  <si>
    <t>ALLOWANCES IN LIEU 
OF TRANSPORTATION</t>
  </si>
  <si>
    <t>BOARDING OF
 STUDENTS</t>
  </si>
  <si>
    <t>FIELD TRIPS
 AND OTHER</t>
  </si>
  <si>
    <t>HEALTH AND 
EDUCATION LEVY</t>
  </si>
  <si>
    <t>TRANSPORTED PUPILS</t>
  </si>
  <si>
    <t>TOTAL KM. (ROUTES)</t>
  </si>
  <si>
    <t>LOADED
 KM.</t>
  </si>
  <si>
    <t>COST 
PER KM.</t>
  </si>
  <si>
    <t>TOTAL KM. 
(LOG BOOK)</t>
  </si>
  <si>
    <t>ANALYSE DES DÉPENSES DE TRANSPORT</t>
  </si>
  <si>
    <t>ANALYSE DES DÉPENSES DE TRANSPORT (SUITE)</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</si>
  <si>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</si>
  <si>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</si>
  <si>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</si>
  <si>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</si>
  <si>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t xml:space="preserve"> ANALYSE DES DÉPENSES DE FONCTIONNEMENT ET D'ENTRETIEN DES BÂTIMENTS SCOLAIRES</t>
  </si>
  <si>
    <t>ANALYSE DES DÉPENSES DE TECHNOLOGIE DE L'INFORMATION</t>
  </si>
  <si>
    <r>
      <t>MANAGEMENT
 INFORMATION SERVICES</t>
    </r>
    <r>
      <rPr>
        <b/>
        <vertAlign val="superscript"/>
        <sz val="9"/>
        <rFont val="Arial"/>
        <family val="2"/>
      </rPr>
      <t xml:space="preserve"> (2)</t>
    </r>
  </si>
  <si>
    <t>OTHER SCHOOL DIVISIONS</t>
  </si>
  <si>
    <t>PRIVATE ORG.'S &amp; INDIVIDUALS</t>
  </si>
  <si>
    <r>
      <t xml:space="preserve">FUNDING OF SCHOOLS PROGRAM </t>
    </r>
    <r>
      <rPr>
        <b/>
        <vertAlign val="superscript"/>
        <sz val="9"/>
        <rFont val="Arial"/>
        <family val="2"/>
      </rPr>
      <t>(1)</t>
    </r>
  </si>
  <si>
    <r>
      <t xml:space="preserve">EDUCATION PROPERTY TAX CREDIT </t>
    </r>
    <r>
      <rPr>
        <b/>
        <vertAlign val="superscript"/>
        <sz val="9"/>
        <rFont val="Arial"/>
        <family val="2"/>
      </rPr>
      <t>(2)</t>
    </r>
  </si>
  <si>
    <r>
      <t>TAX  INCENTIVE GRANT</t>
    </r>
    <r>
      <rPr>
        <b/>
        <vertAlign val="superscript"/>
        <sz val="9"/>
        <rFont val="Arial"/>
        <family val="2"/>
      </rPr>
      <t>(3)</t>
    </r>
  </si>
  <si>
    <r>
      <t xml:space="preserve">OTHER REVENUE </t>
    </r>
    <r>
      <rPr>
        <b/>
        <vertAlign val="superscript"/>
        <sz val="9"/>
        <rFont val="Arial"/>
        <family val="2"/>
      </rPr>
      <t>(4)</t>
    </r>
  </si>
  <si>
    <r>
      <t xml:space="preserve">OTHER PROVINCIAL REVENUE </t>
    </r>
    <r>
      <rPr>
        <b/>
        <vertAlign val="superscript"/>
        <sz val="9"/>
        <rFont val="Arial"/>
        <family val="2"/>
      </rPr>
      <t>(5)</t>
    </r>
  </si>
  <si>
    <t>TOTAL PROVINCIAL REVENUE</t>
  </si>
  <si>
    <r>
      <t>% OPERATING FUND REVENUE</t>
    </r>
    <r>
      <rPr>
        <b/>
        <vertAlign val="superscript"/>
        <sz val="9"/>
        <rFont val="Arial"/>
        <family val="2"/>
      </rPr>
      <t xml:space="preserve"> (6)</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</si>
  <si>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Farmland School Tax Rebate nor the income tax portion of the EPTC nor the School Tax Assistance for Tenants
       and Homeowners (55+) because these are not quantifiable on a school division basis.  For these amounts shown on a provincial basis, see page i.</t>
  </si>
  <si>
    <t>FEDERAL
 GOVERNMENT</t>
  </si>
  <si>
    <r>
      <t>MUNICIPAL GOVERNMENT</t>
    </r>
    <r>
      <rPr>
        <b/>
        <vertAlign val="superscript"/>
        <sz val="9"/>
        <rFont val="Arial"/>
        <family val="2"/>
      </rPr>
      <t xml:space="preserve"> (1)</t>
    </r>
  </si>
  <si>
    <t xml:space="preserve"> PRIVATE 
ORGANIZATIONS &amp; INDIVIDUALS</t>
  </si>
  <si>
    <t>TOTAL 
NON-PROVINCIAL REVENUE</t>
  </si>
  <si>
    <t>TOTAL 
OPERATING 
FUND</t>
  </si>
  <si>
    <t>TRANSFERTS NETS AU (DU) FONDS DE CAPITAL ET D'EMPRUNT</t>
  </si>
  <si>
    <r>
      <t xml:space="preserve">NET TRANSFERS
 TO/(FROM) 
CAPITAL FUND </t>
    </r>
    <r>
      <rPr>
        <b/>
        <vertAlign val="superscript"/>
        <sz val="9"/>
        <rFont val="Arial"/>
        <family val="2"/>
      </rPr>
      <t>(1)</t>
    </r>
  </si>
  <si>
    <t xml:space="preserve">PORTIONED
 ASSESSMENT
 OTHER  </t>
  </si>
  <si>
    <t>EDUCATION 
 SUPPORT LEVY</t>
  </si>
  <si>
    <r>
      <t xml:space="preserve">PORTIONED ASSESSMENT - OTHER AND EDUCATION SUPPORT LEVY   </t>
    </r>
    <r>
      <rPr>
        <vertAlign val="superscript"/>
        <sz val="9"/>
        <rFont val="Arial"/>
        <family val="2"/>
      </rPr>
      <t>(1)</t>
    </r>
  </si>
  <si>
    <t>URBAN 
AND FARM RESIDENTIAL</t>
  </si>
  <si>
    <t>FARM 
LAND AND 
BUILDINGS</t>
  </si>
  <si>
    <r>
      <t xml:space="preserve">SPECIAL
 LEVY </t>
    </r>
    <r>
      <rPr>
        <b/>
        <vertAlign val="superscript"/>
        <sz val="9"/>
        <rFont val="Arial"/>
        <family val="2"/>
      </rPr>
      <t>(1)</t>
    </r>
  </si>
  <si>
    <r>
      <t>SPECIAL 
LEVY 
MILL RATE</t>
    </r>
    <r>
      <rPr>
        <b/>
        <vertAlign val="superscript"/>
        <sz val="9"/>
        <rFont val="Arial"/>
        <family val="2"/>
      </rPr>
      <t xml:space="preserve"> (2)</t>
    </r>
  </si>
  <si>
    <t>TOTAL DE LA VALEUR FRACTIONNÉE, TAXE SPÉCIALE ET TAUX EN MILLIÈMES DE DOLLAR</t>
  </si>
  <si>
    <t>GROSS SPECIAL
 LEVY</t>
  </si>
  <si>
    <r>
      <t xml:space="preserve">TAX INCENTIVE GRANT </t>
    </r>
    <r>
      <rPr>
        <b/>
        <vertAlign val="superscript"/>
        <sz val="9"/>
        <rFont val="Arial"/>
        <family val="2"/>
      </rPr>
      <t>(1)</t>
    </r>
  </si>
  <si>
    <t>NET SPECIAL
 LEVY</t>
  </si>
  <si>
    <t>TAXE SPÉCIALE NETTE</t>
  </si>
  <si>
    <t>IMPÔTS LOCAUX ET ÉVALUATION EN FONCTION DU NOMBRE D'ÉLÈVES RÉSIDENTS</t>
  </si>
  <si>
    <r>
      <t xml:space="preserve">ASSESSMENT
 PER
 RESIDENT PUPIL </t>
    </r>
    <r>
      <rPr>
        <b/>
        <vertAlign val="superscript"/>
        <sz val="9"/>
        <rFont val="Arial"/>
        <family val="2"/>
      </rPr>
      <t>(1)</t>
    </r>
  </si>
  <si>
    <t>EDUCATION
 SUPPORT
 LEVY</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</si>
  <si>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</si>
  <si>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</si>
  <si>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ADD'N  INST. SUPPORT FOR SMALL SCHOOLS</t>
  </si>
  <si>
    <r>
      <t xml:space="preserve">SPARSITY SUPPORT </t>
    </r>
    <r>
      <rPr>
        <b/>
        <vertAlign val="superscript"/>
        <sz val="9"/>
        <rFont val="Arial"/>
        <family val="2"/>
      </rPr>
      <t>(2)</t>
    </r>
  </si>
  <si>
    <t>CURRICULAR MATERIALS</t>
  </si>
  <si>
    <t>INFORMATION TECHNOLOGY</t>
  </si>
  <si>
    <t>LIBRARY SERVICES</t>
  </si>
  <si>
    <t>PROFESSIONAL DEVELOPMENT</t>
  </si>
  <si>
    <t>PHYSICAL EDUCATION</t>
  </si>
  <si>
    <t>TOTAL
BASE
 SUPPORT</t>
  </si>
  <si>
    <r>
      <t xml:space="preserve">TRANSPORTATION </t>
    </r>
    <r>
      <rPr>
        <b/>
        <vertAlign val="superscript"/>
        <sz val="9"/>
        <rFont val="Arial"/>
        <family val="2"/>
      </rPr>
      <t>(1)</t>
    </r>
  </si>
  <si>
    <r>
      <t>SPECIAL
 NEEDS</t>
    </r>
    <r>
      <rPr>
        <b/>
        <vertAlign val="superscript"/>
        <sz val="9"/>
        <rFont val="Arial"/>
        <family val="2"/>
      </rPr>
      <t xml:space="preserve"> (2)</t>
    </r>
  </si>
  <si>
    <t>SENIOR YEARS TECHNOLOGY EDUCATION</t>
  </si>
  <si>
    <t>FRENCH LANGUAGE PROGRAMS</t>
  </si>
  <si>
    <r>
      <t xml:space="preserve">OTHER CATEGORICAL </t>
    </r>
    <r>
      <rPr>
        <b/>
        <vertAlign val="superscript"/>
        <sz val="9"/>
        <rFont val="Arial"/>
        <family val="2"/>
      </rPr>
      <t>(1)</t>
    </r>
  </si>
  <si>
    <t>TOTAL CATEGORICAL SUPPORT</t>
  </si>
  <si>
    <r>
      <t>EQUALIZATION SUPPORT</t>
    </r>
    <r>
      <rPr>
        <b/>
        <vertAlign val="superscript"/>
        <sz val="9"/>
        <rFont val="Arial"/>
        <family val="2"/>
      </rPr>
      <t xml:space="preserve"> (1)</t>
    </r>
  </si>
  <si>
    <r>
      <t xml:space="preserve">ADDITIONAL EQUALIZATION SUPPORT </t>
    </r>
    <r>
      <rPr>
        <b/>
        <vertAlign val="superscript"/>
        <sz val="9"/>
        <rFont val="Arial"/>
        <family val="2"/>
      </rPr>
      <t>(2)</t>
    </r>
  </si>
  <si>
    <r>
      <t xml:space="preserve">FORMULA GUARANTEE </t>
    </r>
    <r>
      <rPr>
        <b/>
        <vertAlign val="superscript"/>
        <sz val="9"/>
        <rFont val="Arial"/>
        <family val="2"/>
      </rPr>
      <t>(3)</t>
    </r>
  </si>
  <si>
    <r>
      <t xml:space="preserve">OTHER 
PROGRAM 
SUPPORT </t>
    </r>
    <r>
      <rPr>
        <b/>
        <vertAlign val="superscript"/>
        <sz val="9"/>
        <rFont val="Arial"/>
        <family val="2"/>
      </rPr>
      <t>(4)</t>
    </r>
  </si>
  <si>
    <t>TOTAL FUNDING
 OF SCHOOLS
 PROGRAM</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</si>
  <si>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</si>
  <si>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Expenditures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</si>
  <si>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</si>
  <si>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</si>
  <si>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</si>
  <si>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</si>
  <si>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(1)  Excludes personnel in Function 300 (Adult Learning Centres) and Function 400 (Community Education and Services) who do not provide 
       educational services to K-12 pupils.</t>
  </si>
  <si>
    <t>FULL TIME EQUIVALENT (FTE) PERSONNEL EMPLOYED (1)</t>
  </si>
  <si>
    <t>PERSONNEL EMPLOYÉ – ÉQUIVALENT TEMPS PLEIN (ETP) (1)</t>
  </si>
  <si>
    <t>(1) Total of Regular Instruction, Student Support Services and Instructional and Other Support Services. See pages 15 and
      16 for details.</t>
  </si>
  <si>
    <t>SOUTIEN DIRECT AUX ÉLÈVES</t>
  </si>
  <si>
    <t>SOMMAIRE STATISTIQUE</t>
  </si>
  <si>
    <t>SPECIAL LEVY
 MILL RATE</t>
  </si>
  <si>
    <t>ASSESSMENT 
PER RESIDENT 
PUPIL</t>
  </si>
  <si>
    <t>PUPIL / EDUCATOR
 RATIO</t>
  </si>
  <si>
    <r>
      <t>OPERATING
 EXPENDITURE 
PER PUPIL</t>
    </r>
    <r>
      <rPr>
        <b/>
        <vertAlign val="superscript"/>
        <sz val="9"/>
        <rFont val="Arial"/>
        <family val="2"/>
      </rPr>
      <t xml:space="preserve"> (1)</t>
    </r>
  </si>
  <si>
    <t xml:space="preserve"> MITT </t>
  </si>
  <si>
    <t>Waywayseecapo Included</t>
  </si>
  <si>
    <t>EARLY
 CHILDHOOD
 DEVELOPMENT INITIATIVE</t>
  </si>
  <si>
    <t xml:space="preserve"> LITERACY
AND
 NUMERACY</t>
  </si>
  <si>
    <t>ASSESSMENT POR RESIDENT PUPIL</t>
  </si>
  <si>
    <t>PAGE Scdatabase COLUMN AC</t>
  </si>
  <si>
    <t>W:\Edusfb\Support\YYYY-YY\Support Files Frozen\DSFYY</t>
  </si>
  <si>
    <t>(1) Special Placement students are not reported separately. They are included in Regular Instruction Enrolment. 
      As a result, total enrolment in Regular Instruction is equal to Total K-12 F.T.E. enrolment.</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</si>
  <si>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</si>
  <si>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PAGE 1 OF 16</t>
  </si>
  <si>
    <t>PAGE 2 OF 16</t>
  </si>
  <si>
    <t>PAGE 3 OF 16</t>
  </si>
  <si>
    <t>PAGE 4 OF 16</t>
  </si>
  <si>
    <t>PAGE 5 OF 16</t>
  </si>
  <si>
    <t>PAGE 7 OF 16</t>
  </si>
  <si>
    <t>PAGE 8 OF 16</t>
  </si>
  <si>
    <t>PAGE 9 OF 16</t>
  </si>
  <si>
    <t>PAGE 10 OF 16</t>
  </si>
  <si>
    <t>PAGE 11 OF 16</t>
  </si>
  <si>
    <t>PAGE 12 OF 16</t>
  </si>
  <si>
    <t>PAGE 13 OF 16</t>
  </si>
  <si>
    <t>PAGE 14 OF 16</t>
  </si>
  <si>
    <t>PAGE 15 OF 16</t>
  </si>
  <si>
    <t>PAGE 16 OF 16</t>
  </si>
  <si>
    <t>PAGE 6 OF 16</t>
  </si>
  <si>
    <t>(1)  Excludes information technology expenses in Function 300 (Adult Learning Centres) and Function 400 (Community Education and Services)
       and Management Information Services in Function 500. Total expenses for Management Information Services are included on page 38 and
       form part of total Information Technology Expenses.</t>
  </si>
  <si>
    <t>(2)  Total Management Information Services expenses in Function 500 (from page 26).</t>
  </si>
  <si>
    <r>
      <t xml:space="preserve">FULL TIME EQUIVALENT (FTE) PERSONNEL EMPLOYED </t>
    </r>
    <r>
      <rPr>
        <b/>
        <vertAlign val="superscript"/>
        <sz val="9"/>
        <rFont val="Arial"/>
        <family val="2"/>
      </rPr>
      <t>(1)</t>
    </r>
  </si>
  <si>
    <t>(3)  From page 50 (for more information, see page 50).</t>
  </si>
  <si>
    <t>(4)  From page 47 (for more information, see page 47).</t>
  </si>
  <si>
    <t>Incremental administration costs related to Waywayseecappo</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</si>
  <si>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</si>
  <si>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</si>
  <si>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</si>
  <si>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DEFINED
ADMINISTRATION
EXPENSES</t>
  </si>
  <si>
    <t>DEFINED 
ADMIN.
EXPENSES 
AS % OF
 EXPENDITURE
 BASE</t>
  </si>
  <si>
    <t xml:space="preserve">
ADMIN.
LIMIT</t>
  </si>
  <si>
    <r>
      <t xml:space="preserve">PORTIONED ASSESSMENT - OTHER AND EDUCATION SUPPORT LEVY  </t>
    </r>
    <r>
      <rPr>
        <b/>
        <vertAlign val="superscript"/>
        <sz val="9"/>
        <rFont val="Arial"/>
        <family val="2"/>
      </rPr>
      <t xml:space="preserve"> (1)</t>
    </r>
  </si>
  <si>
    <t>DEFINED
 ADMIN.
EXPENSES
 (from page 56)</t>
  </si>
  <si>
    <t>Update=&gt;</t>
  </si>
  <si>
    <t>TOTAL OTHER</t>
  </si>
  <si>
    <t>DEPARTMENT OF</t>
  </si>
  <si>
    <t>tig</t>
  </si>
  <si>
    <t>tig dsfm</t>
  </si>
  <si>
    <t>CATEGORICAL</t>
  </si>
  <si>
    <t>SUPPORT</t>
  </si>
  <si>
    <t>Page</t>
  </si>
  <si>
    <t xml:space="preserve"> Function's check</t>
  </si>
  <si>
    <t>Function</t>
  </si>
  <si>
    <t>TRUSTEE</t>
  </si>
  <si>
    <t>ELECTION</t>
  </si>
  <si>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</si>
  <si>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DIRECT SUPPORT
 PER PUPIL</t>
  </si>
  <si>
    <r>
      <t xml:space="preserve">
  DIRECT SUPPORT TO PUPILS
 FUNCTIONS 100 + 200 + 600 </t>
    </r>
    <r>
      <rPr>
        <b/>
        <vertAlign val="superscript"/>
        <sz val="9"/>
        <rFont val="Arial"/>
        <family val="2"/>
      </rPr>
      <t>(1)</t>
    </r>
  </si>
  <si>
    <t>Health and Education Levy.</t>
  </si>
  <si>
    <t>(1)  Support for Function 200 Student Support Services expenses less Counselling and Guidance and Categorical support for Special Needs.</t>
  </si>
  <si>
    <r>
      <t xml:space="preserve">STUDENT SERVICES </t>
    </r>
    <r>
      <rPr>
        <b/>
        <vertAlign val="superscript"/>
        <sz val="9"/>
        <rFont val="Arial"/>
        <family val="2"/>
      </rPr>
      <t>(1)</t>
    </r>
  </si>
  <si>
    <t>2017/2018 BUDGET</t>
  </si>
  <si>
    <t>ACTUAL 
SEP. 30, 2016</t>
  </si>
  <si>
    <t>2017/18</t>
  </si>
  <si>
    <t>2017 TSA</t>
  </si>
  <si>
    <t>(4)  Includes other miscellaneous support (Institutional Programs, Nursing Supports, General Support Grant, Community Schools, etc.).</t>
  </si>
  <si>
    <t xml:space="preserve">PR TIG Adj </t>
  </si>
  <si>
    <t>18b_PROV.xlsm</t>
  </si>
  <si>
    <t>19b_PROV.xlsm</t>
  </si>
  <si>
    <t>2018/2019 BUDGET</t>
  </si>
  <si>
    <t>(1)  Based on area (square footage) of active school buildings as at September 30, 2017. Includes rented and leased space.</t>
  </si>
  <si>
    <t>Sep 30, 17</t>
  </si>
  <si>
    <t>(1) Effective 2006, the Education Support Levy is no longer raised on residential property. The mill rate for other property in 2018 is 9.77.</t>
  </si>
  <si>
    <t>(1)  Special levy requisitioned by school divisions for the 2018 tax year. Actual remittance to school divisions by municipalities is reduced by the
       Education Property Tax Credit. See pages 41 and 42 for more detail.</t>
  </si>
  <si>
    <t xml:space="preserve"> (2018 IS A REASSESSMENT YEAR)</t>
  </si>
  <si>
    <t>POUR L'ANNÉE D'IMPOSITION 2018 (2018 EST UNE ANNÉE DE RÉÉVALUATION)</t>
  </si>
  <si>
    <t>(2018 EST UNE ANNÉE DE RÉÉVALUATION)</t>
  </si>
  <si>
    <t>(1)  Based on a grant per eligible pupil at September 30, 2017.</t>
  </si>
  <si>
    <r>
      <t xml:space="preserve">ADMINISTRATION EXPENSES </t>
    </r>
    <r>
      <rPr>
        <b/>
        <vertAlign val="superscript"/>
        <sz val="9"/>
        <rFont val="Arial"/>
        <family val="2"/>
      </rPr>
      <t>(1)</t>
    </r>
    <r>
      <rPr>
        <b/>
        <sz val="9"/>
        <rFont val="Arial"/>
        <family val="2"/>
      </rPr>
      <t xml:space="preserve"> 2018/2019 BUDGET</t>
    </r>
  </si>
  <si>
    <t>ADMINISTRATION EXPENSES 2018/2019 BUDGET</t>
  </si>
  <si>
    <t>2018/19</t>
  </si>
  <si>
    <r>
      <t xml:space="preserve">2018/19 </t>
    </r>
    <r>
      <rPr>
        <b/>
        <vertAlign val="superscript"/>
        <sz val="9"/>
        <rFont val="Arial"/>
        <family val="2"/>
      </rPr>
      <t>(2)</t>
    </r>
  </si>
  <si>
    <t>2017</t>
  </si>
  <si>
    <r>
      <t xml:space="preserve">2018 </t>
    </r>
    <r>
      <rPr>
        <b/>
        <vertAlign val="superscript"/>
        <sz val="9"/>
        <rFont val="Arial"/>
        <family val="2"/>
      </rPr>
      <t>(3)</t>
    </r>
  </si>
  <si>
    <r>
      <t xml:space="preserve">2018 </t>
    </r>
    <r>
      <rPr>
        <b/>
        <vertAlign val="superscript"/>
        <sz val="9"/>
        <rFont val="Arial"/>
        <family val="2"/>
      </rPr>
      <t>(4)</t>
    </r>
  </si>
  <si>
    <t>2018 TSA</t>
  </si>
  <si>
    <t>ESTIMATE 
SEP. 30, 2018</t>
  </si>
  <si>
    <t>ACTUAL 
SEP. 30, 2017</t>
  </si>
  <si>
    <t>ACTUAL
 SEP. 30, 2017</t>
  </si>
  <si>
    <t>(3)  Provincially supported pupils (actual September 30, 2017 for 2018/19 and actual September 30, 2016 for 2017/18).</t>
  </si>
  <si>
    <t>(3)  Formula Guarantee is provided to ensure that every school division receives at least 98% of the level of funding provided in 2017/18.</t>
  </si>
  <si>
    <t>2017/18 AND 2018/19 BUDGET</t>
  </si>
  <si>
    <t>(3)  The Tax Incentive Grant (TIG) amounts shown above are after the allocation to the DSFM.  The TIG is being phased out over six years starting in 2018. 
        Please refer to note (1) on page 48 for further information regarding the phase-out.</t>
  </si>
  <si>
    <t>(1)  The Tax Incentive Grant (TIG) was a voluntary program intended to assist school divisions that maintained their Special Levy amount 
       adjusted for real growth in property assessment.  Starting in 2018, it is being phased out at 1/6th per year and adjusted (per a TIG 
       Guarantee) to ensure that total operating support including the TIG is at least 98 per cent of last year’s funding.  The 2018 TIG of $53.9
       million is a $7.5 million reduction from the 2017 grant of $61.4 million which is comprised of a $10.2 million reduction (1/6th) offset by
       a $2.7 million TIG guarantee.</t>
  </si>
  <si>
    <t>INDIGENOUS ACADEMIC ACHIEVEMENT</t>
  </si>
  <si>
    <t xml:space="preserve">                    </t>
  </si>
  <si>
    <t>(1)  All other categorical support not shown elsewhere (eg. Indigenous and International Languages, Northern Allowance, etc.).</t>
  </si>
  <si>
    <t>(4)  Includes School Buildings "D" Support, Technology Education Equipment Replacement and other minor capital support.</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</si>
  <si>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2018/19, school divisions are required to limit
       the proportion of the budget spent on divisional administration to 3.0% (for school divisions with F.T.E enrolment of 5,000 of greater), 3.60% 
      (for school divisions with F.T.E enrolment of 1,000 or less) and between 3.0% and 3.60% for school divisions with F.T.E enrolment between
      1,000 and 5,000. Northern school divisions are subject  to a 4.25% limit.</t>
  </si>
  <si>
    <t>(2)  Mill rate for Flin Flon is adjusted for mining revenue.</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</si>
  <si>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</si>
  <si>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</si>
  <si>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</si>
  <si>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</si>
  <si>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</si>
  <si>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</si>
  <si>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FRAME Report: 2018/19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</si>
</sst>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6" formatCode=";;;"/>
    <numFmt numFmtId="167" formatCode="0.0%"/>
    <numFmt numFmtId="168" formatCode="#,##0.0_);\(#,##0.0\)"/>
    <numFmt numFmtId="169" formatCode="0.0_)"/>
    <numFmt numFmtId="170" formatCode="0.00_)"/>
    <numFmt numFmtId="171" formatCode="#,##0_ ;\(#,##0\)"/>
    <numFmt numFmtId="172" formatCode="#,##0\ ;\(#,##0\ \)"/>
    <numFmt numFmtId="174" formatCode="#,##0.0000;\-#,##0.0000"/>
    <numFmt numFmtId="175" formatCode="#,##0.0_ ;\(#,##0.0\)"/>
    <numFmt numFmtId="176" formatCode="#,##0.0_);[Red]\(#,##0.0\)"/>
    <numFmt numFmtId="179" formatCode="dd\-mmm\-yy_)"/>
    <numFmt numFmtId="180" formatCode="#,##0;\(#,##0\)"/>
    <numFmt numFmtId="181" formatCode="0_)"/>
    <numFmt numFmtId="182" formatCode="#,##0.00000;\-#,##0.00000"/>
  </numFmts>
  <fonts count="42" x14ac:knownFonts="1">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b/>
      <sz val="12"/>
      <color theme="0"/>
      <name val="Arial"/>
      <family val="2"/>
    </font>
    <font>
      <sz val="9"/>
      <color theme="0"/>
      <name val="Arial"/>
      <family val="2"/>
    </font>
    <font>
      <b/>
      <sz val="9"/>
      <color theme="0"/>
      <name val="Arial"/>
      <family val="2"/>
    </font>
    <font>
      <sz val="11"/>
      <color rgb="FF1F497D"/>
      <name val="Calibri"/>
      <family val="2"/>
    </font>
    <font>
      <sz val="9"/>
      <color rgb="FF000000"/>
      <name val="Times New Roman"/>
      <family val="1"/>
    </font>
    <font>
      <sz val="9"/>
      <color indexed="81"/>
      <name val="Tahoma"/>
      <family val="2"/>
    </font>
    <font>
      <b/>
      <sz val="9"/>
      <color indexed="81"/>
      <name val="Tahoma"/>
      <family val="2"/>
    </font>
    <font>
      <sz val="12"/>
      <name val="Times New Roman"/>
      <family val="1"/>
    </font>
    <font>
      <sz val="12"/>
      <color indexed="9"/>
      <name val="Arial"/>
      <family val="2"/>
    </font>
    <font>
      <u/>
      <sz val="9"/>
      <color theme="10"/>
      <name val="Times New Roman"/>
      <family val="1"/>
    </font>
    <font>
      <u/>
      <sz val="12"/>
      <color theme="0"/>
      <name val="Arial"/>
      <family val="2"/>
    </font>
    <font>
      <b/>
      <sz val="12"/>
      <color theme="1"/>
      <name val="Arial"/>
      <family val="2"/>
    </font>
  </fonts>
  <fills count="17">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57"/>
        <bgColor indexed="64"/>
      </patternFill>
    </fill>
    <fill>
      <patternFill patternType="solid">
        <fgColor theme="6" tint="0.59999389629810485"/>
        <bgColor indexed="64"/>
      </patternFill>
    </fill>
  </fills>
  <borders count="6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diagonal/>
    </border>
    <border>
      <left style="thin">
        <color auto="1"/>
      </left>
      <right style="thin">
        <color theme="0" tint="-0.14996795556505021"/>
      </right>
      <top style="thin">
        <color auto="1"/>
      </top>
      <bottom style="thin">
        <color theme="0" tint="-0.14996795556505021"/>
      </bottom>
      <diagonal/>
    </border>
  </borders>
  <cellStyleXfs count="9">
    <xf numFmtId="37" fontId="0" fillId="0" borderId="0"/>
    <xf numFmtId="0" fontId="2" fillId="2" borderId="1"/>
    <xf numFmtId="164" fontId="1" fillId="0" borderId="0" applyFont="0" applyFill="0" applyBorder="0" applyAlignment="0" applyProtection="0"/>
    <xf numFmtId="164" fontId="15" fillId="0" borderId="0" applyFont="0" applyFill="0" applyBorder="0" applyAlignment="0" applyProtection="0"/>
    <xf numFmtId="0" fontId="15" fillId="0" borderId="0"/>
    <xf numFmtId="39" fontId="20" fillId="0" borderId="0"/>
    <xf numFmtId="9" fontId="1" fillId="0" borderId="0" applyFont="0" applyFill="0" applyBorder="0" applyAlignment="0" applyProtection="0"/>
    <xf numFmtId="37" fontId="20" fillId="0" borderId="0"/>
    <xf numFmtId="0" fontId="39" fillId="0" borderId="0" applyNumberFormat="0" applyFill="0" applyBorder="0" applyAlignment="0" applyProtection="0">
      <alignment vertical="top"/>
      <protection locked="0"/>
    </xf>
  </cellStyleXfs>
  <cellXfs count="844">
    <xf numFmtId="37" fontId="0" fillId="0" borderId="0" xfId="0"/>
    <xf numFmtId="37" fontId="5" fillId="0" borderId="0" xfId="0" applyFont="1"/>
    <xf numFmtId="49" fontId="5" fillId="0" borderId="0" xfId="0" applyNumberFormat="1" applyFont="1" applyAlignment="1"/>
    <xf numFmtId="166"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1" xfId="0" applyFont="1" applyFill="1" applyBorder="1" applyAlignment="1">
      <alignment horizontal="center"/>
    </xf>
    <xf numFmtId="49" fontId="3" fillId="0" borderId="7" xfId="0" applyNumberFormat="1" applyFont="1" applyBorder="1"/>
    <xf numFmtId="49" fontId="3" fillId="0" borderId="8" xfId="0" applyNumberFormat="1" applyFont="1" applyBorder="1"/>
    <xf numFmtId="49" fontId="3" fillId="0" borderId="0" xfId="0" applyNumberFormat="1" applyFont="1"/>
    <xf numFmtId="49" fontId="5" fillId="0" borderId="1" xfId="0" applyNumberFormat="1" applyFont="1" applyBorder="1" applyAlignment="1">
      <alignment vertical="center"/>
    </xf>
    <xf numFmtId="171" fontId="5" fillId="0" borderId="1" xfId="0" applyNumberFormat="1" applyFont="1" applyBorder="1" applyAlignment="1">
      <alignment vertical="center"/>
    </xf>
    <xf numFmtId="49" fontId="5" fillId="0" borderId="0" xfId="0" applyNumberFormat="1" applyFont="1" applyAlignment="1">
      <alignment vertical="center"/>
    </xf>
    <xf numFmtId="172"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1"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6"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6" fontId="5"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70" fontId="5" fillId="3" borderId="0" xfId="0" applyNumberFormat="1" applyFont="1" applyFill="1" applyProtection="1"/>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8" xfId="0" applyFont="1" applyBorder="1" applyAlignment="1">
      <alignment vertical="center"/>
    </xf>
    <xf numFmtId="37" fontId="5" fillId="0" borderId="0" xfId="0" applyFont="1" applyProtection="1"/>
    <xf numFmtId="175" fontId="5" fillId="0" borderId="1" xfId="0" applyNumberFormat="1" applyFont="1" applyBorder="1" applyAlignment="1">
      <alignment vertical="center"/>
    </xf>
    <xf numFmtId="175" fontId="5" fillId="0" borderId="14" xfId="0" applyNumberFormat="1" applyFont="1" applyBorder="1" applyAlignment="1">
      <alignment vertical="center"/>
    </xf>
    <xf numFmtId="175" fontId="5" fillId="0" borderId="6" xfId="0" applyNumberFormat="1" applyFont="1" applyBorder="1" applyAlignment="1">
      <alignment vertical="center"/>
    </xf>
    <xf numFmtId="175" fontId="5" fillId="0" borderId="0" xfId="0" applyNumberFormat="1" applyFont="1" applyAlignment="1">
      <alignment vertical="center"/>
    </xf>
    <xf numFmtId="37" fontId="5" fillId="0" borderId="11" xfId="0" applyFont="1" applyBorder="1" applyProtection="1"/>
    <xf numFmtId="37" fontId="5" fillId="0" borderId="15" xfId="0" applyFont="1" applyBorder="1"/>
    <xf numFmtId="37" fontId="3" fillId="0" borderId="15"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6" xfId="0" applyFont="1" applyBorder="1"/>
    <xf numFmtId="37" fontId="5" fillId="0" borderId="5" xfId="0" applyFont="1" applyBorder="1"/>
    <xf numFmtId="37" fontId="3" fillId="0" borderId="17" xfId="0" applyFont="1" applyBorder="1"/>
    <xf numFmtId="171" fontId="5" fillId="0" borderId="1" xfId="0" applyNumberFormat="1" applyFont="1" applyBorder="1" applyProtection="1"/>
    <xf numFmtId="171" fontId="5" fillId="0" borderId="6" xfId="0" applyNumberFormat="1" applyFont="1" applyBorder="1" applyProtection="1"/>
    <xf numFmtId="37" fontId="5" fillId="0" borderId="6" xfId="0" applyFont="1" applyBorder="1"/>
    <xf numFmtId="166" fontId="5" fillId="0" borderId="13" xfId="0" applyNumberFormat="1" applyFont="1" applyBorder="1" applyProtection="1"/>
    <xf numFmtId="171" fontId="5" fillId="0" borderId="13"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7" xfId="0" applyFont="1" applyBorder="1" applyAlignment="1">
      <alignment vertical="top"/>
    </xf>
    <xf numFmtId="37" fontId="5" fillId="0" borderId="13" xfId="0" applyFont="1" applyBorder="1" applyAlignment="1">
      <alignment horizontal="right" textRotation="180"/>
    </xf>
    <xf numFmtId="171" fontId="5" fillId="0" borderId="0" xfId="0" applyNumberFormat="1" applyFont="1" applyProtection="1"/>
    <xf numFmtId="49" fontId="9" fillId="0" borderId="0" xfId="0" applyNumberFormat="1" applyFont="1"/>
    <xf numFmtId="37" fontId="5" fillId="0" borderId="13" xfId="0" applyNumberFormat="1" applyFont="1" applyBorder="1" applyProtection="1"/>
    <xf numFmtId="37" fontId="5" fillId="0" borderId="0" xfId="0" applyNumberFormat="1" applyFont="1" applyProtection="1"/>
    <xf numFmtId="37" fontId="5" fillId="0" borderId="18" xfId="0" applyFont="1" applyBorder="1"/>
    <xf numFmtId="37" fontId="3" fillId="0" borderId="19" xfId="0" applyFont="1" applyBorder="1"/>
    <xf numFmtId="171" fontId="3" fillId="0" borderId="20" xfId="0" applyNumberFormat="1" applyFont="1" applyBorder="1" applyProtection="1"/>
    <xf numFmtId="171" fontId="3" fillId="0" borderId="19" xfId="0" applyNumberFormat="1" applyFont="1" applyBorder="1" applyProtection="1"/>
    <xf numFmtId="171" fontId="3" fillId="0" borderId="15" xfId="0" applyNumberFormat="1" applyFont="1" applyBorder="1" applyProtection="1"/>
    <xf numFmtId="171" fontId="5" fillId="0" borderId="15"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5" fillId="0" borderId="0" xfId="0" applyFont="1" applyAlignment="1">
      <alignment horizontal="centerContinuous"/>
    </xf>
    <xf numFmtId="168"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8" fontId="5" fillId="5" borderId="0" xfId="0" applyNumberFormat="1" applyFont="1" applyFill="1" applyBorder="1" applyProtection="1"/>
    <xf numFmtId="168" fontId="3" fillId="5" borderId="0" xfId="0" applyNumberFormat="1" applyFont="1" applyFill="1" applyBorder="1" applyProtection="1"/>
    <xf numFmtId="168" fontId="5" fillId="0" borderId="11" xfId="0" applyNumberFormat="1" applyFont="1" applyBorder="1" applyAlignment="1" applyProtection="1">
      <alignment horizontal="right"/>
    </xf>
    <xf numFmtId="37" fontId="3" fillId="0" borderId="15" xfId="0" applyFont="1" applyBorder="1" applyAlignment="1">
      <alignment horizontal="centerContinuous"/>
    </xf>
    <xf numFmtId="37" fontId="5" fillId="0" borderId="15" xfId="0" applyFont="1" applyBorder="1" applyAlignment="1">
      <alignment horizontal="centerContinuous"/>
    </xf>
    <xf numFmtId="37" fontId="5" fillId="0" borderId="15" xfId="0" applyFont="1" applyBorder="1" applyAlignment="1"/>
    <xf numFmtId="37" fontId="5" fillId="0" borderId="15" xfId="0" applyFont="1" applyBorder="1" applyAlignment="1">
      <alignment horizontal="right"/>
    </xf>
    <xf numFmtId="37" fontId="3" fillId="0" borderId="0" xfId="0" applyFont="1" applyAlignment="1">
      <alignment horizontal="centerContinuous"/>
    </xf>
    <xf numFmtId="37" fontId="3" fillId="0" borderId="18" xfId="0" applyFont="1" applyBorder="1" applyAlignment="1">
      <alignment horizontal="centerContinuous"/>
    </xf>
    <xf numFmtId="37" fontId="5" fillId="0" borderId="19" xfId="0" applyFont="1" applyBorder="1" applyAlignment="1">
      <alignment horizontal="centerContinuous"/>
    </xf>
    <xf numFmtId="37" fontId="3" fillId="3" borderId="23"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1" fontId="5" fillId="3" borderId="7" xfId="0" applyNumberFormat="1" applyFont="1" applyFill="1" applyBorder="1" applyProtection="1"/>
    <xf numFmtId="37" fontId="5" fillId="3" borderId="21" xfId="0" applyFont="1" applyFill="1" applyBorder="1"/>
    <xf numFmtId="171" fontId="5" fillId="3" borderId="21" xfId="0" applyNumberFormat="1" applyFont="1" applyFill="1" applyBorder="1" applyProtection="1"/>
    <xf numFmtId="37" fontId="5" fillId="0" borderId="21" xfId="0" applyFont="1" applyBorder="1"/>
    <xf numFmtId="171" fontId="5" fillId="0" borderId="21" xfId="0" applyNumberFormat="1" applyFont="1" applyBorder="1" applyProtection="1"/>
    <xf numFmtId="171" fontId="5" fillId="0" borderId="21" xfId="0" applyNumberFormat="1" applyFont="1" applyBorder="1"/>
    <xf numFmtId="37" fontId="5" fillId="0" borderId="8" xfId="0" applyFont="1" applyBorder="1" applyAlignment="1">
      <alignment horizontal="left"/>
    </xf>
    <xf numFmtId="171" fontId="5" fillId="0" borderId="8" xfId="0" applyNumberFormat="1" applyFont="1" applyBorder="1" applyProtection="1"/>
    <xf numFmtId="37" fontId="3" fillId="0" borderId="23" xfId="0" applyFont="1" applyFill="1" applyBorder="1"/>
    <xf numFmtId="37" fontId="5" fillId="0" borderId="21" xfId="0" applyNumberFormat="1" applyFont="1" applyBorder="1" applyProtection="1"/>
    <xf numFmtId="37" fontId="5" fillId="0" borderId="21"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1" fontId="3" fillId="0" borderId="23" xfId="0" applyNumberFormat="1" applyFont="1" applyFill="1" applyBorder="1"/>
    <xf numFmtId="167" fontId="5" fillId="0" borderId="0" xfId="0" applyNumberFormat="1" applyFont="1" applyProtection="1"/>
    <xf numFmtId="49" fontId="5"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6" fontId="5" fillId="0" borderId="2" xfId="0" applyNumberFormat="1" applyFont="1" applyBorder="1" applyAlignment="1" applyProtection="1">
      <alignment vertical="center"/>
    </xf>
    <xf numFmtId="37" fontId="5" fillId="0" borderId="24" xfId="0" applyFont="1" applyBorder="1" applyAlignment="1">
      <alignment horizontal="centerContinuous"/>
    </xf>
    <xf numFmtId="37" fontId="6" fillId="0" borderId="2" xfId="0" applyFont="1" applyBorder="1" applyProtection="1">
      <protection locked="0"/>
    </xf>
    <xf numFmtId="166"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6" xfId="0" applyFont="1" applyFill="1" applyBorder="1" applyAlignment="1">
      <alignment horizontal="centerContinuous"/>
    </xf>
    <xf numFmtId="37" fontId="3" fillId="3" borderId="6" xfId="0" applyFont="1" applyFill="1" applyBorder="1"/>
    <xf numFmtId="171" fontId="5" fillId="0" borderId="1" xfId="0" applyNumberFormat="1" applyFont="1" applyBorder="1"/>
    <xf numFmtId="171" fontId="5" fillId="0" borderId="0" xfId="0" applyNumberFormat="1" applyFont="1"/>
    <xf numFmtId="37" fontId="5" fillId="0" borderId="24" xfId="0" applyFont="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9" fontId="5" fillId="0" borderId="0" xfId="0" applyNumberFormat="1" applyFont="1" applyProtection="1"/>
    <xf numFmtId="37" fontId="5" fillId="3" borderId="2" xfId="0" applyFont="1" applyFill="1" applyBorder="1" applyAlignment="1">
      <alignment horizontal="right" vertical="center"/>
    </xf>
    <xf numFmtId="37" fontId="3" fillId="0" borderId="19" xfId="0" applyFont="1" applyBorder="1" applyAlignment="1">
      <alignment horizontal="centerContinuous"/>
    </xf>
    <xf numFmtId="166" fontId="5" fillId="0" borderId="2" xfId="0" applyNumberFormat="1" applyFont="1" applyBorder="1" applyAlignment="1" applyProtection="1">
      <alignment horizontal="centerContinuous"/>
    </xf>
    <xf numFmtId="166" fontId="5" fillId="0" borderId="3" xfId="0" applyNumberFormat="1" applyFont="1" applyBorder="1" applyAlignment="1" applyProtection="1">
      <alignment horizontal="centerContinuous"/>
    </xf>
    <xf numFmtId="37" fontId="3" fillId="0" borderId="20" xfId="0" applyFont="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5" xfId="0" applyFont="1" applyFill="1" applyBorder="1" applyProtection="1"/>
    <xf numFmtId="37" fontId="5" fillId="3" borderId="15" xfId="0" applyFont="1" applyFill="1" applyBorder="1" applyProtection="1"/>
    <xf numFmtId="37" fontId="5" fillId="3" borderId="19"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6" xfId="0" applyFont="1" applyFill="1" applyBorder="1" applyProtection="1"/>
    <xf numFmtId="37" fontId="5" fillId="0" borderId="6" xfId="0" applyFont="1" applyBorder="1" applyProtection="1"/>
    <xf numFmtId="171" fontId="5" fillId="0" borderId="13" xfId="0" applyNumberFormat="1" applyFont="1" applyBorder="1" applyAlignment="1">
      <alignment vertical="center"/>
    </xf>
    <xf numFmtId="176" fontId="5" fillId="0" borderId="25" xfId="0" applyNumberFormat="1" applyFont="1" applyBorder="1" applyAlignment="1">
      <alignment vertical="center"/>
    </xf>
    <xf numFmtId="176" fontId="5" fillId="0" borderId="0" xfId="0" applyNumberFormat="1" applyFont="1" applyAlignment="1">
      <alignment vertical="center"/>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166" fontId="5" fillId="0" borderId="2" xfId="0" applyNumberFormat="1" applyFont="1" applyBorder="1" applyAlignment="1" applyProtection="1">
      <alignment horizontal="centerContinuous" vertical="center"/>
    </xf>
    <xf numFmtId="37" fontId="5" fillId="0" borderId="24" xfId="0" applyFont="1" applyBorder="1" applyAlignment="1">
      <alignment horizontal="centerContinuous" vertical="center"/>
    </xf>
    <xf numFmtId="166" fontId="5" fillId="0" borderId="3" xfId="0" applyNumberFormat="1" applyFont="1" applyBorder="1" applyAlignment="1" applyProtection="1">
      <alignment horizontal="centerContinuous" vertical="center"/>
    </xf>
    <xf numFmtId="166" fontId="5" fillId="0" borderId="0" xfId="0" applyNumberFormat="1" applyFont="1" applyBorder="1" applyProtection="1"/>
    <xf numFmtId="37" fontId="3" fillId="3" borderId="18" xfId="0" applyFont="1" applyFill="1" applyBorder="1" applyAlignment="1">
      <alignment horizontal="centerContinuous"/>
    </xf>
    <xf numFmtId="166" fontId="6" fillId="0" borderId="0" xfId="0" applyNumberFormat="1" applyFont="1" applyProtection="1">
      <protection locked="0"/>
    </xf>
    <xf numFmtId="166" fontId="5" fillId="0" borderId="15" xfId="0" applyNumberFormat="1" applyFont="1" applyBorder="1" applyAlignment="1" applyProtection="1">
      <alignment vertical="center"/>
    </xf>
    <xf numFmtId="37" fontId="3" fillId="3" borderId="15" xfId="0" quotePrefix="1" applyFont="1" applyFill="1" applyBorder="1" applyAlignment="1" applyProtection="1">
      <alignment horizontal="centerContinuous" vertical="center"/>
    </xf>
    <xf numFmtId="37" fontId="5" fillId="0" borderId="15" xfId="0" applyFont="1" applyBorder="1" applyAlignment="1">
      <alignment horizontal="right" vertical="center"/>
    </xf>
    <xf numFmtId="37" fontId="3" fillId="0" borderId="4" xfId="0" applyFont="1" applyBorder="1" applyAlignment="1">
      <alignment horizontal="center"/>
    </xf>
    <xf numFmtId="37" fontId="5" fillId="0" borderId="0" xfId="0" applyFont="1" applyAlignment="1">
      <alignment wrapText="1"/>
    </xf>
    <xf numFmtId="37" fontId="5" fillId="0" borderId="15" xfId="0" applyFont="1" applyBorder="1" applyAlignment="1">
      <alignment vertical="center"/>
    </xf>
    <xf numFmtId="37" fontId="3" fillId="3" borderId="20" xfId="0" applyFont="1" applyFill="1" applyBorder="1" applyAlignment="1">
      <alignment horizontal="centerContinuous"/>
    </xf>
    <xf numFmtId="37" fontId="5" fillId="0" borderId="15" xfId="0" applyFont="1" applyBorder="1" applyAlignment="1">
      <alignment horizontal="left" vertical="center"/>
    </xf>
    <xf numFmtId="37" fontId="5" fillId="0" borderId="15"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8" fontId="5" fillId="0" borderId="0" xfId="0" applyNumberFormat="1" applyFont="1"/>
    <xf numFmtId="175" fontId="5" fillId="0" borderId="1" xfId="0" applyNumberFormat="1" applyFont="1" applyBorder="1"/>
    <xf numFmtId="174" fontId="5" fillId="0" borderId="0" xfId="0" applyNumberFormat="1" applyFont="1"/>
    <xf numFmtId="175" fontId="5" fillId="0" borderId="0" xfId="0" applyNumberFormat="1" applyFont="1"/>
    <xf numFmtId="166" fontId="5" fillId="0" borderId="0" xfId="0" applyNumberFormat="1" applyFont="1" applyAlignment="1" applyProtection="1">
      <alignment horizontal="right"/>
    </xf>
    <xf numFmtId="37" fontId="5" fillId="0" borderId="0" xfId="0" applyFont="1" applyAlignment="1">
      <alignment horizontal="center"/>
    </xf>
    <xf numFmtId="37" fontId="5" fillId="0" borderId="30" xfId="0" applyFont="1" applyBorder="1"/>
    <xf numFmtId="37" fontId="5" fillId="0" borderId="27" xfId="0" applyFont="1" applyBorder="1"/>
    <xf numFmtId="0" fontId="5" fillId="0" borderId="0" xfId="0" applyNumberFormat="1" applyFont="1" applyAlignment="1">
      <alignment horizontal="center"/>
    </xf>
    <xf numFmtId="37" fontId="5" fillId="3" borderId="0" xfId="0" applyFont="1" applyFill="1" applyAlignment="1">
      <alignment horizontal="left"/>
    </xf>
    <xf numFmtId="37" fontId="5" fillId="0" borderId="0" xfId="0" quotePrefix="1" applyFont="1" applyAlignment="1">
      <alignment horizontal="center"/>
    </xf>
    <xf numFmtId="37" fontId="3" fillId="0" borderId="21" xfId="0" applyFont="1" applyBorder="1" applyAlignment="1">
      <alignment horizontal="center" vertical="center"/>
    </xf>
    <xf numFmtId="164"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0" xfId="0" applyNumberFormat="1" applyFont="1" applyFill="1" applyBorder="1" applyAlignment="1">
      <alignment horizontal="center"/>
    </xf>
    <xf numFmtId="37" fontId="3" fillId="3" borderId="15"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0" borderId="31" xfId="0" applyFont="1" applyBorder="1" applyAlignment="1">
      <alignment horizontal="center"/>
    </xf>
    <xf numFmtId="37" fontId="5" fillId="0" borderId="7" xfId="0" applyFont="1" applyBorder="1"/>
    <xf numFmtId="37" fontId="3" fillId="0" borderId="21" xfId="0" applyFont="1" applyBorder="1" applyAlignment="1">
      <alignment horizontal="center"/>
    </xf>
    <xf numFmtId="49" fontId="5" fillId="0" borderId="0" xfId="0" applyNumberFormat="1" applyFont="1" applyBorder="1" applyAlignment="1">
      <alignment horizontal="left"/>
    </xf>
    <xf numFmtId="37" fontId="5" fillId="3" borderId="0" xfId="0" applyFont="1" applyFill="1" applyBorder="1" applyAlignment="1">
      <alignment horizontal="right"/>
    </xf>
    <xf numFmtId="166" fontId="5" fillId="0" borderId="15" xfId="0" applyNumberFormat="1" applyFont="1" applyBorder="1" applyProtection="1"/>
    <xf numFmtId="37" fontId="5" fillId="0" borderId="15" xfId="0" applyFont="1" applyBorder="1" applyAlignment="1">
      <alignment horizontal="centerContinuous" vertical="center"/>
    </xf>
    <xf numFmtId="166" fontId="5" fillId="0" borderId="0" xfId="0" applyNumberFormat="1" applyFont="1" applyAlignment="1" applyProtection="1">
      <alignment horizontal="centerContinuous"/>
    </xf>
    <xf numFmtId="37" fontId="6" fillId="0" borderId="15" xfId="0" applyFont="1" applyBorder="1" applyAlignment="1" applyProtection="1">
      <alignment horizontal="centerContinuous" vertical="center"/>
      <protection locked="0"/>
    </xf>
    <xf numFmtId="0" fontId="5" fillId="0" borderId="0" xfId="2" applyNumberFormat="1" applyFont="1" applyAlignment="1"/>
    <xf numFmtId="37" fontId="5" fillId="0" borderId="0" xfId="0" quotePrefix="1" applyFont="1" applyAlignment="1"/>
    <xf numFmtId="37" fontId="3" fillId="0" borderId="27" xfId="0" applyFont="1" applyBorder="1" applyAlignment="1">
      <alignment horizontal="centerContinuous" vertical="center"/>
    </xf>
    <xf numFmtId="37" fontId="5" fillId="0" borderId="27" xfId="0" applyFont="1" applyBorder="1" applyAlignment="1">
      <alignment horizontal="centerContinuous" vertical="center"/>
    </xf>
    <xf numFmtId="37" fontId="6" fillId="0" borderId="15" xfId="0" applyFont="1" applyBorder="1" applyAlignment="1" applyProtection="1">
      <alignment vertical="center"/>
      <protection locked="0"/>
    </xf>
    <xf numFmtId="37" fontId="3" fillId="0" borderId="1" xfId="0" applyFont="1" applyBorder="1"/>
    <xf numFmtId="49" fontId="5" fillId="0" borderId="0" xfId="0" applyNumberFormat="1" applyFont="1" applyBorder="1" applyAlignment="1">
      <alignment vertical="center"/>
    </xf>
    <xf numFmtId="171" fontId="5" fillId="0" borderId="0" xfId="0" applyNumberFormat="1" applyFont="1" applyBorder="1"/>
    <xf numFmtId="166" fontId="5" fillId="0" borderId="24" xfId="0" applyNumberFormat="1" applyFont="1" applyBorder="1" applyAlignment="1" applyProtection="1">
      <alignment vertical="center"/>
    </xf>
    <xf numFmtId="37" fontId="3" fillId="0" borderId="24" xfId="0" applyFont="1" applyBorder="1" applyAlignment="1">
      <alignment horizontal="centerContinuous" vertical="center"/>
    </xf>
    <xf numFmtId="166" fontId="5" fillId="0" borderId="11" xfId="0" applyNumberFormat="1" applyFont="1" applyBorder="1" applyAlignment="1" applyProtection="1">
      <alignment vertical="center"/>
    </xf>
    <xf numFmtId="37" fontId="5" fillId="0" borderId="11" xfId="0" applyFont="1" applyBorder="1" applyAlignment="1"/>
    <xf numFmtId="37" fontId="5" fillId="0" borderId="32" xfId="0" applyFont="1" applyBorder="1"/>
    <xf numFmtId="167" fontId="5" fillId="0" borderId="0" xfId="6" applyNumberFormat="1" applyFont="1" applyBorder="1"/>
    <xf numFmtId="37" fontId="5" fillId="0" borderId="0" xfId="0" applyNumberFormat="1" applyFont="1"/>
    <xf numFmtId="171" fontId="5" fillId="0" borderId="1" xfId="0" applyNumberFormat="1" applyFont="1" applyBorder="1" applyAlignment="1">
      <alignment horizontal="right"/>
    </xf>
    <xf numFmtId="37" fontId="3" fillId="0" borderId="33" xfId="0" applyFont="1" applyBorder="1"/>
    <xf numFmtId="37" fontId="3" fillId="0" borderId="34" xfId="0" applyFont="1" applyBorder="1"/>
    <xf numFmtId="37" fontId="3" fillId="0" borderId="7" xfId="0" applyFont="1" applyFill="1" applyBorder="1" applyAlignment="1">
      <alignment horizontal="centerContinuous" vertical="center"/>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1" xfId="0" applyFont="1" applyFill="1" applyBorder="1" applyAlignment="1"/>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7" xfId="0" applyFont="1" applyBorder="1" applyAlignment="1">
      <alignment horizontal="right" vertical="top" textRotation="180"/>
    </xf>
    <xf numFmtId="169" fontId="5" fillId="3" borderId="21" xfId="0" applyNumberFormat="1" applyFont="1" applyFill="1" applyBorder="1" applyProtection="1"/>
    <xf numFmtId="169" fontId="5" fillId="0" borderId="21" xfId="0" applyNumberFormat="1" applyFont="1" applyBorder="1" applyProtection="1"/>
    <xf numFmtId="169" fontId="5" fillId="0" borderId="8" xfId="0" applyNumberFormat="1" applyFont="1" applyBorder="1" applyProtection="1"/>
    <xf numFmtId="169" fontId="5" fillId="3" borderId="7" xfId="0" applyNumberFormat="1" applyFont="1" applyFill="1" applyBorder="1" applyProtection="1"/>
    <xf numFmtId="169" fontId="3" fillId="0" borderId="23" xfId="6" applyNumberFormat="1" applyFont="1" applyFill="1" applyBorder="1"/>
    <xf numFmtId="169" fontId="3" fillId="0" borderId="7" xfId="6" applyNumberFormat="1" applyFont="1" applyFill="1" applyBorder="1"/>
    <xf numFmtId="169" fontId="5" fillId="0" borderId="0" xfId="0" applyNumberFormat="1" applyFont="1" applyProtection="1"/>
    <xf numFmtId="169" fontId="5" fillId="0" borderId="0" xfId="6" applyNumberFormat="1" applyFont="1"/>
    <xf numFmtId="169" fontId="5" fillId="0" borderId="1" xfId="6" applyNumberFormat="1" applyFont="1" applyBorder="1"/>
    <xf numFmtId="37" fontId="3" fillId="6" borderId="16" xfId="0" applyFont="1" applyFill="1" applyBorder="1" applyAlignment="1">
      <alignment horizontal="centerContinuous"/>
    </xf>
    <xf numFmtId="37" fontId="3" fillId="6" borderId="2" xfId="0" applyFont="1" applyFill="1" applyBorder="1" applyAlignment="1">
      <alignment horizontal="centerContinuous"/>
    </xf>
    <xf numFmtId="37" fontId="3" fillId="6" borderId="5" xfId="0" applyFont="1" applyFill="1" applyBorder="1" applyAlignment="1">
      <alignment horizontal="centerContinuous"/>
    </xf>
    <xf numFmtId="49" fontId="5" fillId="6" borderId="1" xfId="0" applyNumberFormat="1" applyFont="1" applyFill="1" applyBorder="1" applyAlignment="1">
      <alignment vertical="center"/>
    </xf>
    <xf numFmtId="171" fontId="5" fillId="6" borderId="1" xfId="0" applyNumberFormat="1" applyFont="1" applyFill="1" applyBorder="1" applyAlignment="1">
      <alignment vertical="center"/>
    </xf>
    <xf numFmtId="169" fontId="5" fillId="6" borderId="1" xfId="6" applyNumberFormat="1" applyFont="1" applyFill="1" applyBorder="1"/>
    <xf numFmtId="49" fontId="3" fillId="6" borderId="20" xfId="2" applyNumberFormat="1" applyFont="1" applyFill="1" applyBorder="1" applyAlignment="1">
      <alignment vertical="center"/>
    </xf>
    <xf numFmtId="171" fontId="3" fillId="6" borderId="20" xfId="0" applyNumberFormat="1" applyFont="1" applyFill="1" applyBorder="1" applyAlignment="1">
      <alignment vertical="center"/>
    </xf>
    <xf numFmtId="169" fontId="3" fillId="6" borderId="20" xfId="6" applyNumberFormat="1" applyFont="1" applyFill="1" applyBorder="1"/>
    <xf numFmtId="37" fontId="5" fillId="6" borderId="16" xfId="0" applyFont="1" applyFill="1" applyBorder="1"/>
    <xf numFmtId="37" fontId="3" fillId="6" borderId="2" xfId="0" applyFont="1" applyFill="1" applyBorder="1"/>
    <xf numFmtId="37" fontId="5" fillId="6" borderId="5" xfId="0" applyFont="1" applyFill="1" applyBorder="1" applyAlignment="1">
      <alignment horizontal="centerContinuous"/>
    </xf>
    <xf numFmtId="37" fontId="5" fillId="6" borderId="2" xfId="0" applyFont="1" applyFill="1" applyBorder="1" applyAlignment="1">
      <alignment horizontal="centerContinuous"/>
    </xf>
    <xf numFmtId="37" fontId="3" fillId="7" borderId="23" xfId="0" applyFont="1" applyFill="1" applyBorder="1"/>
    <xf numFmtId="37" fontId="3" fillId="7" borderId="35" xfId="0" applyFont="1" applyFill="1" applyBorder="1"/>
    <xf numFmtId="37" fontId="3" fillId="6" borderId="18" xfId="0" applyFont="1" applyFill="1" applyBorder="1" applyAlignment="1">
      <alignment horizontal="centerContinuous"/>
    </xf>
    <xf numFmtId="37" fontId="3" fillId="6" borderId="4" xfId="0" applyFont="1" applyFill="1" applyBorder="1" applyAlignment="1">
      <alignment horizontal="centerContinuous"/>
    </xf>
    <xf numFmtId="37" fontId="3" fillId="6" borderId="9" xfId="0" applyFont="1" applyFill="1" applyBorder="1" applyAlignment="1">
      <alignment horizontal="centerContinuous"/>
    </xf>
    <xf numFmtId="37" fontId="3" fillId="6" borderId="30" xfId="0" applyFont="1" applyFill="1" applyBorder="1" applyAlignment="1">
      <alignment horizontal="centerContinuous"/>
    </xf>
    <xf numFmtId="37" fontId="3" fillId="6" borderId="27" xfId="0" applyFont="1" applyFill="1" applyBorder="1" applyAlignment="1">
      <alignment horizontal="centerContinuous"/>
    </xf>
    <xf numFmtId="37" fontId="3" fillId="6" borderId="28" xfId="0" applyFont="1" applyFill="1" applyBorder="1" applyAlignment="1">
      <alignment horizontal="centerContinuous"/>
    </xf>
    <xf numFmtId="37" fontId="3" fillId="6" borderId="36" xfId="0" applyFont="1" applyFill="1" applyBorder="1" applyAlignment="1">
      <alignment horizontal="center"/>
    </xf>
    <xf numFmtId="37" fontId="3" fillId="6" borderId="19" xfId="0" applyFont="1" applyFill="1" applyBorder="1" applyAlignment="1">
      <alignment horizontal="center"/>
    </xf>
    <xf numFmtId="37" fontId="3" fillId="6" borderId="20" xfId="0" applyFont="1" applyFill="1" applyBorder="1" applyAlignment="1">
      <alignment horizontal="center"/>
    </xf>
    <xf numFmtId="175" fontId="5" fillId="6" borderId="1" xfId="0" applyNumberFormat="1" applyFont="1" applyFill="1" applyBorder="1" applyAlignment="1">
      <alignment vertical="center"/>
    </xf>
    <xf numFmtId="175" fontId="3" fillId="6" borderId="20" xfId="0" applyNumberFormat="1" applyFont="1" applyFill="1" applyBorder="1" applyAlignment="1">
      <alignment vertical="center"/>
    </xf>
    <xf numFmtId="37" fontId="3" fillId="6" borderId="19" xfId="0" applyFont="1" applyFill="1" applyBorder="1" applyAlignment="1">
      <alignment horizontal="centerContinuous"/>
    </xf>
    <xf numFmtId="175" fontId="5" fillId="6" borderId="14" xfId="0" applyNumberFormat="1" applyFont="1" applyFill="1" applyBorder="1" applyAlignment="1">
      <alignment vertical="center"/>
    </xf>
    <xf numFmtId="175" fontId="5" fillId="6" borderId="6" xfId="0" applyNumberFormat="1" applyFont="1" applyFill="1" applyBorder="1" applyAlignment="1">
      <alignment vertical="center"/>
    </xf>
    <xf numFmtId="37" fontId="3" fillId="6" borderId="19" xfId="0" applyFont="1" applyFill="1" applyBorder="1" applyAlignment="1">
      <alignment horizontal="centerContinuous" vertical="center"/>
    </xf>
    <xf numFmtId="171" fontId="5" fillId="6" borderId="13" xfId="0" applyNumberFormat="1" applyFont="1" applyFill="1" applyBorder="1" applyAlignment="1">
      <alignment vertical="center"/>
    </xf>
    <xf numFmtId="176" fontId="5" fillId="6" borderId="25" xfId="0" applyNumberFormat="1" applyFont="1" applyFill="1" applyBorder="1" applyAlignment="1">
      <alignment vertical="center"/>
    </xf>
    <xf numFmtId="169" fontId="3" fillId="6" borderId="19" xfId="6" applyNumberFormat="1" applyFont="1" applyFill="1" applyBorder="1"/>
    <xf numFmtId="37" fontId="3" fillId="6" borderId="16" xfId="0" applyFont="1" applyFill="1" applyBorder="1" applyAlignment="1"/>
    <xf numFmtId="37" fontId="3" fillId="6" borderId="5" xfId="0" applyFont="1" applyFill="1" applyBorder="1" applyAlignment="1"/>
    <xf numFmtId="171" fontId="5" fillId="6" borderId="1" xfId="0" applyNumberFormat="1" applyFont="1" applyFill="1" applyBorder="1"/>
    <xf numFmtId="39" fontId="5" fillId="6" borderId="1" xfId="0" applyNumberFormat="1" applyFont="1" applyFill="1" applyBorder="1"/>
    <xf numFmtId="171" fontId="3" fillId="6" borderId="20" xfId="0" applyNumberFormat="1" applyFont="1" applyFill="1" applyBorder="1"/>
    <xf numFmtId="39" fontId="3" fillId="6" borderId="20" xfId="0" applyNumberFormat="1" applyFont="1" applyFill="1" applyBorder="1"/>
    <xf numFmtId="171" fontId="5" fillId="6" borderId="1" xfId="0" applyNumberFormat="1" applyFont="1" applyFill="1" applyBorder="1" applyAlignment="1">
      <alignment horizontal="right"/>
    </xf>
    <xf numFmtId="39" fontId="5" fillId="6" borderId="1" xfId="0" applyNumberFormat="1" applyFont="1" applyFill="1" applyBorder="1" applyAlignment="1">
      <alignment horizontal="right"/>
    </xf>
    <xf numFmtId="37" fontId="5" fillId="6" borderId="2" xfId="0" applyFont="1" applyFill="1" applyBorder="1"/>
    <xf numFmtId="37" fontId="3" fillId="6" borderId="33" xfId="0" applyFont="1" applyFill="1" applyBorder="1" applyAlignment="1">
      <alignment horizontal="left"/>
    </xf>
    <xf numFmtId="37" fontId="3" fillId="6" borderId="24" xfId="0" applyFont="1" applyFill="1" applyBorder="1" applyAlignment="1">
      <alignment horizontal="left"/>
    </xf>
    <xf numFmtId="37" fontId="3" fillId="6" borderId="38" xfId="0" applyFont="1" applyFill="1" applyBorder="1" applyAlignment="1">
      <alignment horizontal="left"/>
    </xf>
    <xf numFmtId="37" fontId="3" fillId="6" borderId="1" xfId="0" applyFont="1" applyFill="1" applyBorder="1" applyAlignment="1">
      <alignment horizontal="centerContinuous"/>
    </xf>
    <xf numFmtId="37" fontId="3" fillId="6" borderId="16" xfId="0" applyFont="1" applyFill="1" applyBorder="1"/>
    <xf numFmtId="37" fontId="3" fillId="6" borderId="0" xfId="0" applyFont="1" applyFill="1"/>
    <xf numFmtId="37" fontId="3" fillId="6" borderId="4" xfId="0" applyFont="1" applyFill="1" applyBorder="1" applyAlignment="1">
      <alignment horizontal="center"/>
    </xf>
    <xf numFmtId="37" fontId="3" fillId="6" borderId="4" xfId="0" applyFont="1" applyFill="1" applyBorder="1"/>
    <xf numFmtId="37" fontId="3" fillId="6" borderId="4"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Continuous"/>
    </xf>
    <xf numFmtId="37" fontId="3" fillId="6" borderId="1" xfId="0" applyNumberFormat="1" applyFont="1" applyFill="1" applyBorder="1" applyAlignment="1" applyProtection="1"/>
    <xf numFmtId="37" fontId="3" fillId="6" borderId="1" xfId="0" applyFont="1" applyFill="1" applyBorder="1" applyAlignment="1"/>
    <xf numFmtId="37" fontId="3" fillId="8" borderId="4" xfId="0" applyFont="1" applyFill="1" applyBorder="1" applyAlignment="1">
      <alignment horizontal="centerContinuous"/>
    </xf>
    <xf numFmtId="37" fontId="3" fillId="8" borderId="4" xfId="0" applyFont="1" applyFill="1" applyBorder="1" applyAlignment="1">
      <alignment horizontal="center"/>
    </xf>
    <xf numFmtId="37" fontId="3" fillId="8" borderId="1" xfId="0" applyFont="1" applyFill="1" applyBorder="1" applyAlignment="1">
      <alignment horizontal="center"/>
    </xf>
    <xf numFmtId="37" fontId="3" fillId="8" borderId="10" xfId="0" applyFont="1" applyFill="1" applyBorder="1" applyAlignment="1">
      <alignment horizontal="centerContinuous"/>
    </xf>
    <xf numFmtId="37" fontId="3" fillId="8" borderId="9" xfId="0" applyFont="1" applyFill="1" applyBorder="1" applyAlignment="1">
      <alignment horizontal="centerContinuous"/>
    </xf>
    <xf numFmtId="37" fontId="3" fillId="7" borderId="16" xfId="0" applyFont="1" applyFill="1" applyBorder="1" applyAlignment="1"/>
    <xf numFmtId="37" fontId="3" fillId="7" borderId="5" xfId="0" applyFont="1" applyFill="1" applyBorder="1" applyAlignment="1"/>
    <xf numFmtId="171" fontId="5" fillId="5" borderId="1" xfId="0" applyNumberFormat="1" applyFont="1" applyFill="1" applyBorder="1"/>
    <xf numFmtId="171" fontId="5" fillId="4" borderId="1" xfId="0" applyNumberFormat="1" applyFont="1" applyFill="1" applyBorder="1"/>
    <xf numFmtId="37" fontId="5" fillId="4" borderId="0" xfId="0" applyFont="1" applyFill="1"/>
    <xf numFmtId="171" fontId="3" fillId="5" borderId="20" xfId="0" applyNumberFormat="1" applyFont="1" applyFill="1" applyBorder="1"/>
    <xf numFmtId="171" fontId="5" fillId="4" borderId="0" xfId="0" applyNumberFormat="1" applyFont="1" applyFill="1"/>
    <xf numFmtId="169" fontId="5" fillId="0" borderId="1" xfId="6" applyNumberFormat="1" applyFont="1" applyBorder="1" applyAlignment="1">
      <alignment horizontal="right"/>
    </xf>
    <xf numFmtId="169" fontId="5" fillId="6" borderId="1" xfId="6" applyNumberFormat="1" applyFont="1" applyFill="1" applyBorder="1" applyAlignment="1">
      <alignment horizontal="right"/>
    </xf>
    <xf numFmtId="175" fontId="3" fillId="6" borderId="23" xfId="0" applyNumberFormat="1" applyFont="1" applyFill="1" applyBorder="1"/>
    <xf numFmtId="169" fontId="5" fillId="0" borderId="0" xfId="6" applyNumberFormat="1" applyFont="1" applyBorder="1"/>
    <xf numFmtId="167" fontId="5" fillId="5" borderId="1" xfId="6" applyNumberFormat="1" applyFont="1" applyFill="1" applyBorder="1"/>
    <xf numFmtId="167" fontId="5" fillId="4" borderId="1" xfId="6" applyNumberFormat="1" applyFont="1" applyFill="1" applyBorder="1"/>
    <xf numFmtId="167" fontId="5" fillId="4" borderId="1" xfId="6" quotePrefix="1" applyNumberFormat="1" applyFont="1" applyFill="1" applyBorder="1" applyAlignment="1">
      <alignment horizontal="right"/>
    </xf>
    <xf numFmtId="167" fontId="5" fillId="4" borderId="0" xfId="6" applyNumberFormat="1" applyFont="1" applyFill="1"/>
    <xf numFmtId="167" fontId="3" fillId="5" borderId="23" xfId="6" applyNumberFormat="1" applyFont="1" applyFill="1" applyBorder="1"/>
    <xf numFmtId="171" fontId="5" fillId="5" borderId="20" xfId="0" applyNumberFormat="1" applyFont="1" applyFill="1" applyBorder="1"/>
    <xf numFmtId="171" fontId="3" fillId="7" borderId="23" xfId="0" applyNumberFormat="1" applyFont="1" applyFill="1" applyBorder="1"/>
    <xf numFmtId="169" fontId="3" fillId="7" borderId="23" xfId="6" applyNumberFormat="1" applyFont="1" applyFill="1" applyBorder="1"/>
    <xf numFmtId="37" fontId="3" fillId="6" borderId="16" xfId="0" applyFont="1" applyFill="1" applyBorder="1" applyAlignment="1" applyProtection="1"/>
    <xf numFmtId="37" fontId="5" fillId="6" borderId="2" xfId="0" applyFont="1" applyFill="1" applyBorder="1" applyAlignment="1" applyProtection="1"/>
    <xf numFmtId="37" fontId="5" fillId="6" borderId="5" xfId="0" applyFont="1" applyFill="1" applyBorder="1" applyAlignment="1" applyProtection="1"/>
    <xf numFmtId="171" fontId="5" fillId="6" borderId="1" xfId="0" applyNumberFormat="1" applyFont="1" applyFill="1" applyBorder="1" applyAlignment="1"/>
    <xf numFmtId="49" fontId="3" fillId="6" borderId="18" xfId="2" applyNumberFormat="1" applyFont="1" applyFill="1" applyBorder="1" applyAlignment="1">
      <alignment vertical="center"/>
    </xf>
    <xf numFmtId="175" fontId="3" fillId="6" borderId="40" xfId="0" applyNumberFormat="1" applyFont="1" applyFill="1" applyBorder="1" applyAlignment="1">
      <alignment vertical="center"/>
    </xf>
    <xf numFmtId="175" fontId="3" fillId="6" borderId="36" xfId="0" applyNumberFormat="1" applyFont="1" applyFill="1" applyBorder="1" applyAlignment="1">
      <alignment vertical="center"/>
    </xf>
    <xf numFmtId="171" fontId="5" fillId="6" borderId="1" xfId="0" applyNumberFormat="1" applyFont="1" applyFill="1" applyBorder="1" applyAlignment="1">
      <alignment horizontal="right" vertical="center"/>
    </xf>
    <xf numFmtId="37" fontId="3" fillId="0" borderId="21" xfId="0" applyFont="1" applyFill="1" applyBorder="1"/>
    <xf numFmtId="169" fontId="3" fillId="0" borderId="21" xfId="6" applyNumberFormat="1" applyFont="1" applyFill="1" applyBorder="1"/>
    <xf numFmtId="49" fontId="5" fillId="0" borderId="0" xfId="0" quotePrefix="1" applyNumberFormat="1" applyFont="1" applyAlignment="1">
      <alignment horizontal="left"/>
    </xf>
    <xf numFmtId="175" fontId="3" fillId="6" borderId="19" xfId="0" applyNumberFormat="1" applyFont="1" applyFill="1" applyBorder="1" applyAlignment="1">
      <alignment vertical="center"/>
    </xf>
    <xf numFmtId="175" fontId="3" fillId="6" borderId="42" xfId="0" applyNumberFormat="1" applyFont="1" applyFill="1" applyBorder="1" applyAlignment="1">
      <alignment vertical="center"/>
    </xf>
    <xf numFmtId="37" fontId="5" fillId="0" borderId="0" xfId="0" quotePrefix="1" applyFont="1" applyAlignment="1">
      <alignment horizontal="right"/>
    </xf>
    <xf numFmtId="49" fontId="5" fillId="6" borderId="1" xfId="0" quotePrefix="1" applyNumberFormat="1" applyFont="1" applyFill="1" applyBorder="1" applyAlignment="1">
      <alignment horizontal="left" vertical="center"/>
    </xf>
    <xf numFmtId="171" fontId="5" fillId="0" borderId="1" xfId="0" quotePrefix="1" applyNumberFormat="1" applyFont="1" applyBorder="1" applyAlignment="1">
      <alignment horizontal="right"/>
    </xf>
    <xf numFmtId="37" fontId="5" fillId="0" borderId="21" xfId="0" quotePrefix="1" applyNumberFormat="1" applyFont="1" applyBorder="1" applyAlignment="1" applyProtection="1">
      <alignment horizontal="left"/>
    </xf>
    <xf numFmtId="37" fontId="5" fillId="3" borderId="15" xfId="0" applyFont="1" applyFill="1" applyBorder="1" applyAlignment="1">
      <alignment horizontal="centerContinuous" vertical="center"/>
    </xf>
    <xf numFmtId="37" fontId="5" fillId="3" borderId="15" xfId="0" applyFont="1" applyFill="1" applyBorder="1" applyAlignment="1">
      <alignment horizontal="right" vertical="center"/>
    </xf>
    <xf numFmtId="37" fontId="5" fillId="3" borderId="15" xfId="0" quotePrefix="1" applyFont="1" applyFill="1" applyBorder="1" applyAlignment="1">
      <alignment horizontal="right" vertical="center"/>
    </xf>
    <xf numFmtId="37" fontId="3" fillId="0" borderId="0" xfId="0" quotePrefix="1" applyFont="1" applyAlignment="1">
      <alignment horizontal="left" wrapText="1"/>
    </xf>
    <xf numFmtId="37" fontId="3" fillId="3" borderId="18" xfId="0" quotePrefix="1" applyFont="1" applyFill="1" applyBorder="1" applyAlignment="1" applyProtection="1">
      <alignment horizontal="left"/>
    </xf>
    <xf numFmtId="37" fontId="0" fillId="0" borderId="0" xfId="0" applyAlignment="1">
      <alignment horizontal="right" indent="1"/>
    </xf>
    <xf numFmtId="172" fontId="5" fillId="0" borderId="0" xfId="0" applyNumberFormat="1" applyFont="1" applyAlignment="1">
      <alignment horizontal="right" indent="1"/>
    </xf>
    <xf numFmtId="37" fontId="0" fillId="0" borderId="11" xfId="0" applyBorder="1"/>
    <xf numFmtId="37" fontId="3" fillId="6"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69" fontId="5" fillId="0" borderId="1" xfId="6" applyNumberFormat="1" applyFont="1" applyFill="1" applyBorder="1"/>
    <xf numFmtId="37" fontId="5" fillId="0" borderId="0" xfId="0" applyFont="1" applyFill="1" applyAlignment="1">
      <alignment horizontal="right"/>
    </xf>
    <xf numFmtId="179" fontId="5" fillId="0" borderId="0" xfId="5" applyNumberFormat="1" applyFont="1" applyBorder="1" applyProtection="1"/>
    <xf numFmtId="37" fontId="22" fillId="0" borderId="0" xfId="5" applyNumberFormat="1" applyFont="1" applyBorder="1" applyAlignment="1" applyProtection="1">
      <alignment horizontal="centerContinuous"/>
    </xf>
    <xf numFmtId="39" fontId="5" fillId="0" borderId="0" xfId="5" applyFont="1"/>
    <xf numFmtId="166" fontId="5" fillId="0" borderId="2" xfId="5" applyNumberFormat="1" applyFont="1" applyBorder="1" applyAlignment="1" applyProtection="1">
      <alignment horizontal="left"/>
    </xf>
    <xf numFmtId="39" fontId="5" fillId="0" borderId="0" xfId="5" applyFont="1" applyAlignment="1">
      <alignment horizontal="left"/>
    </xf>
    <xf numFmtId="166" fontId="5" fillId="0" borderId="3" xfId="5" applyNumberFormat="1" applyFont="1" applyBorder="1" applyAlignment="1" applyProtection="1">
      <alignment horizontal="left"/>
    </xf>
    <xf numFmtId="37" fontId="5" fillId="0" borderId="0" xfId="5" applyNumberFormat="1" applyFont="1" applyProtection="1"/>
    <xf numFmtId="39" fontId="3" fillId="0" borderId="16" xfId="5" applyFont="1" applyBorder="1" applyProtection="1"/>
    <xf numFmtId="39" fontId="3" fillId="3" borderId="12" xfId="5" applyFont="1" applyFill="1" applyBorder="1" applyProtection="1"/>
    <xf numFmtId="39" fontId="5" fillId="3" borderId="0" xfId="5" applyFont="1" applyFill="1" applyProtection="1"/>
    <xf numFmtId="39" fontId="5" fillId="6" borderId="1" xfId="5" applyFont="1" applyFill="1" applyBorder="1" applyProtection="1"/>
    <xf numFmtId="168" fontId="5" fillId="6" borderId="1" xfId="5" applyNumberFormat="1" applyFont="1" applyFill="1" applyBorder="1"/>
    <xf numFmtId="39" fontId="5" fillId="0" borderId="1" xfId="5" applyFont="1" applyBorder="1" applyProtection="1"/>
    <xf numFmtId="168" fontId="5" fillId="3" borderId="1" xfId="5" applyNumberFormat="1" applyFont="1" applyFill="1" applyBorder="1"/>
    <xf numFmtId="39" fontId="3" fillId="6" borderId="20" xfId="5" applyFont="1" applyFill="1" applyBorder="1" applyProtection="1"/>
    <xf numFmtId="168" fontId="3" fillId="6" borderId="20" xfId="5" applyNumberFormat="1" applyFont="1" applyFill="1" applyBorder="1"/>
    <xf numFmtId="168" fontId="5" fillId="0" borderId="0" xfId="5" applyNumberFormat="1" applyFont="1"/>
    <xf numFmtId="39" fontId="5" fillId="0" borderId="3" xfId="5" applyFont="1" applyBorder="1"/>
    <xf numFmtId="176" fontId="8" fillId="0" borderId="3" xfId="5" applyNumberFormat="1" applyFont="1" applyBorder="1" applyProtection="1"/>
    <xf numFmtId="37" fontId="5" fillId="0" borderId="0" xfId="5" applyNumberFormat="1" applyFont="1"/>
    <xf numFmtId="37" fontId="23" fillId="0" borderId="0" xfId="0" applyFont="1"/>
    <xf numFmtId="166"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0" borderId="8" xfId="4" applyFont="1" applyBorder="1"/>
    <xf numFmtId="0" fontId="3" fillId="0" borderId="0" xfId="4" applyFont="1"/>
    <xf numFmtId="166" fontId="6" fillId="0" borderId="0" xfId="4" applyNumberFormat="1" applyFont="1" applyProtection="1">
      <protection locked="0"/>
    </xf>
    <xf numFmtId="49" fontId="5" fillId="6" borderId="1" xfId="4" applyNumberFormat="1" applyFont="1" applyFill="1" applyBorder="1" applyAlignment="1">
      <alignment vertical="center"/>
    </xf>
    <xf numFmtId="171" fontId="5" fillId="6" borderId="1" xfId="4" applyNumberFormat="1" applyFont="1" applyFill="1" applyBorder="1" applyAlignment="1">
      <alignment vertical="center"/>
    </xf>
    <xf numFmtId="175" fontId="5" fillId="6" borderId="1" xfId="4" applyNumberFormat="1" applyFont="1" applyFill="1" applyBorder="1" applyAlignment="1">
      <alignment vertical="center"/>
    </xf>
    <xf numFmtId="49" fontId="5" fillId="0" borderId="1" xfId="4" applyNumberFormat="1" applyFont="1" applyBorder="1" applyAlignment="1">
      <alignment vertical="center"/>
    </xf>
    <xf numFmtId="171" fontId="5" fillId="0" borderId="1" xfId="4" applyNumberFormat="1" applyFont="1" applyBorder="1" applyAlignment="1">
      <alignment vertical="center"/>
    </xf>
    <xf numFmtId="175" fontId="5" fillId="0" borderId="1" xfId="4" applyNumberFormat="1" applyFont="1" applyBorder="1" applyAlignment="1">
      <alignment vertical="center"/>
    </xf>
    <xf numFmtId="171" fontId="5" fillId="0" borderId="0" xfId="4" applyNumberFormat="1" applyFont="1"/>
    <xf numFmtId="49" fontId="3" fillId="6" borderId="20" xfId="3" applyNumberFormat="1" applyFont="1" applyFill="1" applyBorder="1" applyAlignment="1">
      <alignment vertical="center"/>
    </xf>
    <xf numFmtId="171" fontId="3" fillId="6" borderId="23" xfId="4" applyNumberFormat="1" applyFont="1" applyFill="1" applyBorder="1"/>
    <xf numFmtId="175" fontId="3" fillId="6" borderId="23"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5" fillId="0" borderId="11" xfId="4" applyFont="1" applyBorder="1"/>
    <xf numFmtId="171" fontId="5" fillId="0" borderId="11" xfId="4" applyNumberFormat="1" applyFont="1" applyBorder="1"/>
    <xf numFmtId="0" fontId="25" fillId="0" borderId="0" xfId="4" applyFont="1"/>
    <xf numFmtId="171" fontId="25" fillId="0" borderId="0" xfId="4" applyNumberFormat="1" applyFont="1"/>
    <xf numFmtId="166" fontId="5" fillId="0" borderId="0" xfId="0" applyNumberFormat="1" applyFont="1" applyFill="1"/>
    <xf numFmtId="37" fontId="26" fillId="0" borderId="0" xfId="0" applyFont="1"/>
    <xf numFmtId="37" fontId="5" fillId="0" borderId="23" xfId="0" applyFont="1" applyBorder="1"/>
    <xf numFmtId="37" fontId="26" fillId="0" borderId="23" xfId="0" applyFont="1" applyBorder="1"/>
    <xf numFmtId="37" fontId="3" fillId="7" borderId="9" xfId="0" applyFont="1" applyFill="1" applyBorder="1" applyAlignment="1">
      <alignment horizontal="center" wrapText="1"/>
    </xf>
    <xf numFmtId="49" fontId="5" fillId="0" borderId="0" xfId="0" quotePrefix="1" applyNumberFormat="1" applyFont="1" applyAlignment="1"/>
    <xf numFmtId="37" fontId="20" fillId="0" borderId="0" xfId="0" applyFont="1"/>
    <xf numFmtId="37" fontId="20" fillId="0" borderId="11" xfId="0" applyFont="1" applyBorder="1"/>
    <xf numFmtId="37" fontId="5" fillId="9" borderId="23" xfId="0" applyNumberFormat="1" applyFont="1" applyFill="1" applyBorder="1" applyProtection="1"/>
    <xf numFmtId="37" fontId="27" fillId="0" borderId="0" xfId="0" applyNumberFormat="1" applyFont="1"/>
    <xf numFmtId="37" fontId="5" fillId="0" borderId="0" xfId="0" applyNumberFormat="1" applyFont="1" applyAlignment="1">
      <alignment horizontal="right"/>
    </xf>
    <xf numFmtId="180" fontId="0" fillId="0" borderId="0" xfId="0" quotePrefix="1" applyNumberFormat="1" applyBorder="1" applyAlignment="1" applyProtection="1">
      <alignment horizontal="right"/>
    </xf>
    <xf numFmtId="180" fontId="0" fillId="0" borderId="0" xfId="0" applyNumberFormat="1" applyBorder="1" applyAlignment="1" applyProtection="1">
      <alignment horizontal="right"/>
    </xf>
    <xf numFmtId="180" fontId="0" fillId="0" borderId="3" xfId="0" quotePrefix="1" applyNumberFormat="1" applyBorder="1" applyAlignment="1" applyProtection="1">
      <alignment horizontal="right"/>
    </xf>
    <xf numFmtId="37" fontId="0" fillId="0" borderId="0" xfId="0" applyNumberFormat="1" applyProtection="1"/>
    <xf numFmtId="180" fontId="0" fillId="0" borderId="0" xfId="0" applyNumberFormat="1" applyAlignment="1" applyProtection="1">
      <alignment horizontal="right"/>
    </xf>
    <xf numFmtId="180" fontId="20" fillId="0" borderId="0" xfId="0" quotePrefix="1" applyNumberFormat="1" applyFont="1" applyBorder="1" applyAlignment="1" applyProtection="1">
      <alignment horizontal="right"/>
    </xf>
    <xf numFmtId="169" fontId="3" fillId="6" borderId="18" xfId="6" applyNumberFormat="1" applyFont="1" applyFill="1" applyBorder="1"/>
    <xf numFmtId="171" fontId="3" fillId="6" borderId="30" xfId="0" applyNumberFormat="1" applyFont="1" applyFill="1" applyBorder="1" applyAlignment="1">
      <alignment vertical="center"/>
    </xf>
    <xf numFmtId="176" fontId="3" fillId="6" borderId="48" xfId="0" applyNumberFormat="1" applyFont="1" applyFill="1" applyBorder="1" applyAlignment="1">
      <alignment vertical="center"/>
    </xf>
    <xf numFmtId="37" fontId="29" fillId="0" borderId="0" xfId="0" applyFont="1"/>
    <xf numFmtId="0" fontId="5" fillId="0" borderId="0" xfId="0" applyNumberFormat="1" applyFont="1" applyAlignment="1">
      <alignment horizontal="left"/>
    </xf>
    <xf numFmtId="37" fontId="28" fillId="0" borderId="23" xfId="0" quotePrefix="1" applyNumberFormat="1" applyFont="1" applyBorder="1" applyAlignment="1">
      <alignment horizontal="left"/>
    </xf>
    <xf numFmtId="0" fontId="26" fillId="0" borderId="0" xfId="0" applyNumberFormat="1" applyFont="1" applyAlignment="1">
      <alignment horizontal="center"/>
    </xf>
    <xf numFmtId="37" fontId="5" fillId="10" borderId="0" xfId="0" applyFont="1" applyFill="1"/>
    <xf numFmtId="49" fontId="3" fillId="5" borderId="20" xfId="0" quotePrefix="1" applyNumberFormat="1" applyFont="1" applyFill="1" applyBorder="1" applyAlignment="1">
      <alignment horizontal="center"/>
    </xf>
    <xf numFmtId="0" fontId="3" fillId="5" borderId="20" xfId="0" quotePrefix="1" applyNumberFormat="1" applyFont="1" applyFill="1" applyBorder="1" applyAlignment="1">
      <alignment horizontal="center"/>
    </xf>
    <xf numFmtId="49" fontId="8" fillId="0" borderId="0" xfId="0" quotePrefix="1" applyNumberFormat="1" applyFont="1" applyAlignment="1">
      <alignment horizontal="left"/>
    </xf>
    <xf numFmtId="170" fontId="5" fillId="0" borderId="0" xfId="6" applyNumberFormat="1" applyFont="1"/>
    <xf numFmtId="170" fontId="5" fillId="0" borderId="0" xfId="0" applyNumberFormat="1" applyFont="1"/>
    <xf numFmtId="37" fontId="3" fillId="0" borderId="10" xfId="0" applyFont="1" applyBorder="1" applyAlignment="1">
      <alignment horizontal="center"/>
    </xf>
    <xf numFmtId="37" fontId="3" fillId="11" borderId="7" xfId="0" applyFont="1" applyFill="1" applyBorder="1"/>
    <xf numFmtId="37" fontId="3" fillId="11" borderId="21" xfId="0" applyFont="1" applyFill="1" applyBorder="1"/>
    <xf numFmtId="37" fontId="3" fillId="11" borderId="8" xfId="0" applyFont="1" applyFill="1" applyBorder="1"/>
    <xf numFmtId="37" fontId="31" fillId="0" borderId="0" xfId="0" applyFont="1"/>
    <xf numFmtId="37" fontId="31" fillId="0" borderId="0" xfId="0" applyFont="1" applyBorder="1"/>
    <xf numFmtId="37" fontId="32" fillId="3" borderId="0" xfId="0" applyFont="1" applyFill="1" applyBorder="1" applyAlignment="1">
      <alignment horizontal="centerContinuous" vertical="center"/>
    </xf>
    <xf numFmtId="37" fontId="31" fillId="0" borderId="0" xfId="0" quotePrefix="1" applyFont="1" applyAlignment="1">
      <alignment horizontal="center"/>
    </xf>
    <xf numFmtId="37" fontId="31" fillId="0" borderId="0" xfId="0" applyFont="1" applyAlignment="1">
      <alignment horizontal="center"/>
    </xf>
    <xf numFmtId="37" fontId="32" fillId="3" borderId="0" xfId="0" applyFont="1" applyFill="1" applyBorder="1" applyAlignment="1" applyProtection="1">
      <alignment horizontal="centerContinuous" vertical="center"/>
    </xf>
    <xf numFmtId="37" fontId="32" fillId="3" borderId="0" xfId="0" quotePrefix="1" applyFont="1" applyFill="1" applyBorder="1" applyAlignment="1" applyProtection="1">
      <alignment horizontal="centerContinuous" vertical="center"/>
    </xf>
    <xf numFmtId="37" fontId="32" fillId="3" borderId="0" xfId="0" applyFont="1" applyFill="1" applyBorder="1" applyAlignment="1">
      <alignment horizontal="centerContinuous"/>
    </xf>
    <xf numFmtId="37" fontId="3" fillId="6" borderId="4" xfId="0" applyFont="1" applyFill="1" applyBorder="1" applyAlignment="1">
      <alignment horizontal="center"/>
    </xf>
    <xf numFmtId="37" fontId="30" fillId="0" borderId="0" xfId="0" applyFont="1" applyAlignment="1">
      <alignment horizontal="centerContinuous"/>
    </xf>
    <xf numFmtId="37" fontId="3" fillId="3" borderId="18" xfId="0" applyFont="1" applyFill="1" applyBorder="1" applyAlignment="1" applyProtection="1">
      <alignment horizontal="left"/>
    </xf>
    <xf numFmtId="0" fontId="3" fillId="3" borderId="15" xfId="0" applyNumberFormat="1" applyFont="1" applyFill="1" applyBorder="1" applyAlignment="1" applyProtection="1">
      <alignment horizontal="left"/>
    </xf>
    <xf numFmtId="0" fontId="5" fillId="3" borderId="19" xfId="0" applyNumberFormat="1" applyFont="1" applyFill="1" applyBorder="1" applyAlignment="1" applyProtection="1">
      <alignment horizontal="left"/>
    </xf>
    <xf numFmtId="37" fontId="3" fillId="0" borderId="16" xfId="0" applyFont="1" applyBorder="1"/>
    <xf numFmtId="37" fontId="3" fillId="0" borderId="33" xfId="0" applyFont="1" applyFill="1" applyBorder="1" applyAlignment="1">
      <alignment horizontal="centerContinuous" vertical="center"/>
    </xf>
    <xf numFmtId="37" fontId="31" fillId="0" borderId="15" xfId="0" applyFont="1" applyBorder="1" applyAlignment="1">
      <alignment horizontal="centerContinuous" vertical="center"/>
    </xf>
    <xf numFmtId="37" fontId="31" fillId="3" borderId="0" xfId="0" quotePrefix="1" applyFont="1" applyFill="1" applyBorder="1" applyAlignment="1" applyProtection="1">
      <alignment horizontal="centerContinuous" vertical="center"/>
    </xf>
    <xf numFmtId="37" fontId="3" fillId="3" borderId="3" xfId="0" applyFont="1" applyFill="1" applyBorder="1" applyAlignment="1">
      <alignment horizontal="centerContinuous"/>
    </xf>
    <xf numFmtId="37" fontId="31" fillId="12" borderId="0" xfId="0" applyFont="1" applyFill="1" applyBorder="1" applyAlignment="1">
      <alignment horizontal="centerContinuous" vertical="center"/>
    </xf>
    <xf numFmtId="37" fontId="31" fillId="0" borderId="0" xfId="0" applyFont="1" applyBorder="1" applyAlignment="1">
      <alignment horizontal="left" vertical="center"/>
    </xf>
    <xf numFmtId="37" fontId="3" fillId="6" borderId="5" xfId="0" applyNumberFormat="1" applyFont="1" applyFill="1" applyBorder="1" applyAlignment="1" applyProtection="1">
      <alignment horizontal="center"/>
    </xf>
    <xf numFmtId="37" fontId="3" fillId="8" borderId="6" xfId="0" applyFont="1" applyFill="1" applyBorder="1" applyAlignment="1">
      <alignment horizontal="center"/>
    </xf>
    <xf numFmtId="37" fontId="5" fillId="0" borderId="0" xfId="0" applyFont="1" applyAlignment="1">
      <alignment vertical="center"/>
    </xf>
    <xf numFmtId="49" fontId="3" fillId="0" borderId="33" xfId="0" applyNumberFormat="1" applyFont="1" applyBorder="1"/>
    <xf numFmtId="49" fontId="3" fillId="0" borderId="34" xfId="0" applyNumberFormat="1" applyFont="1" applyBorder="1"/>
    <xf numFmtId="37" fontId="3" fillId="8" borderId="5" xfId="0" applyFont="1" applyFill="1" applyBorder="1" applyAlignment="1">
      <alignment horizontal="center"/>
    </xf>
    <xf numFmtId="37" fontId="31" fillId="0" borderId="0" xfId="0" quotePrefix="1" applyFont="1" applyAlignment="1">
      <alignment horizontal="left"/>
    </xf>
    <xf numFmtId="39" fontId="31" fillId="0" borderId="0" xfId="5" applyFont="1" applyAlignment="1">
      <alignment horizontal="left"/>
    </xf>
    <xf numFmtId="0" fontId="31" fillId="0" borderId="0" xfId="5" applyNumberFormat="1" applyFont="1" applyAlignment="1">
      <alignment horizontal="left"/>
    </xf>
    <xf numFmtId="49" fontId="3" fillId="5" borderId="9" xfId="4" applyNumberFormat="1" applyFont="1" applyFill="1" applyBorder="1" applyAlignment="1">
      <alignment horizontal="center"/>
    </xf>
    <xf numFmtId="0" fontId="3" fillId="5" borderId="9" xfId="4" applyNumberFormat="1" applyFont="1" applyFill="1" applyBorder="1" applyAlignment="1">
      <alignment horizontal="center" wrapText="1"/>
    </xf>
    <xf numFmtId="0" fontId="31" fillId="0" borderId="0" xfId="4" applyFont="1"/>
    <xf numFmtId="37" fontId="3" fillId="7" borderId="2" xfId="0" applyFont="1" applyFill="1" applyBorder="1" applyAlignment="1"/>
    <xf numFmtId="49" fontId="3" fillId="5" borderId="9" xfId="0" quotePrefix="1" applyNumberFormat="1" applyFont="1" applyFill="1" applyBorder="1" applyAlignment="1">
      <alignment horizontal="center"/>
    </xf>
    <xf numFmtId="175" fontId="5" fillId="0" borderId="1" xfId="0" applyNumberFormat="1" applyFont="1" applyFill="1" applyBorder="1" applyAlignment="1">
      <alignment vertical="center"/>
    </xf>
    <xf numFmtId="169" fontId="5" fillId="0" borderId="1" xfId="0" applyNumberFormat="1" applyFont="1" applyBorder="1" applyAlignment="1">
      <alignment vertical="center"/>
    </xf>
    <xf numFmtId="169" fontId="5" fillId="6" borderId="1" xfId="0" applyNumberFormat="1" applyFont="1" applyFill="1" applyBorder="1" applyAlignment="1">
      <alignment vertical="center"/>
    </xf>
    <xf numFmtId="181" fontId="5" fillId="6" borderId="1" xfId="0" applyNumberFormat="1" applyFont="1" applyFill="1" applyBorder="1" applyAlignment="1">
      <alignment vertical="center"/>
    </xf>
    <xf numFmtId="181" fontId="5" fillId="0" borderId="1" xfId="6" applyNumberFormat="1" applyFont="1" applyBorder="1"/>
    <xf numFmtId="181" fontId="5" fillId="6" borderId="1" xfId="6" applyNumberFormat="1" applyFont="1" applyFill="1" applyBorder="1"/>
    <xf numFmtId="181" fontId="0" fillId="0" borderId="0" xfId="0" applyNumberFormat="1"/>
    <xf numFmtId="181" fontId="3" fillId="6" borderId="20" xfId="6" applyNumberFormat="1" applyFont="1" applyFill="1" applyBorder="1"/>
    <xf numFmtId="181" fontId="5" fillId="0" borderId="0" xfId="6" applyNumberFormat="1" applyFont="1"/>
    <xf numFmtId="169" fontId="0" fillId="0" borderId="0" xfId="0" applyNumberFormat="1"/>
    <xf numFmtId="169" fontId="3" fillId="6" borderId="20" xfId="0" applyNumberFormat="1" applyFont="1" applyFill="1" applyBorder="1" applyAlignment="1">
      <alignment vertical="center"/>
    </xf>
    <xf numFmtId="169" fontId="5" fillId="0" borderId="0" xfId="0" applyNumberFormat="1" applyFont="1" applyAlignment="1">
      <alignment vertical="center"/>
    </xf>
    <xf numFmtId="37" fontId="5" fillId="3" borderId="2" xfId="0" quotePrefix="1" applyFont="1" applyFill="1" applyBorder="1" applyAlignment="1">
      <alignment horizontal="right" vertical="center"/>
    </xf>
    <xf numFmtId="37" fontId="3" fillId="6" borderId="33" xfId="0" applyFont="1" applyFill="1" applyBorder="1" applyAlignment="1">
      <alignment horizontal="centerContinuous"/>
    </xf>
    <xf numFmtId="37" fontId="3" fillId="6" borderId="38" xfId="0" applyFont="1" applyFill="1" applyBorder="1" applyAlignment="1">
      <alignment horizontal="centerContinuous"/>
    </xf>
    <xf numFmtId="37" fontId="0" fillId="0" borderId="0" xfId="0"/>
    <xf numFmtId="169" fontId="3" fillId="6" borderId="20" xfId="6" applyNumberFormat="1" applyFont="1" applyFill="1" applyBorder="1" applyAlignment="1">
      <alignment horizontal="right"/>
    </xf>
    <xf numFmtId="37" fontId="0" fillId="0" borderId="0" xfId="0"/>
    <xf numFmtId="37" fontId="27" fillId="10" borderId="0" xfId="0" applyFont="1" applyFill="1" applyBorder="1"/>
    <xf numFmtId="37" fontId="8" fillId="0" borderId="0" xfId="0" applyFont="1" applyAlignment="1">
      <alignment horizontal="center" wrapText="1"/>
    </xf>
    <xf numFmtId="37" fontId="5" fillId="0" borderId="0" xfId="0" quotePrefix="1" applyFont="1" applyBorder="1" applyAlignment="1">
      <alignment horizontal="left"/>
    </xf>
    <xf numFmtId="37" fontId="5" fillId="13" borderId="0" xfId="0" applyFont="1" applyFill="1" applyBorder="1"/>
    <xf numFmtId="37" fontId="5" fillId="0" borderId="0" xfId="0" applyFont="1" applyAlignment="1">
      <alignment horizontal="center" wrapText="1"/>
    </xf>
    <xf numFmtId="37" fontId="5" fillId="11" borderId="30" xfId="0" applyFont="1" applyFill="1" applyBorder="1" applyAlignment="1">
      <alignment horizontal="right"/>
    </xf>
    <xf numFmtId="37" fontId="5" fillId="11" borderId="23" xfId="0" applyFont="1" applyFill="1" applyBorder="1"/>
    <xf numFmtId="37" fontId="27" fillId="0" borderId="0" xfId="0" applyFont="1"/>
    <xf numFmtId="37" fontId="27" fillId="0" borderId="0" xfId="0" quotePrefix="1" applyFont="1" applyAlignment="1">
      <alignment horizontal="left"/>
    </xf>
    <xf numFmtId="37" fontId="33" fillId="0" borderId="0" xfId="0" applyFont="1"/>
    <xf numFmtId="49" fontId="3" fillId="5" borderId="10" xfId="4" applyNumberFormat="1" applyFont="1" applyFill="1" applyBorder="1" applyAlignment="1">
      <alignment horizontal="center"/>
    </xf>
    <xf numFmtId="0" fontId="3" fillId="0" borderId="7" xfId="4" applyFont="1" applyBorder="1"/>
    <xf numFmtId="0" fontId="5" fillId="0" borderId="21" xfId="4" applyFont="1" applyBorder="1"/>
    <xf numFmtId="37" fontId="0" fillId="0" borderId="0" xfId="0" applyBorder="1"/>
    <xf numFmtId="37" fontId="20" fillId="0" borderId="0" xfId="0" applyFont="1" applyBorder="1"/>
    <xf numFmtId="37" fontId="5" fillId="0" borderId="24" xfId="0" applyFont="1" applyBorder="1"/>
    <xf numFmtId="37" fontId="20" fillId="0" borderId="24" xfId="0" applyFont="1" applyBorder="1"/>
    <xf numFmtId="37" fontId="5" fillId="10" borderId="0" xfId="0" applyFont="1" applyFill="1" applyBorder="1"/>
    <xf numFmtId="37" fontId="5" fillId="10" borderId="0" xfId="0" applyNumberFormat="1" applyFont="1" applyFill="1" applyProtection="1"/>
    <xf numFmtId="37" fontId="37" fillId="0" borderId="0" xfId="0" applyFont="1"/>
    <xf numFmtId="182" fontId="5" fillId="0" borderId="0" xfId="0" applyNumberFormat="1" applyFont="1"/>
    <xf numFmtId="37" fontId="3" fillId="3" borderId="4" xfId="0" quotePrefix="1" applyFont="1" applyFill="1" applyBorder="1" applyAlignment="1">
      <alignment horizontal="center" wrapText="1"/>
    </xf>
    <xf numFmtId="37" fontId="3" fillId="3" borderId="1" xfId="0" quotePrefix="1" applyFont="1" applyFill="1" applyBorder="1" applyAlignment="1">
      <alignment horizontal="center" wrapText="1"/>
    </xf>
    <xf numFmtId="37" fontId="3" fillId="3" borderId="9" xfId="0" quotePrefix="1" applyFont="1" applyFill="1" applyBorder="1" applyAlignment="1">
      <alignment horizontal="center" wrapText="1"/>
    </xf>
    <xf numFmtId="0" fontId="3" fillId="3" borderId="4" xfId="0" quotePrefix="1" applyNumberFormat="1" applyFont="1" applyFill="1" applyBorder="1" applyAlignment="1">
      <alignment horizontal="center" wrapText="1"/>
    </xf>
    <xf numFmtId="0" fontId="3" fillId="3" borderId="1" xfId="0" quotePrefix="1" applyNumberFormat="1" applyFont="1" applyFill="1" applyBorder="1" applyAlignment="1">
      <alignment horizontal="center" wrapText="1"/>
    </xf>
    <xf numFmtId="0" fontId="3" fillId="3" borderId="9" xfId="0" quotePrefix="1" applyNumberFormat="1" applyFont="1" applyFill="1" applyBorder="1" applyAlignment="1">
      <alignment horizontal="center" wrapText="1"/>
    </xf>
    <xf numFmtId="37" fontId="3" fillId="3" borderId="41" xfId="0" quotePrefix="1" applyFont="1" applyFill="1" applyBorder="1" applyAlignment="1">
      <alignment horizontal="center" vertical="center" wrapText="1"/>
    </xf>
    <xf numFmtId="37" fontId="3" fillId="3" borderId="43" xfId="0" quotePrefix="1" applyFont="1" applyFill="1" applyBorder="1" applyAlignment="1">
      <alignment horizontal="center" vertical="center" wrapText="1"/>
    </xf>
    <xf numFmtId="37" fontId="3" fillId="3" borderId="24" xfId="0" applyFont="1" applyFill="1" applyBorder="1" applyAlignment="1">
      <alignment horizontal="center" vertical="center"/>
    </xf>
    <xf numFmtId="37" fontId="3" fillId="3" borderId="11" xfId="0" applyFont="1" applyFill="1" applyBorder="1" applyAlignment="1">
      <alignment horizontal="center" vertical="center"/>
    </xf>
    <xf numFmtId="0" fontId="5" fillId="0" borderId="24" xfId="0" quotePrefix="1" applyNumberFormat="1" applyFont="1" applyBorder="1" applyAlignment="1">
      <alignment horizontal="left" vertical="top" wrapText="1"/>
    </xf>
    <xf numFmtId="0" fontId="5" fillId="0" borderId="0" xfId="0" quotePrefix="1" applyNumberFormat="1" applyFont="1" applyAlignment="1">
      <alignment horizontal="left" vertical="top" wrapText="1"/>
    </xf>
    <xf numFmtId="37" fontId="3" fillId="0" borderId="4" xfId="0" quotePrefix="1" applyFont="1" applyBorder="1" applyAlignment="1" applyProtection="1">
      <alignment horizontal="center" wrapText="1"/>
    </xf>
    <xf numFmtId="37" fontId="3" fillId="0" borderId="9" xfId="0" quotePrefix="1" applyFont="1" applyBorder="1" applyAlignment="1" applyProtection="1">
      <alignment horizontal="center" wrapText="1"/>
    </xf>
    <xf numFmtId="37" fontId="3" fillId="0" borderId="52"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9" xfId="0" applyFont="1" applyBorder="1" applyAlignment="1" applyProtection="1">
      <alignment horizontal="center" vertical="center"/>
    </xf>
    <xf numFmtId="37" fontId="3" fillId="0" borderId="18" xfId="0" applyFont="1" applyBorder="1" applyAlignment="1" applyProtection="1">
      <alignment horizontal="center" vertical="center"/>
    </xf>
    <xf numFmtId="37" fontId="3" fillId="0" borderId="53" xfId="0" applyFont="1" applyBorder="1" applyAlignment="1" applyProtection="1">
      <alignment horizontal="center" vertical="center"/>
    </xf>
    <xf numFmtId="37" fontId="3" fillId="6" borderId="18" xfId="0" applyFont="1" applyFill="1" applyBorder="1" applyAlignment="1" applyProtection="1">
      <alignment horizontal="center" vertical="center"/>
    </xf>
    <xf numFmtId="37" fontId="3" fillId="6" borderId="15" xfId="0" applyFont="1" applyFill="1" applyBorder="1" applyAlignment="1" applyProtection="1">
      <alignment horizontal="center" vertical="center"/>
    </xf>
    <xf numFmtId="37" fontId="3" fillId="6" borderId="19" xfId="0" applyFont="1" applyFill="1" applyBorder="1" applyAlignment="1" applyProtection="1">
      <alignment horizontal="center" vertical="center"/>
    </xf>
    <xf numFmtId="37" fontId="3" fillId="0" borderId="41" xfId="0" quotePrefix="1" applyFont="1" applyBorder="1" applyAlignment="1" applyProtection="1">
      <alignment horizontal="center" wrapText="1"/>
    </xf>
    <xf numFmtId="37" fontId="3" fillId="0" borderId="43" xfId="0" quotePrefix="1" applyFont="1" applyBorder="1" applyAlignment="1" applyProtection="1">
      <alignment horizontal="center" wrapText="1"/>
    </xf>
    <xf numFmtId="37" fontId="3" fillId="0" borderId="49" xfId="0" quotePrefix="1" applyFont="1" applyBorder="1" applyAlignment="1" applyProtection="1">
      <alignment horizontal="center" wrapText="1"/>
    </xf>
    <xf numFmtId="37" fontId="3" fillId="0" borderId="50" xfId="0" quotePrefix="1" applyFont="1" applyBorder="1" applyAlignment="1" applyProtection="1">
      <alignment horizontal="center" wrapText="1"/>
    </xf>
    <xf numFmtId="37" fontId="3" fillId="0" borderId="51" xfId="0" quotePrefix="1" applyFont="1" applyBorder="1" applyAlignment="1" applyProtection="1">
      <alignment horizontal="center" wrapText="1"/>
    </xf>
    <xf numFmtId="37" fontId="3" fillId="0" borderId="26" xfId="0" quotePrefix="1" applyFont="1" applyBorder="1" applyAlignment="1" applyProtection="1">
      <alignment horizontal="center" wrapText="1"/>
    </xf>
    <xf numFmtId="37" fontId="5" fillId="0" borderId="24" xfId="0" quotePrefix="1" applyFont="1" applyBorder="1" applyAlignment="1">
      <alignment horizontal="left" vertical="top" wrapText="1"/>
    </xf>
    <xf numFmtId="37" fontId="5" fillId="0" borderId="0" xfId="0" quotePrefix="1" applyFont="1" applyAlignment="1">
      <alignment horizontal="left" vertical="top" wrapText="1"/>
    </xf>
    <xf numFmtId="37" fontId="3" fillId="6" borderId="4" xfId="0" applyFont="1" applyFill="1" applyBorder="1" applyAlignment="1" applyProtection="1">
      <alignment horizontal="center"/>
    </xf>
    <xf numFmtId="37" fontId="3" fillId="6" borderId="9" xfId="0" applyFont="1" applyFill="1" applyBorder="1" applyAlignment="1" applyProtection="1">
      <alignment horizontal="center"/>
    </xf>
    <xf numFmtId="37" fontId="3" fillId="6" borderId="33" xfId="0" applyFont="1" applyFill="1" applyBorder="1" applyAlignment="1" applyProtection="1">
      <alignment horizontal="center"/>
    </xf>
    <xf numFmtId="37" fontId="3" fillId="6" borderId="38" xfId="0" applyFont="1" applyFill="1" applyBorder="1" applyAlignment="1" applyProtection="1">
      <alignment horizontal="center"/>
    </xf>
    <xf numFmtId="37" fontId="3" fillId="6" borderId="34" xfId="0" applyFont="1" applyFill="1" applyBorder="1" applyAlignment="1" applyProtection="1">
      <alignment horizontal="center"/>
    </xf>
    <xf numFmtId="37" fontId="3" fillId="6" borderId="39" xfId="0" applyFont="1" applyFill="1" applyBorder="1" applyAlignment="1" applyProtection="1">
      <alignment horizontal="center"/>
    </xf>
    <xf numFmtId="37" fontId="3" fillId="3" borderId="54" xfId="0" quotePrefix="1" applyFont="1" applyFill="1" applyBorder="1" applyAlignment="1">
      <alignment horizontal="center" wrapText="1"/>
    </xf>
    <xf numFmtId="37" fontId="3" fillId="3" borderId="54" xfId="0" applyFont="1" applyFill="1" applyBorder="1" applyAlignment="1">
      <alignment horizontal="center"/>
    </xf>
    <xf numFmtId="37" fontId="3" fillId="3" borderId="9" xfId="0" applyFont="1" applyFill="1" applyBorder="1" applyAlignment="1">
      <alignment horizontal="center"/>
    </xf>
    <xf numFmtId="37" fontId="3" fillId="3" borderId="4" xfId="0" applyFont="1" applyFill="1" applyBorder="1" applyAlignment="1">
      <alignment horizontal="center" wrapText="1"/>
    </xf>
    <xf numFmtId="37" fontId="3" fillId="3" borderId="9" xfId="0" applyFont="1" applyFill="1" applyBorder="1" applyAlignment="1">
      <alignment horizontal="center" wrapText="1"/>
    </xf>
    <xf numFmtId="49" fontId="3" fillId="0" borderId="33" xfId="0" quotePrefix="1" applyNumberFormat="1" applyFont="1" applyFill="1" applyBorder="1" applyAlignment="1">
      <alignment horizontal="center" wrapText="1"/>
    </xf>
    <xf numFmtId="49" fontId="3" fillId="0" borderId="24" xfId="0" quotePrefix="1" applyNumberFormat="1" applyFont="1" applyFill="1" applyBorder="1" applyAlignment="1">
      <alignment horizontal="center" wrapText="1"/>
    </xf>
    <xf numFmtId="49" fontId="3" fillId="0" borderId="38" xfId="0" quotePrefix="1" applyNumberFormat="1" applyFont="1" applyFill="1" applyBorder="1" applyAlignment="1">
      <alignment horizontal="center" wrapText="1"/>
    </xf>
    <xf numFmtId="49" fontId="3" fillId="0" borderId="44" xfId="0" quotePrefix="1" applyNumberFormat="1" applyFont="1" applyFill="1" applyBorder="1" applyAlignment="1">
      <alignment horizontal="center" wrapText="1"/>
    </xf>
    <xf numFmtId="49" fontId="3" fillId="0" borderId="3" xfId="0" quotePrefix="1" applyNumberFormat="1" applyFont="1" applyFill="1" applyBorder="1" applyAlignment="1">
      <alignment horizontal="center" wrapText="1"/>
    </xf>
    <xf numFmtId="49" fontId="3" fillId="0" borderId="45" xfId="0" quotePrefix="1" applyNumberFormat="1" applyFont="1" applyFill="1" applyBorder="1" applyAlignment="1">
      <alignment horizontal="center" wrapText="1"/>
    </xf>
    <xf numFmtId="49" fontId="3" fillId="0" borderId="7" xfId="0" quotePrefix="1" applyNumberFormat="1" applyFont="1" applyFill="1" applyBorder="1" applyAlignment="1">
      <alignment horizontal="center" wrapText="1"/>
    </xf>
    <xf numFmtId="49" fontId="3" fillId="0" borderId="22" xfId="0" quotePrefix="1" applyNumberFormat="1" applyFont="1" applyFill="1" applyBorder="1" applyAlignment="1">
      <alignment horizontal="center" wrapText="1"/>
    </xf>
    <xf numFmtId="37" fontId="5" fillId="0" borderId="0" xfId="0" quotePrefix="1" applyFont="1" applyAlignment="1">
      <alignment horizontal="left" vertical="top"/>
    </xf>
    <xf numFmtId="37" fontId="3" fillId="0" borderId="41" xfId="0" quotePrefix="1" applyFont="1" applyFill="1" applyBorder="1" applyAlignment="1">
      <alignment horizontal="center" wrapText="1"/>
    </xf>
    <xf numFmtId="37" fontId="3" fillId="0" borderId="43" xfId="0" quotePrefix="1" applyFont="1" applyFill="1" applyBorder="1" applyAlignment="1">
      <alignment horizontal="center" wrapText="1"/>
    </xf>
    <xf numFmtId="37" fontId="3" fillId="0" borderId="4" xfId="0" quotePrefix="1" applyFont="1" applyFill="1" applyBorder="1" applyAlignment="1">
      <alignment horizontal="center" wrapText="1"/>
    </xf>
    <xf numFmtId="37" fontId="3" fillId="0" borderId="9" xfId="0" quotePrefix="1" applyFont="1" applyFill="1" applyBorder="1" applyAlignment="1">
      <alignment horizontal="center" wrapText="1"/>
    </xf>
    <xf numFmtId="37" fontId="3" fillId="3" borderId="41" xfId="0" quotePrefix="1" applyFont="1" applyFill="1" applyBorder="1" applyAlignment="1">
      <alignment horizontal="center" wrapText="1"/>
    </xf>
    <xf numFmtId="37" fontId="3" fillId="3" borderId="43" xfId="0" quotePrefix="1" applyFont="1" applyFill="1" applyBorder="1" applyAlignment="1">
      <alignment horizontal="center"/>
    </xf>
    <xf numFmtId="37" fontId="3" fillId="3" borderId="4" xfId="0" quotePrefix="1" applyFont="1" applyFill="1" applyBorder="1" applyAlignment="1">
      <alignment horizontal="center"/>
    </xf>
    <xf numFmtId="37" fontId="3" fillId="6" borderId="18" xfId="0" applyFont="1" applyFill="1" applyBorder="1" applyAlignment="1">
      <alignment horizontal="center" vertical="center"/>
    </xf>
    <xf numFmtId="37" fontId="3" fillId="6" borderId="19" xfId="0" applyFont="1" applyFill="1" applyBorder="1" applyAlignment="1">
      <alignment horizontal="center" vertical="center"/>
    </xf>
    <xf numFmtId="37" fontId="5" fillId="0" borderId="24" xfId="0" quotePrefix="1" applyFont="1" applyBorder="1" applyAlignment="1">
      <alignment horizontal="left" vertical="top"/>
    </xf>
    <xf numFmtId="49" fontId="10" fillId="0" borderId="13"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37" fontId="3" fillId="6" borderId="18" xfId="0" applyFont="1" applyFill="1" applyBorder="1" applyAlignment="1">
      <alignment horizontal="center"/>
    </xf>
    <xf numFmtId="37" fontId="3" fillId="6" borderId="15" xfId="0" applyFont="1" applyFill="1" applyBorder="1" applyAlignment="1">
      <alignment horizontal="center"/>
    </xf>
    <xf numFmtId="37" fontId="3" fillId="6" borderId="19" xfId="0" applyFont="1" applyFill="1" applyBorder="1" applyAlignment="1">
      <alignment horizontal="center"/>
    </xf>
    <xf numFmtId="37" fontId="3" fillId="6" borderId="4" xfId="0" applyFont="1" applyFill="1" applyBorder="1" applyAlignment="1">
      <alignment horizontal="center"/>
    </xf>
    <xf numFmtId="37" fontId="3" fillId="6" borderId="9" xfId="0" applyFont="1" applyFill="1" applyBorder="1" applyAlignment="1">
      <alignment horizontal="center"/>
    </xf>
    <xf numFmtId="37" fontId="3" fillId="6" borderId="4" xfId="0" applyFont="1" applyFill="1" applyBorder="1" applyAlignment="1">
      <alignment horizontal="center" wrapText="1"/>
    </xf>
    <xf numFmtId="37" fontId="3" fillId="6" borderId="9" xfId="0" applyFont="1" applyFill="1" applyBorder="1" applyAlignment="1">
      <alignment horizontal="center" wrapText="1"/>
    </xf>
    <xf numFmtId="37" fontId="3" fillId="6" borderId="55" xfId="0" applyFont="1" applyFill="1" applyBorder="1" applyAlignment="1">
      <alignment horizontal="center" wrapText="1"/>
    </xf>
    <xf numFmtId="37" fontId="3" fillId="6" borderId="56" xfId="0" applyFont="1" applyFill="1" applyBorder="1" applyAlignment="1">
      <alignment horizontal="center" wrapText="1"/>
    </xf>
    <xf numFmtId="37" fontId="3" fillId="6" borderId="7" xfId="0" applyFont="1" applyFill="1" applyBorder="1" applyAlignment="1">
      <alignment horizontal="center" wrapText="1"/>
    </xf>
    <xf numFmtId="37" fontId="3" fillId="6" borderId="8" xfId="0" applyFont="1" applyFill="1" applyBorder="1" applyAlignment="1">
      <alignment horizontal="center" wrapText="1"/>
    </xf>
    <xf numFmtId="37" fontId="3" fillId="6" borderId="57" xfId="0" applyFont="1" applyFill="1" applyBorder="1" applyAlignment="1">
      <alignment horizontal="center"/>
    </xf>
    <xf numFmtId="37" fontId="3" fillId="6" borderId="5" xfId="0" applyFont="1" applyFill="1" applyBorder="1" applyAlignment="1">
      <alignment horizontal="center"/>
    </xf>
    <xf numFmtId="37" fontId="3" fillId="6" borderId="44" xfId="0" applyFont="1" applyFill="1" applyBorder="1" applyAlignment="1">
      <alignment horizontal="center"/>
    </xf>
    <xf numFmtId="37" fontId="3" fillId="6" borderId="10" xfId="0" applyFont="1" applyFill="1" applyBorder="1" applyAlignment="1">
      <alignment horizontal="center"/>
    </xf>
    <xf numFmtId="37" fontId="3" fillId="0" borderId="18" xfId="0" applyFont="1" applyBorder="1" applyAlignment="1">
      <alignment horizontal="center"/>
    </xf>
    <xf numFmtId="37" fontId="3" fillId="0" borderId="15" xfId="0" applyFont="1" applyBorder="1" applyAlignment="1">
      <alignment horizontal="center"/>
    </xf>
    <xf numFmtId="37" fontId="3" fillId="0" borderId="19" xfId="0" applyFont="1" applyBorder="1" applyAlignment="1">
      <alignment horizontal="center"/>
    </xf>
    <xf numFmtId="49" fontId="10" fillId="0" borderId="17" xfId="0" applyNumberFormat="1" applyFont="1" applyBorder="1" applyAlignment="1">
      <alignment horizontal="right" vertical="center" textRotation="180"/>
    </xf>
    <xf numFmtId="37" fontId="3" fillId="6" borderId="16" xfId="0" quotePrefix="1" applyFont="1" applyFill="1" applyBorder="1" applyAlignment="1">
      <alignment horizontal="center" wrapText="1"/>
    </xf>
    <xf numFmtId="37" fontId="3" fillId="6" borderId="5" xfId="0" applyFont="1" applyFill="1" applyBorder="1" applyAlignment="1">
      <alignment horizontal="center" wrapText="1"/>
    </xf>
    <xf numFmtId="37" fontId="3" fillId="6" borderId="12" xfId="0" applyFont="1" applyFill="1" applyBorder="1" applyAlignment="1">
      <alignment horizontal="center" wrapText="1"/>
    </xf>
    <xf numFmtId="37" fontId="3" fillId="6" borderId="10" xfId="0" applyFont="1" applyFill="1" applyBorder="1" applyAlignment="1">
      <alignment horizontal="center" wrapText="1"/>
    </xf>
    <xf numFmtId="37" fontId="3" fillId="6" borderId="16" xfId="0" applyFont="1" applyFill="1" applyBorder="1" applyAlignment="1">
      <alignment horizontal="center" wrapText="1"/>
    </xf>
    <xf numFmtId="37" fontId="0" fillId="0" borderId="17" xfId="0" applyBorder="1" applyAlignment="1">
      <alignment horizontal="right" vertical="center" textRotation="180"/>
    </xf>
    <xf numFmtId="37" fontId="3" fillId="6" borderId="16" xfId="0" applyFont="1" applyFill="1" applyBorder="1" applyAlignment="1">
      <alignment horizontal="center"/>
    </xf>
    <xf numFmtId="37" fontId="3" fillId="6" borderId="12" xfId="0" applyFont="1" applyFill="1" applyBorder="1" applyAlignment="1">
      <alignment horizontal="center"/>
    </xf>
    <xf numFmtId="37" fontId="3" fillId="6" borderId="2" xfId="0" applyFont="1" applyFill="1" applyBorder="1" applyAlignment="1">
      <alignment horizontal="center"/>
    </xf>
    <xf numFmtId="37" fontId="3" fillId="6" borderId="3" xfId="0" applyFont="1" applyFill="1" applyBorder="1" applyAlignment="1">
      <alignment horizontal="center"/>
    </xf>
    <xf numFmtId="37" fontId="3" fillId="6" borderId="2" xfId="0" applyFont="1" applyFill="1" applyBorder="1" applyAlignment="1">
      <alignment horizontal="center" wrapText="1"/>
    </xf>
    <xf numFmtId="37" fontId="3" fillId="6" borderId="3" xfId="0" applyFont="1" applyFill="1" applyBorder="1" applyAlignment="1">
      <alignment horizontal="center" wrapText="1"/>
    </xf>
    <xf numFmtId="37" fontId="3" fillId="6" borderId="2" xfId="0" quotePrefix="1" applyFont="1" applyFill="1" applyBorder="1" applyAlignment="1">
      <alignment horizontal="center"/>
    </xf>
    <xf numFmtId="37" fontId="3" fillId="6" borderId="5" xfId="0" quotePrefix="1" applyFont="1" applyFill="1" applyBorder="1" applyAlignment="1">
      <alignment horizontal="center"/>
    </xf>
    <xf numFmtId="37" fontId="3" fillId="6" borderId="12" xfId="0" quotePrefix="1" applyFont="1" applyFill="1" applyBorder="1" applyAlignment="1">
      <alignment horizontal="center"/>
    </xf>
    <xf numFmtId="37" fontId="3" fillId="6" borderId="3" xfId="0" quotePrefix="1" applyFont="1" applyFill="1" applyBorder="1" applyAlignment="1">
      <alignment horizontal="center"/>
    </xf>
    <xf numFmtId="37" fontId="3" fillId="6" borderId="10" xfId="0" quotePrefix="1" applyFont="1" applyFill="1" applyBorder="1" applyAlignment="1">
      <alignment horizontal="center"/>
    </xf>
    <xf numFmtId="37" fontId="3" fillId="3" borderId="18" xfId="0" applyFont="1" applyFill="1" applyBorder="1" applyAlignment="1" applyProtection="1">
      <alignment horizontal="left"/>
    </xf>
    <xf numFmtId="37" fontId="3" fillId="3" borderId="15" xfId="0" applyFont="1" applyFill="1" applyBorder="1" applyAlignment="1" applyProtection="1">
      <alignment horizontal="left"/>
    </xf>
    <xf numFmtId="37" fontId="3" fillId="3" borderId="19" xfId="0" applyFont="1" applyFill="1" applyBorder="1" applyAlignment="1" applyProtection="1">
      <alignment horizontal="left"/>
    </xf>
    <xf numFmtId="37" fontId="3" fillId="6" borderId="16" xfId="0" applyFont="1" applyFill="1" applyBorder="1" applyAlignment="1" applyProtection="1">
      <alignment horizontal="center"/>
    </xf>
    <xf numFmtId="37" fontId="3" fillId="6" borderId="2" xfId="0" applyFont="1" applyFill="1" applyBorder="1" applyAlignment="1" applyProtection="1">
      <alignment horizontal="center"/>
    </xf>
    <xf numFmtId="37" fontId="3" fillId="6" borderId="5" xfId="0" applyFont="1" applyFill="1" applyBorder="1" applyAlignment="1" applyProtection="1">
      <alignment horizontal="center"/>
    </xf>
    <xf numFmtId="37" fontId="3" fillId="6" borderId="12" xfId="0" applyFont="1" applyFill="1" applyBorder="1" applyAlignment="1" applyProtection="1">
      <alignment horizontal="center"/>
    </xf>
    <xf numFmtId="37" fontId="3" fillId="6" borderId="3" xfId="0" applyFont="1" applyFill="1" applyBorder="1" applyAlignment="1" applyProtection="1">
      <alignment horizontal="center"/>
    </xf>
    <xf numFmtId="37" fontId="3" fillId="6" borderId="10" xfId="0" applyFont="1" applyFill="1" applyBorder="1" applyAlignment="1" applyProtection="1">
      <alignment horizontal="center"/>
    </xf>
    <xf numFmtId="37" fontId="3" fillId="6" borderId="16" xfId="0" quotePrefix="1" applyFont="1" applyFill="1" applyBorder="1" applyAlignment="1" applyProtection="1">
      <alignment horizontal="center" wrapText="1"/>
    </xf>
    <xf numFmtId="37" fontId="3" fillId="6" borderId="2" xfId="0" applyFont="1" applyFill="1" applyBorder="1" applyAlignment="1" applyProtection="1">
      <alignment horizontal="center" wrapText="1"/>
    </xf>
    <xf numFmtId="37" fontId="3" fillId="6" borderId="5" xfId="0" applyFont="1" applyFill="1" applyBorder="1" applyAlignment="1" applyProtection="1">
      <alignment horizontal="center" wrapText="1"/>
    </xf>
    <xf numFmtId="37" fontId="3" fillId="6" borderId="12" xfId="0" applyFont="1" applyFill="1" applyBorder="1" applyAlignment="1" applyProtection="1">
      <alignment horizontal="center" wrapText="1"/>
    </xf>
    <xf numFmtId="37" fontId="3" fillId="6" borderId="3" xfId="0" applyFont="1" applyFill="1" applyBorder="1" applyAlignment="1" applyProtection="1">
      <alignment horizontal="center" wrapText="1"/>
    </xf>
    <xf numFmtId="37" fontId="3" fillId="6" borderId="10" xfId="0" applyFont="1" applyFill="1" applyBorder="1" applyAlignment="1" applyProtection="1">
      <alignment horizontal="center" wrapText="1"/>
    </xf>
    <xf numFmtId="37" fontId="3" fillId="6" borderId="37" xfId="0" applyFont="1" applyFill="1" applyBorder="1" applyAlignment="1" applyProtection="1">
      <alignment horizontal="center"/>
    </xf>
    <xf numFmtId="37" fontId="3" fillId="6" borderId="15" xfId="0" applyFont="1" applyFill="1" applyBorder="1" applyAlignment="1" applyProtection="1">
      <alignment horizontal="center"/>
    </xf>
    <xf numFmtId="37" fontId="3" fillId="6" borderId="19" xfId="0" applyFont="1" applyFill="1" applyBorder="1" applyAlignment="1" applyProtection="1">
      <alignment horizontal="center"/>
    </xf>
    <xf numFmtId="37" fontId="3" fillId="6" borderId="18" xfId="0" applyFont="1" applyFill="1" applyBorder="1" applyAlignment="1" applyProtection="1">
      <alignment horizontal="center"/>
    </xf>
    <xf numFmtId="37" fontId="3" fillId="3" borderId="49" xfId="0" quotePrefix="1" applyFont="1" applyFill="1" applyBorder="1" applyAlignment="1">
      <alignment horizontal="center" wrapText="1"/>
    </xf>
    <xf numFmtId="37" fontId="3" fillId="3" borderId="14" xfId="0" quotePrefix="1" applyFont="1" applyFill="1" applyBorder="1" applyAlignment="1">
      <alignment horizontal="center" wrapText="1"/>
    </xf>
    <xf numFmtId="37" fontId="3" fillId="3" borderId="50" xfId="0" quotePrefix="1" applyFont="1" applyFill="1" applyBorder="1" applyAlignment="1">
      <alignment horizontal="center" wrapText="1"/>
    </xf>
    <xf numFmtId="37" fontId="3" fillId="3" borderId="51" xfId="0" quotePrefix="1" applyFont="1" applyFill="1" applyBorder="1" applyAlignment="1" applyProtection="1">
      <alignment horizontal="center" wrapText="1"/>
    </xf>
    <xf numFmtId="37" fontId="3" fillId="3" borderId="25" xfId="0" quotePrefix="1" applyFont="1" applyFill="1" applyBorder="1" applyAlignment="1" applyProtection="1">
      <alignment horizontal="center" wrapText="1"/>
    </xf>
    <xf numFmtId="37" fontId="3" fillId="3" borderId="26" xfId="0" quotePrefix="1" applyFont="1" applyFill="1" applyBorder="1" applyAlignment="1" applyProtection="1">
      <alignment horizontal="center" wrapText="1"/>
    </xf>
    <xf numFmtId="37" fontId="3" fillId="0" borderId="4" xfId="0" applyFont="1" applyBorder="1" applyAlignment="1" applyProtection="1">
      <alignment horizontal="center"/>
    </xf>
    <xf numFmtId="37" fontId="3" fillId="0" borderId="9" xfId="0" applyFont="1" applyBorder="1" applyAlignment="1" applyProtection="1">
      <alignment horizontal="center"/>
    </xf>
    <xf numFmtId="37" fontId="3" fillId="3" borderId="18" xfId="0" applyFont="1" applyFill="1" applyBorder="1" applyAlignment="1" applyProtection="1">
      <alignment horizontal="center"/>
    </xf>
    <xf numFmtId="37" fontId="3" fillId="3" borderId="15" xfId="0" applyFont="1" applyFill="1" applyBorder="1" applyAlignment="1" applyProtection="1">
      <alignment horizontal="center"/>
    </xf>
    <xf numFmtId="37" fontId="3" fillId="3" borderId="19" xfId="0" applyFont="1" applyFill="1" applyBorder="1" applyAlignment="1" applyProtection="1">
      <alignment horizontal="center"/>
    </xf>
    <xf numFmtId="37" fontId="5" fillId="0" borderId="0" xfId="0" quotePrefix="1" applyFont="1" applyFill="1" applyBorder="1" applyAlignment="1">
      <alignment horizontal="left" vertical="top" wrapText="1"/>
    </xf>
    <xf numFmtId="37" fontId="3" fillId="3" borderId="18" xfId="0" applyFont="1" applyFill="1" applyBorder="1" applyAlignment="1">
      <alignment horizontal="left"/>
    </xf>
    <xf numFmtId="37" fontId="3" fillId="3" borderId="15" xfId="0" applyFont="1" applyFill="1" applyBorder="1" applyAlignment="1">
      <alignment horizontal="left"/>
    </xf>
    <xf numFmtId="37" fontId="3" fillId="3" borderId="19" xfId="0" applyFont="1" applyFill="1" applyBorder="1" applyAlignment="1">
      <alignment horizontal="left"/>
    </xf>
    <xf numFmtId="49" fontId="5" fillId="0" borderId="24" xfId="0" quotePrefix="1" applyNumberFormat="1" applyFont="1" applyBorder="1" applyAlignment="1">
      <alignment horizontal="left" vertical="top" wrapText="1"/>
    </xf>
    <xf numFmtId="49" fontId="5" fillId="0" borderId="24" xfId="0" quotePrefix="1" applyNumberFormat="1" applyFont="1" applyBorder="1" applyAlignment="1">
      <alignment horizontal="left" vertical="top"/>
    </xf>
    <xf numFmtId="49" fontId="5" fillId="0" borderId="0" xfId="0" quotePrefix="1" applyNumberFormat="1" applyFont="1" applyAlignment="1">
      <alignment horizontal="left" vertical="top"/>
    </xf>
    <xf numFmtId="37" fontId="3" fillId="6" borderId="2" xfId="0" quotePrefix="1" applyFont="1" applyFill="1" applyBorder="1" applyAlignment="1">
      <alignment horizontal="center" wrapText="1"/>
    </xf>
    <xf numFmtId="37" fontId="3" fillId="6" borderId="5" xfId="0" quotePrefix="1" applyFont="1" applyFill="1" applyBorder="1" applyAlignment="1">
      <alignment horizontal="center" wrapText="1"/>
    </xf>
    <xf numFmtId="37" fontId="3" fillId="6" borderId="12" xfId="0" quotePrefix="1" applyFont="1" applyFill="1" applyBorder="1" applyAlignment="1">
      <alignment horizontal="center" wrapText="1"/>
    </xf>
    <xf numFmtId="37" fontId="3" fillId="6" borderId="3" xfId="0" quotePrefix="1" applyFont="1" applyFill="1" applyBorder="1" applyAlignment="1">
      <alignment horizontal="center" wrapText="1"/>
    </xf>
    <xf numFmtId="37" fontId="3" fillId="6" borderId="10" xfId="0" quotePrefix="1" applyFont="1" applyFill="1" applyBorder="1" applyAlignment="1">
      <alignment horizontal="center" wrapText="1"/>
    </xf>
    <xf numFmtId="37" fontId="3" fillId="3" borderId="16" xfId="0" applyFont="1" applyFill="1" applyBorder="1" applyAlignment="1">
      <alignment horizontal="left"/>
    </xf>
    <xf numFmtId="37" fontId="3" fillId="3" borderId="2" xfId="0" applyFont="1" applyFill="1" applyBorder="1" applyAlignment="1">
      <alignment horizontal="left"/>
    </xf>
    <xf numFmtId="37" fontId="3" fillId="6" borderId="17" xfId="0" applyFont="1" applyFill="1" applyBorder="1" applyAlignment="1">
      <alignment horizontal="center" wrapText="1"/>
    </xf>
    <xf numFmtId="37" fontId="3" fillId="6" borderId="31" xfId="0" applyFont="1" applyFill="1" applyBorder="1" applyAlignment="1">
      <alignment horizontal="center" wrapText="1"/>
    </xf>
    <xf numFmtId="37" fontId="3" fillId="6" borderId="34" xfId="0" applyFont="1" applyFill="1" applyBorder="1" applyAlignment="1">
      <alignment horizontal="center" wrapText="1"/>
    </xf>
    <xf numFmtId="37" fontId="3" fillId="6" borderId="39" xfId="0" applyFont="1" applyFill="1" applyBorder="1" applyAlignment="1">
      <alignment horizontal="center" wrapText="1"/>
    </xf>
    <xf numFmtId="37" fontId="3" fillId="6" borderId="0" xfId="0" applyFont="1" applyFill="1" applyBorder="1" applyAlignment="1">
      <alignment horizontal="center" wrapText="1"/>
    </xf>
    <xf numFmtId="37" fontId="3" fillId="6" borderId="6" xfId="0" applyFont="1" applyFill="1" applyBorder="1" applyAlignment="1">
      <alignment horizontal="center" wrapText="1"/>
    </xf>
    <xf numFmtId="37" fontId="3" fillId="6" borderId="13" xfId="0" applyFont="1" applyFill="1" applyBorder="1" applyAlignment="1">
      <alignment horizontal="center" wrapText="1"/>
    </xf>
    <xf numFmtId="37" fontId="3" fillId="3" borderId="18" xfId="0" quotePrefix="1" applyFont="1" applyFill="1" applyBorder="1" applyAlignment="1">
      <alignment horizontal="left"/>
    </xf>
    <xf numFmtId="37" fontId="3" fillId="3" borderId="15" xfId="0" quotePrefix="1" applyFont="1" applyFill="1" applyBorder="1" applyAlignment="1">
      <alignment horizontal="left"/>
    </xf>
    <xf numFmtId="37" fontId="3" fillId="3" borderId="19" xfId="0" quotePrefix="1" applyFont="1" applyFill="1" applyBorder="1" applyAlignment="1">
      <alignment horizontal="left"/>
    </xf>
    <xf numFmtId="37" fontId="3" fillId="6" borderId="33" xfId="0" quotePrefix="1" applyFont="1" applyFill="1" applyBorder="1" applyAlignment="1">
      <alignment horizontal="center" wrapText="1"/>
    </xf>
    <xf numFmtId="37" fontId="3" fillId="6" borderId="38" xfId="0" applyFont="1" applyFill="1" applyBorder="1" applyAlignment="1">
      <alignment horizontal="center"/>
    </xf>
    <xf numFmtId="37" fontId="3" fillId="6" borderId="34" xfId="0" applyFont="1" applyFill="1" applyBorder="1" applyAlignment="1">
      <alignment horizontal="center"/>
    </xf>
    <xf numFmtId="37" fontId="3" fillId="6" borderId="39" xfId="0" applyFont="1" applyFill="1" applyBorder="1" applyAlignment="1">
      <alignment horizontal="center"/>
    </xf>
    <xf numFmtId="37" fontId="3" fillId="6" borderId="58" xfId="0" applyFont="1" applyFill="1" applyBorder="1" applyAlignment="1">
      <alignment horizontal="center"/>
    </xf>
    <xf numFmtId="37" fontId="3" fillId="6" borderId="32" xfId="0" applyFont="1" applyFill="1" applyBorder="1" applyAlignment="1">
      <alignment horizontal="center"/>
    </xf>
    <xf numFmtId="37" fontId="3" fillId="6" borderId="59" xfId="0" applyFont="1" applyFill="1" applyBorder="1" applyAlignment="1">
      <alignment horizontal="center"/>
    </xf>
    <xf numFmtId="37" fontId="3" fillId="6" borderId="60" xfId="0" applyFont="1" applyFill="1" applyBorder="1" applyAlignment="1">
      <alignment horizontal="center"/>
    </xf>
    <xf numFmtId="37" fontId="3" fillId="6" borderId="61" xfId="0" applyFont="1" applyFill="1" applyBorder="1" applyAlignment="1">
      <alignment horizontal="center"/>
    </xf>
    <xf numFmtId="37" fontId="3" fillId="0" borderId="4" xfId="0" applyFont="1" applyBorder="1" applyAlignment="1">
      <alignment horizontal="center" wrapText="1"/>
    </xf>
    <xf numFmtId="37" fontId="3" fillId="0" borderId="9" xfId="0" applyFont="1" applyBorder="1" applyAlignment="1">
      <alignment horizontal="center" wrapText="1"/>
    </xf>
    <xf numFmtId="37" fontId="3" fillId="0" borderId="4" xfId="0" quotePrefix="1" applyFont="1" applyBorder="1" applyAlignment="1">
      <alignment horizontal="center" wrapText="1"/>
    </xf>
    <xf numFmtId="37" fontId="3" fillId="0" borderId="9" xfId="0" applyFont="1" applyBorder="1" applyAlignment="1">
      <alignment horizontal="center"/>
    </xf>
    <xf numFmtId="37" fontId="3" fillId="3" borderId="30" xfId="0" applyFont="1" applyFill="1" applyBorder="1" applyAlignment="1">
      <alignment horizontal="left"/>
    </xf>
    <xf numFmtId="37" fontId="3" fillId="3" borderId="27" xfId="0" applyFont="1" applyFill="1" applyBorder="1" applyAlignment="1">
      <alignment horizontal="left"/>
    </xf>
    <xf numFmtId="37" fontId="3" fillId="3" borderId="29" xfId="0" applyFont="1" applyFill="1" applyBorder="1" applyAlignment="1">
      <alignment horizontal="left"/>
    </xf>
    <xf numFmtId="37" fontId="3" fillId="6" borderId="11" xfId="0" applyFont="1" applyFill="1" applyBorder="1" applyAlignment="1">
      <alignment horizontal="center"/>
    </xf>
    <xf numFmtId="37" fontId="3" fillId="6" borderId="24" xfId="0" applyFont="1" applyFill="1" applyBorder="1" applyAlignment="1">
      <alignment horizontal="center" wrapText="1"/>
    </xf>
    <xf numFmtId="37" fontId="3" fillId="6" borderId="38" xfId="0" applyFont="1" applyFill="1" applyBorder="1" applyAlignment="1">
      <alignment horizontal="center" wrapText="1"/>
    </xf>
    <xf numFmtId="37" fontId="3" fillId="6" borderId="11" xfId="0" applyFont="1" applyFill="1" applyBorder="1" applyAlignment="1">
      <alignment horizontal="center" wrapText="1"/>
    </xf>
    <xf numFmtId="37" fontId="5" fillId="0" borderId="24" xfId="0" applyFont="1" applyBorder="1" applyAlignment="1">
      <alignment horizontal="left" vertical="top" wrapText="1"/>
    </xf>
    <xf numFmtId="37" fontId="5" fillId="0" borderId="0" xfId="0" applyFont="1" applyAlignment="1">
      <alignment horizontal="left" vertical="top" wrapText="1"/>
    </xf>
    <xf numFmtId="37" fontId="3" fillId="3" borderId="16" xfId="0" applyFont="1" applyFill="1" applyBorder="1" applyAlignment="1">
      <alignment horizontal="center"/>
    </xf>
    <xf numFmtId="37" fontId="3" fillId="3" borderId="2" xfId="0" applyFont="1" applyFill="1" applyBorder="1" applyAlignment="1">
      <alignment horizontal="center"/>
    </xf>
    <xf numFmtId="37" fontId="3" fillId="3" borderId="15" xfId="0" applyFont="1" applyFill="1" applyBorder="1" applyAlignment="1">
      <alignment horizontal="center"/>
    </xf>
    <xf numFmtId="37" fontId="3" fillId="3" borderId="19" xfId="0" applyFont="1" applyFill="1" applyBorder="1" applyAlignment="1">
      <alignment horizontal="center"/>
    </xf>
    <xf numFmtId="37" fontId="3" fillId="6" borderId="33" xfId="0" applyFont="1" applyFill="1" applyBorder="1" applyAlignment="1">
      <alignment horizontal="center" vertical="center"/>
    </xf>
    <xf numFmtId="37" fontId="3" fillId="6" borderId="24" xfId="0" applyFont="1" applyFill="1" applyBorder="1" applyAlignment="1">
      <alignment horizontal="center" vertical="center"/>
    </xf>
    <xf numFmtId="37" fontId="3" fillId="6" borderId="38" xfId="0" applyFont="1" applyFill="1" applyBorder="1" applyAlignment="1">
      <alignment horizontal="center" vertical="center"/>
    </xf>
    <xf numFmtId="37" fontId="3" fillId="6" borderId="34" xfId="0" applyFont="1" applyFill="1" applyBorder="1" applyAlignment="1">
      <alignment horizontal="center" vertical="center"/>
    </xf>
    <xf numFmtId="37" fontId="3" fillId="6" borderId="11" xfId="0" applyFont="1" applyFill="1" applyBorder="1" applyAlignment="1">
      <alignment horizontal="center" vertical="center"/>
    </xf>
    <xf numFmtId="37" fontId="3" fillId="6" borderId="39" xfId="0" applyFont="1" applyFill="1" applyBorder="1" applyAlignment="1">
      <alignment horizontal="center" vertical="center"/>
    </xf>
    <xf numFmtId="37" fontId="3" fillId="6" borderId="1" xfId="0" applyFont="1" applyFill="1" applyBorder="1" applyAlignment="1">
      <alignment horizontal="center" wrapText="1"/>
    </xf>
    <xf numFmtId="37" fontId="0" fillId="0" borderId="9" xfId="0" applyBorder="1"/>
    <xf numFmtId="49" fontId="5" fillId="0" borderId="0" xfId="0" quotePrefix="1" applyNumberFormat="1" applyFont="1" applyFill="1" applyAlignment="1">
      <alignment horizontal="left" vertical="top" wrapText="1"/>
    </xf>
    <xf numFmtId="37" fontId="3" fillId="6" borderId="58" xfId="0" applyFont="1" applyFill="1" applyBorder="1" applyAlignment="1">
      <alignment horizontal="center" vertical="center"/>
    </xf>
    <xf numFmtId="37" fontId="3" fillId="6" borderId="32" xfId="0" applyFont="1" applyFill="1" applyBorder="1" applyAlignment="1">
      <alignment horizontal="center" vertical="center"/>
    </xf>
    <xf numFmtId="37" fontId="3" fillId="6" borderId="59" xfId="0" applyFont="1" applyFill="1" applyBorder="1" applyAlignment="1">
      <alignment horizontal="center" vertical="center"/>
    </xf>
    <xf numFmtId="37" fontId="3" fillId="6" borderId="15" xfId="0" applyFont="1" applyFill="1" applyBorder="1" applyAlignment="1">
      <alignment horizontal="center" vertical="center"/>
    </xf>
    <xf numFmtId="37" fontId="3" fillId="0" borderId="21" xfId="0" quotePrefix="1" applyFont="1" applyFill="1" applyBorder="1" applyAlignment="1">
      <alignment horizontal="center" wrapText="1"/>
    </xf>
    <xf numFmtId="37" fontId="3" fillId="0" borderId="21" xfId="0" applyFont="1" applyFill="1" applyBorder="1" applyAlignment="1">
      <alignment horizontal="center" wrapText="1"/>
    </xf>
    <xf numFmtId="37" fontId="3" fillId="0" borderId="8" xfId="0" applyFont="1" applyFill="1" applyBorder="1" applyAlignment="1">
      <alignment horizontal="center" wrapText="1"/>
    </xf>
    <xf numFmtId="37" fontId="3" fillId="0" borderId="8" xfId="0" quotePrefix="1" applyFont="1" applyFill="1" applyBorder="1" applyAlignment="1">
      <alignment horizontal="center" wrapText="1"/>
    </xf>
    <xf numFmtId="37" fontId="3" fillId="0" borderId="17" xfId="0" applyFont="1" applyFill="1" applyBorder="1" applyAlignment="1">
      <alignment horizontal="center" wrapText="1"/>
    </xf>
    <xf numFmtId="37" fontId="3" fillId="0" borderId="34" xfId="0" applyFont="1" applyFill="1" applyBorder="1" applyAlignment="1">
      <alignment horizontal="center" wrapText="1"/>
    </xf>
    <xf numFmtId="37" fontId="3" fillId="0" borderId="7" xfId="0" quotePrefix="1" applyFont="1" applyBorder="1" applyAlignment="1">
      <alignment horizontal="center" wrapText="1"/>
    </xf>
    <xf numFmtId="37" fontId="3" fillId="0" borderId="21" xfId="0" applyFont="1" applyBorder="1" applyAlignment="1">
      <alignment horizontal="center" wrapText="1"/>
    </xf>
    <xf numFmtId="37" fontId="3" fillId="0" borderId="8" xfId="0" applyFont="1" applyBorder="1" applyAlignment="1">
      <alignment horizontal="center" wrapText="1"/>
    </xf>
    <xf numFmtId="37" fontId="3" fillId="6" borderId="57" xfId="0" quotePrefix="1" applyFont="1" applyFill="1" applyBorder="1" applyAlignment="1">
      <alignment horizontal="center" wrapText="1"/>
    </xf>
    <xf numFmtId="37" fontId="3" fillId="6" borderId="44" xfId="0" applyFont="1" applyFill="1" applyBorder="1" applyAlignment="1">
      <alignment horizontal="center" wrapText="1"/>
    </xf>
    <xf numFmtId="0" fontId="5" fillId="0" borderId="24" xfId="0" applyNumberFormat="1" applyFont="1" applyBorder="1" applyAlignment="1">
      <alignment horizontal="left" vertical="top" wrapText="1"/>
    </xf>
    <xf numFmtId="0" fontId="5" fillId="0" borderId="0" xfId="0" applyNumberFormat="1" applyFont="1" applyAlignment="1">
      <alignment horizontal="left" vertical="top" wrapText="1"/>
    </xf>
    <xf numFmtId="37" fontId="3" fillId="6" borderId="4" xfId="0" quotePrefix="1" applyFont="1" applyFill="1" applyBorder="1" applyAlignment="1">
      <alignment horizontal="center" wrapText="1"/>
    </xf>
    <xf numFmtId="37" fontId="3" fillId="6" borderId="1" xfId="0" quotePrefix="1" applyFont="1" applyFill="1" applyBorder="1" applyAlignment="1">
      <alignment horizontal="center" wrapText="1"/>
    </xf>
    <xf numFmtId="37" fontId="3" fillId="6" borderId="9" xfId="0" quotePrefix="1" applyFont="1" applyFill="1" applyBorder="1" applyAlignment="1">
      <alignment horizontal="center" wrapText="1"/>
    </xf>
    <xf numFmtId="37" fontId="3" fillId="6" borderId="7" xfId="0" quotePrefix="1" applyNumberFormat="1" applyFont="1" applyFill="1" applyBorder="1" applyAlignment="1" applyProtection="1">
      <alignment horizontal="center" wrapText="1"/>
    </xf>
    <xf numFmtId="37" fontId="3" fillId="6" borderId="21" xfId="0" quotePrefix="1" applyNumberFormat="1" applyFont="1" applyFill="1" applyBorder="1" applyAlignment="1" applyProtection="1">
      <alignment horizontal="center" wrapText="1"/>
    </xf>
    <xf numFmtId="37" fontId="3" fillId="6" borderId="8" xfId="0" quotePrefix="1" applyNumberFormat="1" applyFont="1" applyFill="1" applyBorder="1" applyAlignment="1" applyProtection="1">
      <alignment horizontal="center" wrapText="1"/>
    </xf>
    <xf numFmtId="37" fontId="3" fillId="6" borderId="62" xfId="0" quotePrefix="1" applyNumberFormat="1" applyFont="1" applyFill="1" applyBorder="1" applyAlignment="1" applyProtection="1">
      <alignment horizontal="center" wrapText="1"/>
    </xf>
    <xf numFmtId="37" fontId="3" fillId="6" borderId="43" xfId="0" quotePrefix="1" applyNumberFormat="1" applyFont="1" applyFill="1" applyBorder="1" applyAlignment="1" applyProtection="1">
      <alignment horizontal="center" wrapText="1"/>
    </xf>
    <xf numFmtId="37" fontId="5" fillId="0" borderId="24" xfId="0" quotePrefix="1" applyFont="1" applyBorder="1" applyAlignment="1">
      <alignment horizontal="left" wrapText="1"/>
    </xf>
    <xf numFmtId="37" fontId="0" fillId="0" borderId="24" xfId="0" applyBorder="1"/>
    <xf numFmtId="37" fontId="0" fillId="0" borderId="0" xfId="0"/>
    <xf numFmtId="37" fontId="3" fillId="3" borderId="18" xfId="0" applyFont="1" applyFill="1" applyBorder="1" applyAlignment="1">
      <alignment horizontal="center"/>
    </xf>
    <xf numFmtId="37" fontId="3" fillId="6" borderId="4" xfId="0" quotePrefix="1"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wrapText="1"/>
    </xf>
    <xf numFmtId="37" fontId="3" fillId="6" borderId="9" xfId="0"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
    </xf>
    <xf numFmtId="0" fontId="5" fillId="0" borderId="24" xfId="0" quotePrefix="1" applyNumberFormat="1" applyFont="1" applyBorder="1" applyAlignment="1">
      <alignment horizontal="left" vertical="center" wrapText="1"/>
    </xf>
    <xf numFmtId="0" fontId="5" fillId="0" borderId="0" xfId="0" quotePrefix="1" applyNumberFormat="1" applyFont="1" applyAlignment="1">
      <alignment horizontal="left" vertical="center" wrapText="1"/>
    </xf>
    <xf numFmtId="37" fontId="3" fillId="0" borderId="24" xfId="0" applyFont="1" applyBorder="1" applyAlignment="1">
      <alignment horizontal="center" vertical="center"/>
    </xf>
    <xf numFmtId="37" fontId="3" fillId="0" borderId="11" xfId="0" applyFont="1" applyBorder="1" applyAlignment="1">
      <alignment horizontal="center" vertical="center"/>
    </xf>
    <xf numFmtId="37" fontId="3" fillId="8" borderId="62" xfId="0" quotePrefix="1" applyFont="1" applyFill="1" applyBorder="1" applyAlignment="1">
      <alignment horizontal="center" wrapText="1"/>
    </xf>
    <xf numFmtId="37" fontId="3" fillId="8" borderId="43" xfId="0" applyFont="1" applyFill="1" applyBorder="1" applyAlignment="1">
      <alignment horizontal="center" wrapText="1"/>
    </xf>
    <xf numFmtId="37" fontId="3" fillId="8" borderId="7" xfId="0" quotePrefix="1" applyFont="1" applyFill="1" applyBorder="1" applyAlignment="1">
      <alignment horizontal="center" wrapText="1"/>
    </xf>
    <xf numFmtId="37" fontId="3" fillId="8" borderId="21" xfId="0" applyFont="1" applyFill="1" applyBorder="1" applyAlignment="1">
      <alignment horizontal="center" wrapText="1"/>
    </xf>
    <xf numFmtId="37" fontId="3" fillId="8" borderId="8" xfId="0" applyFont="1" applyFill="1" applyBorder="1" applyAlignment="1">
      <alignment horizontal="center" wrapText="1"/>
    </xf>
    <xf numFmtId="37" fontId="3" fillId="6" borderId="16" xfId="0" applyFont="1" applyFill="1" applyBorder="1" applyAlignment="1">
      <alignment horizontal="center" vertical="center"/>
    </xf>
    <xf numFmtId="37" fontId="3" fillId="6" borderId="2" xfId="0" applyFont="1" applyFill="1" applyBorder="1" applyAlignment="1">
      <alignment horizontal="center" vertical="center"/>
    </xf>
    <xf numFmtId="37" fontId="3" fillId="6" borderId="5" xfId="0" applyFont="1" applyFill="1" applyBorder="1" applyAlignment="1">
      <alignment horizontal="center" vertical="center"/>
    </xf>
    <xf numFmtId="37" fontId="3" fillId="6" borderId="12" xfId="0" applyFont="1" applyFill="1" applyBorder="1" applyAlignment="1">
      <alignment horizontal="center" vertical="center"/>
    </xf>
    <xf numFmtId="37" fontId="3" fillId="6" borderId="3" xfId="0" applyFont="1" applyFill="1" applyBorder="1" applyAlignment="1">
      <alignment horizontal="center" vertical="center"/>
    </xf>
    <xf numFmtId="37" fontId="3" fillId="6" borderId="10" xfId="0" applyFont="1" applyFill="1" applyBorder="1" applyAlignment="1">
      <alignment horizontal="center" vertical="center"/>
    </xf>
    <xf numFmtId="37" fontId="3" fillId="0" borderId="62" xfId="0" quotePrefix="1" applyFont="1" applyBorder="1" applyAlignment="1">
      <alignment horizontal="center" wrapText="1"/>
    </xf>
    <xf numFmtId="37" fontId="3" fillId="0" borderId="43" xfId="0" quotePrefix="1" applyFont="1" applyBorder="1" applyAlignment="1">
      <alignment horizontal="center" wrapText="1"/>
    </xf>
    <xf numFmtId="37" fontId="3" fillId="0" borderId="1" xfId="0" quotePrefix="1" applyFont="1" applyBorder="1" applyAlignment="1">
      <alignment horizontal="center" wrapText="1"/>
    </xf>
    <xf numFmtId="37" fontId="3" fillId="0" borderId="9" xfId="0" quotePrefix="1" applyFont="1" applyBorder="1" applyAlignment="1">
      <alignment horizontal="center" wrapText="1"/>
    </xf>
    <xf numFmtId="37" fontId="3" fillId="0" borderId="18" xfId="0" applyFont="1" applyBorder="1" applyAlignment="1">
      <alignment horizontal="center" vertical="center"/>
    </xf>
    <xf numFmtId="37" fontId="3" fillId="0" borderId="15" xfId="0" applyFont="1" applyBorder="1" applyAlignment="1">
      <alignment horizontal="center" vertical="center"/>
    </xf>
    <xf numFmtId="37" fontId="3" fillId="0" borderId="19" xfId="0" applyFont="1" applyBorder="1" applyAlignment="1">
      <alignment horizontal="center" vertical="center"/>
    </xf>
    <xf numFmtId="37" fontId="5" fillId="0" borderId="0" xfId="0" applyFont="1" applyAlignment="1">
      <alignment horizontal="left" wrapText="1"/>
    </xf>
    <xf numFmtId="37" fontId="3" fillId="0" borderId="16" xfId="0" applyFont="1" applyBorder="1" applyAlignment="1">
      <alignment horizontal="center" vertical="center"/>
    </xf>
    <xf numFmtId="37" fontId="3" fillId="0" borderId="21" xfId="0" quotePrefix="1" applyFont="1" applyBorder="1" applyAlignment="1">
      <alignment horizontal="center" wrapText="1"/>
    </xf>
    <xf numFmtId="37" fontId="3" fillId="0" borderId="8" xfId="0" quotePrefix="1" applyFont="1" applyBorder="1" applyAlignment="1">
      <alignment horizontal="center" wrapText="1"/>
    </xf>
    <xf numFmtId="37" fontId="3" fillId="0" borderId="5" xfId="0" quotePrefix="1" applyFont="1" applyBorder="1" applyAlignment="1">
      <alignment horizontal="center" wrapText="1"/>
    </xf>
    <xf numFmtId="37" fontId="3" fillId="0" borderId="6" xfId="0" quotePrefix="1" applyFont="1" applyBorder="1" applyAlignment="1">
      <alignment horizontal="center" wrapText="1"/>
    </xf>
    <xf numFmtId="37" fontId="3" fillId="0" borderId="10" xfId="0" quotePrefix="1" applyFont="1" applyBorder="1" applyAlignment="1">
      <alignment horizontal="center" wrapText="1"/>
    </xf>
    <xf numFmtId="49" fontId="5" fillId="0" borderId="24" xfId="0" quotePrefix="1" applyNumberFormat="1" applyFont="1" applyBorder="1" applyAlignment="1">
      <alignment horizontal="left" wrapText="1"/>
    </xf>
    <xf numFmtId="49" fontId="5" fillId="0" borderId="0" xfId="0" quotePrefix="1" applyNumberFormat="1" applyFont="1" applyAlignment="1">
      <alignment horizontal="left" wrapText="1"/>
    </xf>
    <xf numFmtId="0" fontId="5" fillId="0" borderId="0" xfId="0" quotePrefix="1" applyNumberFormat="1" applyFont="1" applyAlignment="1">
      <alignment horizontal="left" wrapText="1"/>
    </xf>
    <xf numFmtId="37" fontId="3" fillId="0" borderId="1" xfId="0" applyFont="1" applyBorder="1" applyAlignment="1">
      <alignment horizontal="center" wrapText="1"/>
    </xf>
    <xf numFmtId="0" fontId="5" fillId="0" borderId="0" xfId="0" quotePrefix="1" applyNumberFormat="1" applyFont="1" applyBorder="1" applyAlignment="1">
      <alignment horizontal="left" vertical="center" wrapText="1"/>
    </xf>
    <xf numFmtId="37" fontId="3" fillId="3" borderId="15" xfId="0" quotePrefix="1" applyFont="1" applyFill="1" applyBorder="1" applyAlignment="1">
      <alignment horizontal="center" vertical="center"/>
    </xf>
    <xf numFmtId="37" fontId="3" fillId="3" borderId="15" xfId="0" applyFont="1" applyFill="1" applyBorder="1" applyAlignment="1">
      <alignment horizontal="center" vertical="center"/>
    </xf>
    <xf numFmtId="37" fontId="3" fillId="6" borderId="30" xfId="6" quotePrefix="1" applyNumberFormat="1" applyFont="1" applyFill="1" applyBorder="1" applyAlignment="1">
      <alignment horizontal="center" vertical="center"/>
    </xf>
    <xf numFmtId="37" fontId="3" fillId="6" borderId="27" xfId="6" applyNumberFormat="1" applyFont="1" applyFill="1" applyBorder="1" applyAlignment="1">
      <alignment horizontal="center" vertical="center"/>
    </xf>
    <xf numFmtId="37" fontId="3" fillId="6" borderId="29" xfId="6" applyNumberFormat="1" applyFont="1" applyFill="1" applyBorder="1" applyAlignment="1">
      <alignment horizontal="center" vertical="center"/>
    </xf>
    <xf numFmtId="37" fontId="3" fillId="3" borderId="30" xfId="0" quotePrefix="1" applyFont="1" applyFill="1" applyBorder="1" applyAlignment="1">
      <alignment horizontal="center" vertical="center"/>
    </xf>
    <xf numFmtId="37" fontId="3" fillId="3" borderId="27" xfId="0" quotePrefix="1" applyFont="1" applyFill="1" applyBorder="1" applyAlignment="1">
      <alignment horizontal="center" vertical="center"/>
    </xf>
    <xf numFmtId="37" fontId="3" fillId="3" borderId="29" xfId="0" quotePrefix="1" applyFont="1" applyFill="1" applyBorder="1" applyAlignment="1">
      <alignment horizontal="center" vertical="center"/>
    </xf>
    <xf numFmtId="37" fontId="5" fillId="0" borderId="2" xfId="7" quotePrefix="1" applyFont="1" applyBorder="1" applyAlignment="1">
      <alignment horizontal="left" vertical="center" wrapText="1"/>
    </xf>
    <xf numFmtId="37" fontId="5" fillId="0" borderId="0" xfId="7" quotePrefix="1" applyFont="1" applyAlignment="1">
      <alignment horizontal="left" vertical="center" wrapText="1"/>
    </xf>
    <xf numFmtId="37" fontId="3" fillId="7" borderId="46" xfId="0" applyFont="1" applyFill="1" applyBorder="1" applyAlignment="1">
      <alignment horizontal="center" vertical="center" wrapText="1"/>
    </xf>
    <xf numFmtId="37" fontId="3" fillId="7" borderId="47" xfId="0" applyFont="1" applyFill="1" applyBorder="1" applyAlignment="1">
      <alignment horizontal="center" vertical="center" wrapText="1"/>
    </xf>
    <xf numFmtId="37" fontId="3" fillId="7" borderId="4" xfId="0" applyFont="1" applyFill="1" applyBorder="1" applyAlignment="1">
      <alignment horizontal="center" wrapText="1"/>
    </xf>
    <xf numFmtId="37" fontId="3" fillId="7"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quotePrefix="1" applyFont="1" applyBorder="1" applyAlignment="1">
      <alignment horizontal="center" vertical="center"/>
    </xf>
    <xf numFmtId="39" fontId="3" fillId="0" borderId="2" xfId="5" applyFont="1" applyBorder="1" applyAlignment="1">
      <alignment horizontal="center" vertical="center"/>
    </xf>
    <xf numFmtId="0" fontId="3" fillId="0" borderId="3" xfId="5" quotePrefix="1" applyNumberFormat="1" applyFont="1" applyBorder="1" applyAlignment="1">
      <alignment horizontal="center" vertical="center"/>
    </xf>
    <xf numFmtId="0" fontId="3" fillId="0" borderId="3" xfId="5" applyNumberFormat="1" applyFont="1" applyBorder="1" applyAlignment="1">
      <alignment horizontal="center" vertical="center"/>
    </xf>
    <xf numFmtId="37" fontId="3" fillId="7" borderId="16" xfId="0" quotePrefix="1" applyFont="1" applyFill="1" applyBorder="1" applyAlignment="1">
      <alignment horizontal="center" wrapText="1"/>
    </xf>
    <xf numFmtId="37" fontId="3" fillId="7" borderId="5" xfId="0" applyFont="1" applyFill="1" applyBorder="1" applyAlignment="1">
      <alignment horizontal="center" wrapText="1"/>
    </xf>
    <xf numFmtId="0" fontId="5" fillId="0" borderId="24" xfId="4" quotePrefix="1" applyFont="1" applyBorder="1" applyAlignment="1">
      <alignment horizontal="left" vertical="center" wrapText="1"/>
    </xf>
    <xf numFmtId="0" fontId="5" fillId="0" borderId="0" xfId="4" quotePrefix="1" applyFont="1" applyAlignment="1">
      <alignment horizontal="left" vertical="center" wrapText="1"/>
    </xf>
    <xf numFmtId="0" fontId="3" fillId="7" borderId="33" xfId="4" quotePrefix="1" applyFont="1" applyFill="1" applyBorder="1" applyAlignment="1">
      <alignment horizontal="center" wrapText="1"/>
    </xf>
    <xf numFmtId="0" fontId="3" fillId="7" borderId="38" xfId="4" quotePrefix="1" applyFont="1" applyFill="1" applyBorder="1" applyAlignment="1">
      <alignment horizontal="center" wrapText="1"/>
    </xf>
    <xf numFmtId="0" fontId="3" fillId="7" borderId="34" xfId="4" quotePrefix="1" applyFont="1" applyFill="1" applyBorder="1" applyAlignment="1">
      <alignment horizontal="center" wrapText="1"/>
    </xf>
    <xf numFmtId="0" fontId="3" fillId="7" borderId="39" xfId="4" quotePrefix="1" applyFont="1" applyFill="1" applyBorder="1" applyAlignment="1">
      <alignment horizontal="center" wrapText="1"/>
    </xf>
    <xf numFmtId="0" fontId="3" fillId="7" borderId="24" xfId="4" quotePrefix="1" applyFont="1" applyFill="1" applyBorder="1" applyAlignment="1">
      <alignment horizontal="center" wrapText="1"/>
    </xf>
    <xf numFmtId="0" fontId="3" fillId="7" borderId="24" xfId="4" applyFont="1" applyFill="1" applyBorder="1" applyAlignment="1">
      <alignment horizontal="center" wrapText="1"/>
    </xf>
    <xf numFmtId="0" fontId="3" fillId="7" borderId="38" xfId="4" applyFont="1" applyFill="1" applyBorder="1" applyAlignment="1">
      <alignment horizontal="center" wrapText="1"/>
    </xf>
    <xf numFmtId="0" fontId="3" fillId="7" borderId="11" xfId="4" applyFont="1" applyFill="1" applyBorder="1" applyAlignment="1">
      <alignment horizontal="center" wrapText="1"/>
    </xf>
    <xf numFmtId="0" fontId="3" fillId="7" borderId="39" xfId="4" applyFont="1" applyFill="1" applyBorder="1" applyAlignment="1">
      <alignment horizontal="center" wrapText="1"/>
    </xf>
    <xf numFmtId="37" fontId="3" fillId="7" borderId="13" xfId="0" quotePrefix="1" applyFont="1" applyFill="1" applyBorder="1" applyAlignment="1">
      <alignment horizontal="center" wrapText="1"/>
    </xf>
    <xf numFmtId="37" fontId="3" fillId="7" borderId="6" xfId="0" applyFont="1" applyFill="1" applyBorder="1" applyAlignment="1">
      <alignment horizontal="center" wrapText="1"/>
    </xf>
    <xf numFmtId="37" fontId="3" fillId="7" borderId="12" xfId="0" applyFont="1" applyFill="1" applyBorder="1" applyAlignment="1">
      <alignment horizontal="center" wrapText="1"/>
    </xf>
    <xf numFmtId="37" fontId="3" fillId="7" borderId="10" xfId="0" applyFont="1" applyFill="1" applyBorder="1" applyAlignment="1">
      <alignment horizontal="center" wrapText="1"/>
    </xf>
    <xf numFmtId="37" fontId="3" fillId="7" borderId="13" xfId="0" applyFont="1" applyFill="1" applyBorder="1" applyAlignment="1">
      <alignment horizontal="center" wrapText="1"/>
    </xf>
    <xf numFmtId="37" fontId="3" fillId="7" borderId="0" xfId="0" quotePrefix="1" applyFont="1" applyFill="1" applyBorder="1" applyAlignment="1">
      <alignment horizontal="center" wrapText="1"/>
    </xf>
    <xf numFmtId="37" fontId="3" fillId="7" borderId="3" xfId="0" applyFont="1" applyFill="1" applyBorder="1" applyAlignment="1">
      <alignment horizontal="center" wrapText="1"/>
    </xf>
    <xf numFmtId="37" fontId="3" fillId="7" borderId="33" xfId="0" quotePrefix="1" applyFont="1" applyFill="1" applyBorder="1" applyAlignment="1">
      <alignment horizontal="center" wrapText="1"/>
    </xf>
    <xf numFmtId="37" fontId="3" fillId="7" borderId="38" xfId="0" applyFont="1" applyFill="1" applyBorder="1" applyAlignment="1">
      <alignment horizontal="center" wrapText="1"/>
    </xf>
    <xf numFmtId="37" fontId="3" fillId="7" borderId="17" xfId="0" applyFont="1" applyFill="1" applyBorder="1" applyAlignment="1">
      <alignment horizontal="center" wrapText="1"/>
    </xf>
    <xf numFmtId="37" fontId="3" fillId="7" borderId="31" xfId="0" applyFont="1" applyFill="1" applyBorder="1" applyAlignment="1">
      <alignment horizontal="center" wrapText="1"/>
    </xf>
    <xf numFmtId="37" fontId="3" fillId="7" borderId="34" xfId="0" applyFont="1" applyFill="1" applyBorder="1" applyAlignment="1">
      <alignment horizontal="center" wrapText="1"/>
    </xf>
    <xf numFmtId="37" fontId="3" fillId="7" borderId="39" xfId="0" applyFont="1" applyFill="1" applyBorder="1" applyAlignment="1">
      <alignment horizontal="center" wrapText="1"/>
    </xf>
    <xf numFmtId="37" fontId="5" fillId="0" borderId="0" xfId="0" applyFont="1" applyAlignment="1">
      <alignment horizontal="center" wrapText="1"/>
    </xf>
    <xf numFmtId="37" fontId="31" fillId="14" borderId="34" xfId="0" quotePrefix="1" applyFont="1" applyFill="1" applyBorder="1" applyAlignment="1">
      <alignment horizontal="center"/>
    </xf>
    <xf numFmtId="37" fontId="31" fillId="14" borderId="11" xfId="0" applyFont="1" applyFill="1" applyBorder="1" applyAlignment="1">
      <alignment horizontal="center"/>
    </xf>
    <xf numFmtId="37" fontId="31" fillId="14" borderId="39" xfId="0" applyFont="1" applyFill="1" applyBorder="1" applyAlignment="1">
      <alignment horizontal="center"/>
    </xf>
    <xf numFmtId="37" fontId="17" fillId="15" borderId="0" xfId="7" applyFont="1" applyFill="1"/>
    <xf numFmtId="37" fontId="17" fillId="0" borderId="0" xfId="7" applyFont="1"/>
    <xf numFmtId="37" fontId="18" fillId="15" borderId="0" xfId="7" applyFont="1" applyFill="1"/>
    <xf numFmtId="37" fontId="38" fillId="15" borderId="0" xfId="7" applyFont="1" applyFill="1" applyAlignment="1"/>
    <xf numFmtId="37" fontId="17" fillId="15" borderId="0" xfId="7" applyFont="1" applyFill="1" applyAlignment="1"/>
    <xf numFmtId="37" fontId="38" fillId="15" borderId="0" xfId="7" applyFont="1" applyFill="1" applyAlignment="1">
      <alignment wrapText="1"/>
    </xf>
    <xf numFmtId="37" fontId="38" fillId="15" borderId="0" xfId="7" quotePrefix="1" applyFont="1" applyFill="1" applyAlignment="1">
      <alignment horizontal="left" wrapText="1"/>
    </xf>
    <xf numFmtId="37" fontId="38" fillId="15" borderId="0" xfId="7" applyFont="1" applyFill="1" applyAlignment="1">
      <alignment wrapText="1"/>
    </xf>
    <xf numFmtId="37" fontId="40" fillId="15" borderId="0" xfId="8" applyNumberFormat="1" applyFont="1" applyFill="1" applyAlignment="1" applyProtection="1">
      <alignment horizontal="center" wrapText="1"/>
    </xf>
    <xf numFmtId="37" fontId="41" fillId="16" borderId="63" xfId="7" quotePrefix="1" applyFont="1" applyFill="1" applyBorder="1" applyAlignment="1">
      <alignment horizontal="center"/>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16" fmlaLink="$Y$4" fmlaRange="$Y$2:$Y$3"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19050</xdr:colOff>
          <xdr:row>2</xdr:row>
          <xdr:rowOff>9525</xdr:rowOff>
        </xdr:from>
        <xdr:to>
          <xdr:col>21</xdr:col>
          <xdr:colOff>885825</xdr:colOff>
          <xdr:row>3</xdr:row>
          <xdr:rowOff>133350</xdr:rowOff>
        </xdr:to>
        <xdr:sp macro="" textlink="">
          <xdr:nvSpPr>
            <xdr:cNvPr id="240641" name="Button 1" hidden="1">
              <a:extLst>
                <a:ext uri="{63B3BB69-23CF-44E3-9099-C40C66FF867C}">
                  <a14:compatExt spid="_x0000_s2406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Replace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xdr:row>
          <xdr:rowOff>9525</xdr:rowOff>
        </xdr:from>
        <xdr:to>
          <xdr:col>1</xdr:col>
          <xdr:colOff>1343025</xdr:colOff>
          <xdr:row>3</xdr:row>
          <xdr:rowOff>85725</xdr:rowOff>
        </xdr:to>
        <xdr:sp macro="" textlink="">
          <xdr:nvSpPr>
            <xdr:cNvPr id="240646" name="Drop Down 6" hidden="1">
              <a:extLst>
                <a:ext uri="{63B3BB69-23CF-44E3-9099-C40C66FF867C}">
                  <a14:compatExt spid="_x0000_s240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onzalo\financial%20report%20French%20Dept\13-14-257%20-%202013-14%20FRAME%20Budget_FR(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8%20FRAME%20Budg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5-16%20FRAME%20Budg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
      <sheetName val="- 50 -"/>
      <sheetName val="- 51 -"/>
      <sheetName val="- 52 -"/>
      <sheetName val="- 53 -"/>
      <sheetName val="- 54 -"/>
      <sheetName val="- 55 -"/>
      <sheetName val="- 56 -"/>
      <sheetName val="- 57 -"/>
      <sheetName val="- 58 -"/>
      <sheetName val="- 59 -"/>
      <sheetName val="- 60 -"/>
      <sheetName val="- 61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B1" t="str">
            <v>ANALYSE DES RECETTES DU FONDS DE FONCTIONNEMENT : BUDGET 2013 - 2014</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5 -"/>
      <sheetName val="- 47 -"/>
      <sheetName val="- 48 - "/>
      <sheetName val="- 50 -"/>
      <sheetName val="- 51 -"/>
      <sheetName val="- 52 -"/>
      <sheetName val="- 53 -"/>
      <sheetName val="- 54 -"/>
      <sheetName val="- 55 -"/>
      <sheetName val="- 56 -"/>
      <sheetName val="- 57 -"/>
      <sheetName val="- 58 -"/>
      <sheetName val="- 59 -"/>
      <sheetName val="- 60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5 -"/>
      <sheetName val="- 47 -"/>
      <sheetName val="- 48 - "/>
      <sheetName val="- 50 -"/>
      <sheetName val="- 51 -"/>
      <sheetName val="- 52 -"/>
      <sheetName val="- 53 -"/>
      <sheetName val="- 54 -"/>
      <sheetName val="- 55 -"/>
      <sheetName val="- 56 -"/>
      <sheetName val="- 57 -"/>
      <sheetName val="- 58 -"/>
      <sheetName val="- 59 -"/>
      <sheetName val="- 60 -"/>
      <sheetName val="Data"/>
    </sheetNames>
    <sheetDataSet>
      <sheetData sheetId="0"/>
      <sheetData sheetId="1"/>
      <sheetData sheetId="2"/>
      <sheetData sheetId="3"/>
      <sheetData sheetId="4"/>
      <sheetData sheetId="5"/>
      <sheetData sheetId="6"/>
      <sheetData sheetId="7"/>
      <sheetData sheetId="8"/>
      <sheetData sheetId="9"/>
      <sheetData sheetId="10">
        <row r="2">
          <cell r="B2" t="str">
            <v>ANALYSIS OF EXPENSE BY FUNCTION</v>
          </cell>
        </row>
      </sheetData>
      <sheetData sheetId="11"/>
      <sheetData sheetId="12"/>
      <sheetData sheetId="13">
        <row r="2">
          <cell r="B2" t="str">
            <v>ANALYSIS OF EXPENSE BY PROGRAM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V4">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 val="i"/>
      <sheetName val="- 1 -"/>
      <sheetName val="- 2 -"/>
      <sheetName val="- 5 -"/>
      <sheetName val="- 11 -"/>
      <sheetName val="- 14 -"/>
      <sheetName val="- 40 -"/>
      <sheetName val="- 47 -"/>
      <sheetName val="- 49 -"/>
      <sheetName val="Data"/>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5"/>
  <sheetViews>
    <sheetView showGridLines="0" showRowColHeaders="0" tabSelected="1" workbookViewId="0"/>
  </sheetViews>
  <sheetFormatPr defaultColWidth="0" defaultRowHeight="14.25" customHeight="1" zeroHeight="1" x14ac:dyDescent="0.2"/>
  <cols>
    <col min="1" max="1" width="15.83203125" style="835" customWidth="1"/>
    <col min="2" max="2" width="120.83203125" style="835" customWidth="1"/>
    <col min="3" max="3" width="80.83203125" style="835" customWidth="1"/>
    <col min="4" max="16384" width="9.33203125" style="835" hidden="1"/>
  </cols>
  <sheetData>
    <row r="1" spans="1:3" ht="0.95" customHeight="1" x14ac:dyDescent="0.2">
      <c r="A1" s="834"/>
      <c r="B1" s="834"/>
      <c r="C1" s="834"/>
    </row>
    <row r="2" spans="1:3" ht="24.95" customHeight="1" x14ac:dyDescent="0.2">
      <c r="A2" s="834"/>
      <c r="B2" s="834"/>
      <c r="C2" s="834"/>
    </row>
    <row r="3" spans="1:3" ht="15.75" x14ac:dyDescent="0.25">
      <c r="A3" s="834"/>
      <c r="B3" s="843" t="s">
        <v>616</v>
      </c>
      <c r="C3" s="834"/>
    </row>
    <row r="4" spans="1:3" ht="15" x14ac:dyDescent="0.2">
      <c r="A4" s="834"/>
      <c r="B4" s="836"/>
      <c r="C4" s="834"/>
    </row>
    <row r="5" spans="1:3" ht="15" x14ac:dyDescent="0.2">
      <c r="A5" s="834"/>
      <c r="B5" s="837" t="s">
        <v>610</v>
      </c>
      <c r="C5" s="838"/>
    </row>
    <row r="6" spans="1:3" ht="15" x14ac:dyDescent="0.2">
      <c r="A6" s="834"/>
      <c r="B6" s="836"/>
      <c r="C6" s="834"/>
    </row>
    <row r="7" spans="1:3" x14ac:dyDescent="0.2">
      <c r="A7" s="834"/>
      <c r="B7" s="839" t="s">
        <v>611</v>
      </c>
      <c r="C7" s="834"/>
    </row>
    <row r="8" spans="1:3" x14ac:dyDescent="0.2">
      <c r="A8" s="834"/>
      <c r="B8" s="839"/>
      <c r="C8" s="834"/>
    </row>
    <row r="9" spans="1:3" ht="15" x14ac:dyDescent="0.2">
      <c r="A9" s="834"/>
      <c r="B9" s="836"/>
      <c r="C9" s="834"/>
    </row>
    <row r="10" spans="1:3" x14ac:dyDescent="0.2">
      <c r="A10" s="834"/>
      <c r="B10" s="839" t="s">
        <v>612</v>
      </c>
      <c r="C10" s="834"/>
    </row>
    <row r="11" spans="1:3" x14ac:dyDescent="0.2">
      <c r="A11" s="834"/>
      <c r="B11" s="839"/>
      <c r="C11" s="834"/>
    </row>
    <row r="12" spans="1:3" ht="15" x14ac:dyDescent="0.2">
      <c r="A12" s="834"/>
      <c r="B12" s="836"/>
      <c r="C12" s="834"/>
    </row>
    <row r="13" spans="1:3" ht="14.25" customHeight="1" x14ac:dyDescent="0.2">
      <c r="A13" s="834"/>
      <c r="B13" s="840" t="s">
        <v>613</v>
      </c>
      <c r="C13" s="834"/>
    </row>
    <row r="14" spans="1:3" x14ac:dyDescent="0.2">
      <c r="A14" s="834"/>
      <c r="B14" s="839"/>
      <c r="C14" s="834"/>
    </row>
    <row r="15" spans="1:3" x14ac:dyDescent="0.2">
      <c r="A15" s="834"/>
      <c r="B15" s="839"/>
      <c r="C15" s="834"/>
    </row>
    <row r="16" spans="1:3" ht="15" x14ac:dyDescent="0.2">
      <c r="A16" s="834"/>
      <c r="B16" s="841"/>
      <c r="C16" s="834"/>
    </row>
    <row r="17" spans="1:3" x14ac:dyDescent="0.2">
      <c r="A17" s="834"/>
      <c r="B17" s="839" t="s">
        <v>614</v>
      </c>
      <c r="C17" s="834"/>
    </row>
    <row r="18" spans="1:3" x14ac:dyDescent="0.2">
      <c r="A18" s="834"/>
      <c r="B18" s="839"/>
      <c r="C18" s="834"/>
    </row>
    <row r="19" spans="1:3" ht="15" x14ac:dyDescent="0.2">
      <c r="A19" s="834"/>
      <c r="B19" s="841"/>
      <c r="C19" s="834"/>
    </row>
    <row r="20" spans="1:3" ht="15" x14ac:dyDescent="0.2">
      <c r="A20" s="834"/>
      <c r="B20" s="842" t="s">
        <v>615</v>
      </c>
      <c r="C20" s="834"/>
    </row>
    <row r="21" spans="1:3" ht="15" x14ac:dyDescent="0.2">
      <c r="A21" s="834"/>
      <c r="B21" s="841"/>
      <c r="C21" s="834"/>
    </row>
    <row r="22" spans="1:3" ht="15" x14ac:dyDescent="0.2">
      <c r="A22" s="834"/>
      <c r="B22" s="841"/>
      <c r="C22" s="834"/>
    </row>
    <row r="23" spans="1:3" ht="15" x14ac:dyDescent="0.2">
      <c r="A23" s="834"/>
      <c r="B23" s="841"/>
      <c r="C23" s="834"/>
    </row>
    <row r="24" spans="1:3" x14ac:dyDescent="0.2">
      <c r="A24" s="834"/>
      <c r="B24" s="838"/>
      <c r="C24" s="834"/>
    </row>
    <row r="25" spans="1:3" ht="200.1" customHeight="1" x14ac:dyDescent="0.2">
      <c r="A25" s="834"/>
      <c r="B25" s="838"/>
      <c r="C25" s="834"/>
    </row>
  </sheetData>
  <mergeCells count="4">
    <mergeCell ref="B7:B8"/>
    <mergeCell ref="B10:B11"/>
    <mergeCell ref="B13:B15"/>
    <mergeCell ref="B17:B18"/>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N55"/>
  <sheetViews>
    <sheetView showGridLines="0" showZeros="0" workbookViewId="0"/>
  </sheetViews>
  <sheetFormatPr defaultColWidth="14.83203125" defaultRowHeight="12" x14ac:dyDescent="0.2"/>
  <cols>
    <col min="1" max="1" width="46.16406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hidden="1" customWidth="1"/>
    <col min="14" max="14" width="0" style="1" hidden="1" customWidth="1"/>
    <col min="15" max="16384" width="14.83203125" style="1"/>
  </cols>
  <sheetData>
    <row r="2" spans="1:14" x14ac:dyDescent="0.2">
      <c r="A2" s="52"/>
      <c r="B2" s="52"/>
      <c r="C2" s="100" t="str">
        <f>OPYEAR</f>
        <v>OPERATING FUND 2018/2019 BUDGET</v>
      </c>
      <c r="D2" s="100"/>
      <c r="E2" s="100"/>
      <c r="F2" s="101"/>
      <c r="G2" s="101"/>
      <c r="H2" s="101"/>
      <c r="I2" s="101"/>
      <c r="J2" s="102"/>
      <c r="K2" s="103" t="s">
        <v>69</v>
      </c>
    </row>
    <row r="3" spans="1:14" ht="9.9499999999999993" customHeight="1" x14ac:dyDescent="0.2">
      <c r="J3" s="90"/>
      <c r="K3" s="90"/>
    </row>
    <row r="4" spans="1:14" ht="15.75" x14ac:dyDescent="0.25">
      <c r="B4" s="257" t="str">
        <f>+'- 12 -'!B4</f>
        <v>EXPENSE BY 2ND LEVEL OBJECT</v>
      </c>
      <c r="C4" s="90"/>
      <c r="D4" s="90"/>
      <c r="E4" s="90"/>
      <c r="F4" s="90"/>
      <c r="G4" s="90"/>
      <c r="H4" s="90"/>
      <c r="I4" s="90"/>
      <c r="J4" s="90"/>
      <c r="K4" s="90"/>
    </row>
    <row r="5" spans="1:14" ht="15.75" x14ac:dyDescent="0.25">
      <c r="B5" s="257" t="str">
        <f>+'- 12 -'!B5</f>
        <v>AS A PERCENTAGE OF TOTAL OPERATING FUND EXPENSES</v>
      </c>
      <c r="C5" s="90"/>
      <c r="D5" s="90"/>
      <c r="E5" s="90"/>
      <c r="F5" s="90"/>
      <c r="G5" s="90"/>
      <c r="H5" s="90"/>
      <c r="I5" s="90"/>
      <c r="J5" s="90"/>
      <c r="K5" s="90"/>
    </row>
    <row r="6" spans="1:14" ht="9.9499999999999993" customHeight="1" x14ac:dyDescent="0.2"/>
    <row r="7" spans="1:14" x14ac:dyDescent="0.2">
      <c r="B7" s="105" t="s">
        <v>70</v>
      </c>
      <c r="C7" s="101"/>
      <c r="D7" s="101"/>
      <c r="E7" s="101"/>
      <c r="F7" s="101"/>
      <c r="G7" s="101"/>
      <c r="H7" s="101"/>
      <c r="I7" s="106"/>
    </row>
    <row r="8" spans="1:14" ht="6" customHeight="1" x14ac:dyDescent="0.2">
      <c r="B8" s="104"/>
    </row>
    <row r="9" spans="1:14" x14ac:dyDescent="0.2">
      <c r="A9" s="4"/>
      <c r="B9" s="615" t="s">
        <v>395</v>
      </c>
      <c r="C9" s="612"/>
      <c r="D9" s="615" t="s">
        <v>67</v>
      </c>
      <c r="E9" s="612"/>
      <c r="F9" s="615" t="s">
        <v>68</v>
      </c>
      <c r="G9" s="612"/>
      <c r="H9" s="617" t="s">
        <v>24</v>
      </c>
      <c r="I9" s="604"/>
      <c r="J9" s="617" t="s">
        <v>25</v>
      </c>
      <c r="K9" s="604"/>
    </row>
    <row r="10" spans="1:14" x14ac:dyDescent="0.2">
      <c r="A10" s="4"/>
      <c r="B10" s="613"/>
      <c r="C10" s="614"/>
      <c r="D10" s="613"/>
      <c r="E10" s="614"/>
      <c r="F10" s="613"/>
      <c r="G10" s="614"/>
      <c r="H10" s="618"/>
      <c r="I10" s="606"/>
      <c r="J10" s="618"/>
      <c r="K10" s="606"/>
    </row>
    <row r="11" spans="1:14" x14ac:dyDescent="0.2">
      <c r="A11" s="107" t="s">
        <v>63</v>
      </c>
      <c r="B11" s="108" t="s">
        <v>38</v>
      </c>
      <c r="C11" s="108" t="s">
        <v>39</v>
      </c>
      <c r="D11" s="108" t="s">
        <v>38</v>
      </c>
      <c r="E11" s="108" t="s">
        <v>39</v>
      </c>
      <c r="F11" s="108" t="s">
        <v>38</v>
      </c>
      <c r="G11" s="108" t="s">
        <v>39</v>
      </c>
      <c r="H11" s="108" t="s">
        <v>38</v>
      </c>
      <c r="I11" s="109" t="s">
        <v>39</v>
      </c>
      <c r="J11" s="108" t="s">
        <v>38</v>
      </c>
      <c r="K11" s="109" t="s">
        <v>39</v>
      </c>
    </row>
    <row r="12" spans="1:14" ht="5.0999999999999996" customHeight="1" x14ac:dyDescent="0.2"/>
    <row r="13" spans="1:14" x14ac:dyDescent="0.2">
      <c r="A13" s="281" t="s">
        <v>64</v>
      </c>
      <c r="B13" s="111"/>
      <c r="C13" s="262"/>
      <c r="D13" s="111"/>
      <c r="E13" s="262"/>
      <c r="F13" s="111"/>
      <c r="G13" s="262"/>
      <c r="H13" s="111"/>
      <c r="I13" s="262"/>
      <c r="J13" s="111"/>
      <c r="K13" s="262"/>
      <c r="M13" s="1" t="s">
        <v>64</v>
      </c>
      <c r="N13" s="450">
        <f>K22</f>
        <v>76.678067211502011</v>
      </c>
    </row>
    <row r="14" spans="1:14" x14ac:dyDescent="0.2">
      <c r="A14" s="112" t="s">
        <v>192</v>
      </c>
      <c r="B14" s="113"/>
      <c r="C14" s="259"/>
      <c r="D14" s="113"/>
      <c r="E14" s="259"/>
      <c r="F14" s="113"/>
      <c r="G14" s="259"/>
      <c r="H14" s="113"/>
      <c r="I14" s="259"/>
      <c r="J14" s="113">
        <f>SUM(F14,D14,B14,'- 12 -'!J14,'- 12 -'!H14,'- 12 -'!F14,'- 12 -'!D14,'- 12 -'!B14)</f>
        <v>4000598</v>
      </c>
      <c r="K14" s="259">
        <f t="shared" ref="K14:K23" si="0">J14/$J$54*100</f>
        <v>0.16590740676706983</v>
      </c>
      <c r="M14" s="1" t="s">
        <v>82</v>
      </c>
      <c r="N14" s="450">
        <f>K23</f>
        <v>6.4238790717119718</v>
      </c>
    </row>
    <row r="15" spans="1:14" x14ac:dyDescent="0.2">
      <c r="A15" s="112" t="s">
        <v>193</v>
      </c>
      <c r="B15" s="113">
        <v>4544496</v>
      </c>
      <c r="C15" s="259">
        <f>B15/$J$54*100</f>
        <v>0.18846321135573277</v>
      </c>
      <c r="D15" s="113">
        <v>3122345</v>
      </c>
      <c r="E15" s="259">
        <f>D15/$J$54*100</f>
        <v>0.12948568238601493</v>
      </c>
      <c r="F15" s="113">
        <v>5165567</v>
      </c>
      <c r="G15" s="259">
        <f>F15/$J$54*100</f>
        <v>0.2142194305580197</v>
      </c>
      <c r="H15" s="113"/>
      <c r="I15" s="259"/>
      <c r="J15" s="113">
        <f>SUM(F15,D15,B15,'- 12 -'!J15,'- 12 -'!H15,'- 12 -'!F15,'- 12 -'!D15,'- 12 -'!B15)</f>
        <v>140144060</v>
      </c>
      <c r="K15" s="259">
        <f t="shared" si="0"/>
        <v>5.8118655182071874</v>
      </c>
      <c r="M15" s="1" t="s">
        <v>58</v>
      </c>
      <c r="N15" s="450">
        <f>K40</f>
        <v>9.0829649502243104</v>
      </c>
    </row>
    <row r="16" spans="1:14" x14ac:dyDescent="0.2">
      <c r="A16" s="112" t="s">
        <v>194</v>
      </c>
      <c r="B16" s="113">
        <v>26896446</v>
      </c>
      <c r="C16" s="259">
        <f>B16/$J$54*100</f>
        <v>1.115413147512079</v>
      </c>
      <c r="D16" s="113"/>
      <c r="E16" s="259">
        <f>D16/$J$54*100</f>
        <v>0</v>
      </c>
      <c r="F16" s="113"/>
      <c r="G16" s="259">
        <f>F16/$J$54*100</f>
        <v>0</v>
      </c>
      <c r="H16" s="113"/>
      <c r="I16" s="259"/>
      <c r="J16" s="113">
        <f>SUM(F16,D16,B16,'- 12 -'!J16,'- 12 -'!H16,'- 12 -'!F16,'- 12 -'!D16,'- 12 -'!B16)</f>
        <v>1182440785</v>
      </c>
      <c r="K16" s="259">
        <f t="shared" si="0"/>
        <v>49.036590103521611</v>
      </c>
      <c r="M16" s="1" t="s">
        <v>83</v>
      </c>
      <c r="N16" s="450">
        <f>K46</f>
        <v>6.1170642185733604</v>
      </c>
    </row>
    <row r="17" spans="1:14" x14ac:dyDescent="0.2">
      <c r="A17" s="112" t="s">
        <v>195</v>
      </c>
      <c r="B17" s="113">
        <v>15374335</v>
      </c>
      <c r="C17" s="259">
        <f>B17/$J$54*100</f>
        <v>0.63758369389231273</v>
      </c>
      <c r="D17" s="113">
        <v>462175</v>
      </c>
      <c r="E17" s="259">
        <f>D17/$J$54*100</f>
        <v>1.9166698509215496E-2</v>
      </c>
      <c r="F17" s="113"/>
      <c r="G17" s="259">
        <f>F17/$J$54*100</f>
        <v>0</v>
      </c>
      <c r="H17" s="113"/>
      <c r="I17" s="259"/>
      <c r="J17" s="113">
        <f>SUM(F17,D17,B17,'- 12 -'!J17,'- 12 -'!H17,'- 12 -'!F17,'- 12 -'!D17,'- 12 -'!B17)</f>
        <v>216313246</v>
      </c>
      <c r="K17" s="259">
        <f t="shared" si="0"/>
        <v>8.9706513109358248</v>
      </c>
      <c r="M17" s="1" t="s">
        <v>32</v>
      </c>
      <c r="N17" s="450">
        <f>K49</f>
        <v>9.8987542970956341E-2</v>
      </c>
    </row>
    <row r="18" spans="1:14" x14ac:dyDescent="0.2">
      <c r="A18" s="112" t="s">
        <v>196</v>
      </c>
      <c r="B18" s="113">
        <v>4500384</v>
      </c>
      <c r="C18" s="259">
        <f>B18/$J$54*100</f>
        <v>0.18663385796223786</v>
      </c>
      <c r="D18" s="113">
        <v>43849366</v>
      </c>
      <c r="E18" s="259">
        <f>D18/$J$54*100</f>
        <v>1.818461790322377</v>
      </c>
      <c r="F18" s="113">
        <v>115255424</v>
      </c>
      <c r="G18" s="259">
        <f>F18/$J$54*100</f>
        <v>4.7797175601445332</v>
      </c>
      <c r="H18" s="113"/>
      <c r="I18" s="259"/>
      <c r="J18" s="113">
        <f>SUM(F18,D18,B18,'- 12 -'!J18,'- 12 -'!H18,'- 12 -'!F18,'- 12 -'!D18,'- 12 -'!B18)</f>
        <v>180467513</v>
      </c>
      <c r="K18" s="259">
        <f t="shared" si="0"/>
        <v>7.4841053981260952</v>
      </c>
      <c r="M18" s="1" t="s">
        <v>42</v>
      </c>
      <c r="N18" s="450">
        <f>K52-N17</f>
        <v>1.5990370050173932</v>
      </c>
    </row>
    <row r="19" spans="1:14" x14ac:dyDescent="0.2">
      <c r="A19" s="114" t="s">
        <v>197</v>
      </c>
      <c r="B19" s="115">
        <v>2397865</v>
      </c>
      <c r="C19" s="260">
        <f>B19/$J$54*100</f>
        <v>9.9441024548709941E-2</v>
      </c>
      <c r="D19" s="115">
        <v>1847083</v>
      </c>
      <c r="E19" s="260">
        <f>D19/$J$54*100</f>
        <v>7.6599735992853982E-2</v>
      </c>
      <c r="F19" s="115">
        <v>1918153</v>
      </c>
      <c r="G19" s="260">
        <f>F19/$J$54*100</f>
        <v>7.954705521836368E-2</v>
      </c>
      <c r="H19" s="115"/>
      <c r="I19" s="260"/>
      <c r="J19" s="115">
        <f>SUM(F19,D19,B19,'- 12 -'!J19,'- 12 -'!H19,'- 12 -'!F19,'- 12 -'!D19,'- 12 -'!B19)</f>
        <v>68019904</v>
      </c>
      <c r="K19" s="260">
        <f t="shared" si="0"/>
        <v>2.8208297562477012</v>
      </c>
      <c r="N19" s="450"/>
    </row>
    <row r="20" spans="1:14" x14ac:dyDescent="0.2">
      <c r="A20" s="114" t="s">
        <v>198</v>
      </c>
      <c r="B20" s="116"/>
      <c r="C20" s="260"/>
      <c r="D20" s="116"/>
      <c r="E20" s="260"/>
      <c r="F20" s="116"/>
      <c r="G20" s="260"/>
      <c r="H20" s="116"/>
      <c r="I20" s="260"/>
      <c r="J20" s="116">
        <f>SUM(F20,D20,B20,'- 12 -'!J20,'- 12 -'!H20,'- 12 -'!F20,'- 12 -'!D20,'- 12 -'!B20)</f>
        <v>41503793</v>
      </c>
      <c r="K20" s="260">
        <f t="shared" si="0"/>
        <v>1.7211893490991261</v>
      </c>
      <c r="N20" s="450">
        <f>SUM(N13:N18)</f>
        <v>100</v>
      </c>
    </row>
    <row r="21" spans="1:14" x14ac:dyDescent="0.2">
      <c r="A21" s="117" t="s">
        <v>199</v>
      </c>
      <c r="B21" s="118">
        <v>371456</v>
      </c>
      <c r="C21" s="261">
        <f>B21/'- 13 -'!$J$54*100</f>
        <v>1.5404522445911509E-2</v>
      </c>
      <c r="D21" s="118">
        <v>0</v>
      </c>
      <c r="E21" s="261">
        <f>D21/'- 13 -'!$J$54*100</f>
        <v>0</v>
      </c>
      <c r="F21" s="118">
        <v>0</v>
      </c>
      <c r="G21" s="261">
        <f>F21/'- 13 -'!$J$54*100</f>
        <v>0</v>
      </c>
      <c r="H21" s="118"/>
      <c r="I21" s="261"/>
      <c r="J21" s="118">
        <f>SUM(F21,D21,B21,'- 12 -'!J21,'- 12 -'!H21,'- 12 -'!F21,'- 12 -'!D21,'- 12 -'!B21)</f>
        <v>16081936</v>
      </c>
      <c r="K21" s="261">
        <f t="shared" si="0"/>
        <v>0.66692836859739069</v>
      </c>
      <c r="N21" s="450"/>
    </row>
    <row r="22" spans="1:14" x14ac:dyDescent="0.2">
      <c r="A22" s="119" t="s">
        <v>200</v>
      </c>
      <c r="B22" s="125">
        <f>SUM(B14:B21)</f>
        <v>54084982</v>
      </c>
      <c r="C22" s="263">
        <f>B22/$J$54*100</f>
        <v>2.2429394577169837</v>
      </c>
      <c r="D22" s="125">
        <f>SUM(D14:D21)</f>
        <v>49280969</v>
      </c>
      <c r="E22" s="263">
        <f>D22/$J$54*100</f>
        <v>2.0437139072104618</v>
      </c>
      <c r="F22" s="125">
        <f>SUM(F14:F21)</f>
        <v>122339144</v>
      </c>
      <c r="G22" s="263">
        <f>F22/$J$54*100</f>
        <v>5.0734840459209174</v>
      </c>
      <c r="H22" s="125"/>
      <c r="I22" s="263"/>
      <c r="J22" s="125">
        <f>SUM(F22,D22,B22,'- 12 -'!J22,'- 12 -'!H22,'- 12 -'!F22,'- 12 -'!D22,'- 12 -'!B22)</f>
        <v>1848971835</v>
      </c>
      <c r="K22" s="263">
        <f t="shared" si="0"/>
        <v>76.678067211502011</v>
      </c>
      <c r="N22" s="450"/>
    </row>
    <row r="23" spans="1:14" x14ac:dyDescent="0.2">
      <c r="A23" s="281" t="s">
        <v>72</v>
      </c>
      <c r="B23" s="125">
        <v>5260300</v>
      </c>
      <c r="C23" s="263">
        <f>B23/$J$54*100</f>
        <v>0.21814806981776658</v>
      </c>
      <c r="D23" s="125">
        <v>7837472</v>
      </c>
      <c r="E23" s="263">
        <f>D23/$J$54*100</f>
        <v>0.32502507253403623</v>
      </c>
      <c r="F23" s="125">
        <v>21060580</v>
      </c>
      <c r="G23" s="263">
        <f>F23/$J$54*100</f>
        <v>0.87339598050351852</v>
      </c>
      <c r="H23" s="125"/>
      <c r="I23" s="263"/>
      <c r="J23" s="125">
        <f>SUM(F23,D23,B23,'- 12 -'!J23,'- 12 -'!H23,'- 12 -'!F23,'- 12 -'!D23,'- 12 -'!B23)</f>
        <v>154901811</v>
      </c>
      <c r="K23" s="263">
        <f t="shared" si="0"/>
        <v>6.4238790717119718</v>
      </c>
      <c r="N23" s="451"/>
    </row>
    <row r="24" spans="1:14" x14ac:dyDescent="0.2">
      <c r="A24" s="281" t="s">
        <v>58</v>
      </c>
      <c r="B24" s="113"/>
      <c r="C24" s="259"/>
      <c r="D24" s="113"/>
      <c r="E24" s="259"/>
      <c r="F24" s="113"/>
      <c r="G24" s="259"/>
      <c r="H24" s="113"/>
      <c r="I24" s="259"/>
      <c r="J24" s="113"/>
      <c r="K24" s="259"/>
      <c r="M24" s="1" t="s">
        <v>21</v>
      </c>
      <c r="N24" s="450">
        <f>'- 12 -'!C51</f>
        <v>55.69947694145084</v>
      </c>
    </row>
    <row r="25" spans="1:14" x14ac:dyDescent="0.2">
      <c r="A25" s="114" t="s">
        <v>201</v>
      </c>
      <c r="B25" s="115">
        <v>1924966</v>
      </c>
      <c r="C25" s="260">
        <f t="shared" ref="C25:C35" si="1">B25/$J$54*100</f>
        <v>7.9829594769276827E-2</v>
      </c>
      <c r="D25" s="115">
        <v>511929</v>
      </c>
      <c r="E25" s="260">
        <f t="shared" ref="E25:E35" si="2">D25/$J$54*100</f>
        <v>2.1230029320331432E-2</v>
      </c>
      <c r="F25" s="115">
        <v>5965373</v>
      </c>
      <c r="G25" s="260">
        <f t="shared" ref="G25:G35" si="3">F25/$J$54*100</f>
        <v>0.24738790671501998</v>
      </c>
      <c r="H25" s="115"/>
      <c r="I25" s="260"/>
      <c r="J25" s="115">
        <f>SUM(F25,D25,B25,'- 12 -'!J25,'- 12 -'!H25,'- 12 -'!F25,'- 12 -'!D25,'- 12 -'!B25)</f>
        <v>28968511</v>
      </c>
      <c r="K25" s="260">
        <f t="shared" ref="K25:K40" si="4">J25/$J$54*100</f>
        <v>1.2013430336947968</v>
      </c>
      <c r="L25" s="610" t="s">
        <v>102</v>
      </c>
      <c r="M25" s="1" t="s">
        <v>245</v>
      </c>
      <c r="N25" s="450">
        <f>'- 12 -'!E51</f>
        <v>18.569490973709424</v>
      </c>
    </row>
    <row r="26" spans="1:14" x14ac:dyDescent="0.2">
      <c r="A26" s="114" t="s">
        <v>202</v>
      </c>
      <c r="B26" s="115">
        <v>164717</v>
      </c>
      <c r="C26" s="260">
        <f t="shared" si="1"/>
        <v>6.8309213573699333E-3</v>
      </c>
      <c r="D26" s="115">
        <v>343475</v>
      </c>
      <c r="E26" s="260">
        <f t="shared" si="2"/>
        <v>1.4244132137075335E-2</v>
      </c>
      <c r="F26" s="115">
        <v>739516</v>
      </c>
      <c r="G26" s="260">
        <f t="shared" si="3"/>
        <v>3.0668210558210649E-2</v>
      </c>
      <c r="H26" s="115"/>
      <c r="I26" s="260"/>
      <c r="J26" s="115">
        <f>SUM(F26,D26,B26,'- 12 -'!J26,'- 12 -'!H26,'- 12 -'!F26,'- 12 -'!D26,'- 12 -'!B26)</f>
        <v>7129666</v>
      </c>
      <c r="K26" s="260">
        <f t="shared" si="4"/>
        <v>0.29567189634533331</v>
      </c>
      <c r="L26" s="616"/>
      <c r="M26" s="1" t="s">
        <v>101</v>
      </c>
      <c r="N26" s="450">
        <f>'- 12 -'!G51</f>
        <v>0.37222850286028475</v>
      </c>
    </row>
    <row r="27" spans="1:14" x14ac:dyDescent="0.2">
      <c r="A27" s="114" t="s">
        <v>203</v>
      </c>
      <c r="B27" s="115"/>
      <c r="C27" s="260">
        <f t="shared" si="1"/>
        <v>0</v>
      </c>
      <c r="D27" s="115"/>
      <c r="E27" s="260">
        <f t="shared" si="2"/>
        <v>0</v>
      </c>
      <c r="F27" s="115">
        <v>47468114</v>
      </c>
      <c r="G27" s="260">
        <f t="shared" si="3"/>
        <v>1.9685336286884216</v>
      </c>
      <c r="H27" s="115"/>
      <c r="I27" s="260"/>
      <c r="J27" s="115">
        <f>SUM(F27,D27,B27,'- 12 -'!J27,'- 12 -'!H27,'- 12 -'!F27,'- 12 -'!D27,'- 12 -'!B27)</f>
        <v>47518815</v>
      </c>
      <c r="K27" s="260">
        <f t="shared" si="4"/>
        <v>1.97063623220682</v>
      </c>
      <c r="L27" s="616"/>
      <c r="M27" s="1" t="s">
        <v>22</v>
      </c>
      <c r="N27" s="450">
        <f>'- 12 -'!I51</f>
        <v>0.97480847836954254</v>
      </c>
    </row>
    <row r="28" spans="1:14" ht="12.75" customHeight="1" x14ac:dyDescent="0.2">
      <c r="A28" s="114" t="s">
        <v>242</v>
      </c>
      <c r="B28" s="115">
        <v>999178</v>
      </c>
      <c r="C28" s="260">
        <f t="shared" si="1"/>
        <v>4.143656295351527E-2</v>
      </c>
      <c r="D28" s="115">
        <v>1641505</v>
      </c>
      <c r="E28" s="260">
        <f t="shared" si="2"/>
        <v>6.8074282331086242E-2</v>
      </c>
      <c r="F28" s="115">
        <v>860302</v>
      </c>
      <c r="G28" s="260">
        <f t="shared" si="3"/>
        <v>3.5677284710066773E-2</v>
      </c>
      <c r="H28" s="115"/>
      <c r="I28" s="260"/>
      <c r="J28" s="115">
        <f>SUM(F28,D28,B28,'- 12 -'!J28,'- 12 -'!H28,'- 12 -'!F28,'- 12 -'!D28,'- 12 -'!B28)</f>
        <v>11501456</v>
      </c>
      <c r="K28" s="260">
        <f t="shared" si="4"/>
        <v>0.47697287730623161</v>
      </c>
      <c r="L28" s="616"/>
      <c r="M28" s="1" t="s">
        <v>86</v>
      </c>
      <c r="N28" s="450">
        <f>'- 12 -'!K51</f>
        <v>3.3882329978144723</v>
      </c>
    </row>
    <row r="29" spans="1:14" ht="12.75" customHeight="1" x14ac:dyDescent="0.2">
      <c r="A29" s="114" t="s">
        <v>204</v>
      </c>
      <c r="B29" s="115"/>
      <c r="C29" s="260">
        <f t="shared" si="1"/>
        <v>0</v>
      </c>
      <c r="D29" s="115">
        <v>19499967</v>
      </c>
      <c r="E29" s="260">
        <f t="shared" si="2"/>
        <v>0.80867634214020956</v>
      </c>
      <c r="F29" s="115"/>
      <c r="G29" s="260">
        <f t="shared" si="3"/>
        <v>0</v>
      </c>
      <c r="H29" s="115"/>
      <c r="I29" s="260"/>
      <c r="J29" s="115">
        <f>SUM(F29,D29,B29,'- 12 -'!J29,'- 12 -'!H29,'- 12 -'!F29,'- 12 -'!D29,'- 12 -'!B29)</f>
        <v>19499967</v>
      </c>
      <c r="K29" s="260">
        <f t="shared" si="4"/>
        <v>0.80867634214020956</v>
      </c>
      <c r="L29" s="616"/>
      <c r="M29" s="1" t="s">
        <v>85</v>
      </c>
      <c r="N29" s="450">
        <f>C54</f>
        <v>3.415604664788118</v>
      </c>
    </row>
    <row r="30" spans="1:14" ht="12.75" customHeight="1" x14ac:dyDescent="0.2">
      <c r="A30" s="114" t="s">
        <v>205</v>
      </c>
      <c r="B30" s="115">
        <v>4600</v>
      </c>
      <c r="C30" s="260">
        <f t="shared" si="1"/>
        <v>1.9076499841486728E-4</v>
      </c>
      <c r="D30" s="115"/>
      <c r="E30" s="260">
        <f t="shared" si="2"/>
        <v>0</v>
      </c>
      <c r="F30" s="115"/>
      <c r="G30" s="260">
        <f t="shared" si="3"/>
        <v>0</v>
      </c>
      <c r="H30" s="115"/>
      <c r="I30" s="260"/>
      <c r="J30" s="115">
        <f>SUM(F30,D30,B30,'- 12 -'!J30,'- 12 -'!H30,'- 12 -'!F30,'- 12 -'!D30,'- 12 -'!B30)</f>
        <v>2281090</v>
      </c>
      <c r="K30" s="260">
        <f t="shared" si="4"/>
        <v>9.4598289181341208E-2</v>
      </c>
      <c r="M30" s="1" t="s">
        <v>67</v>
      </c>
      <c r="N30" s="450">
        <f>E54</f>
        <v>4.3550087353366314</v>
      </c>
    </row>
    <row r="31" spans="1:14" ht="12.75" customHeight="1" x14ac:dyDescent="0.2">
      <c r="A31" s="114" t="s">
        <v>206</v>
      </c>
      <c r="B31" s="115">
        <v>33145</v>
      </c>
      <c r="C31" s="260">
        <f t="shared" si="1"/>
        <v>1.3745447548827773E-3</v>
      </c>
      <c r="D31" s="115">
        <v>630500</v>
      </c>
      <c r="E31" s="260">
        <f t="shared" si="2"/>
        <v>2.6147245978385612E-2</v>
      </c>
      <c r="F31" s="115">
        <v>4600</v>
      </c>
      <c r="G31" s="260">
        <f t="shared" si="3"/>
        <v>1.9076499841486728E-4</v>
      </c>
      <c r="H31" s="115"/>
      <c r="I31" s="260"/>
      <c r="J31" s="115">
        <f>SUM(F31,D31,B31,'- 12 -'!J31,'- 12 -'!H31,'- 12 -'!F31,'- 12 -'!D31,'- 12 -'!B31)</f>
        <v>1500968</v>
      </c>
      <c r="K31" s="260">
        <f t="shared" si="4"/>
        <v>6.2246121334949243E-2</v>
      </c>
      <c r="M31" s="1" t="s">
        <v>84</v>
      </c>
      <c r="N31" s="450">
        <f>G54</f>
        <v>11.527124157682334</v>
      </c>
    </row>
    <row r="32" spans="1:14" ht="12.75" customHeight="1" x14ac:dyDescent="0.2">
      <c r="A32" s="114" t="s">
        <v>207</v>
      </c>
      <c r="B32" s="115">
        <v>125556</v>
      </c>
      <c r="C32" s="260">
        <f t="shared" si="1"/>
        <v>5.2068891610819734E-3</v>
      </c>
      <c r="D32" s="115">
        <v>1238218</v>
      </c>
      <c r="E32" s="260">
        <f t="shared" si="2"/>
        <v>5.1349707566795681E-2</v>
      </c>
      <c r="F32" s="115">
        <v>10006947</v>
      </c>
      <c r="G32" s="260">
        <f t="shared" si="3"/>
        <v>0.41499461491144801</v>
      </c>
      <c r="H32" s="115"/>
      <c r="I32" s="260"/>
      <c r="J32" s="115">
        <f>SUM(F32,D32,B32,'- 12 -'!J32,'- 12 -'!H32,'- 12 -'!F32,'- 12 -'!D32,'- 12 -'!B32)</f>
        <v>13272431</v>
      </c>
      <c r="K32" s="260">
        <f t="shared" si="4"/>
        <v>0.55041636492965984</v>
      </c>
      <c r="M32" s="1" t="s">
        <v>24</v>
      </c>
      <c r="N32" s="450">
        <f>I54</f>
        <v>1.6980245479883496</v>
      </c>
    </row>
    <row r="33" spans="1:14" x14ac:dyDescent="0.2">
      <c r="A33" s="114" t="s">
        <v>208</v>
      </c>
      <c r="B33" s="115">
        <v>60130</v>
      </c>
      <c r="C33" s="260">
        <f t="shared" si="1"/>
        <v>2.49363029449695E-3</v>
      </c>
      <c r="D33" s="115">
        <v>3005470</v>
      </c>
      <c r="E33" s="260">
        <f t="shared" si="2"/>
        <v>0.12463879995346329</v>
      </c>
      <c r="F33" s="115">
        <v>32799534</v>
      </c>
      <c r="G33" s="260">
        <f t="shared" si="3"/>
        <v>1.3602180546779097</v>
      </c>
      <c r="H33" s="115"/>
      <c r="I33" s="260"/>
      <c r="J33" s="115">
        <f>SUM(F33,D33,B33,'- 12 -'!J33,'- 12 -'!H33,'- 12 -'!F33,'- 12 -'!D33,'- 12 -'!B33)</f>
        <v>39026277</v>
      </c>
      <c r="K33" s="260">
        <f t="shared" si="4"/>
        <v>1.6184451456615587</v>
      </c>
      <c r="N33" s="450"/>
    </row>
    <row r="34" spans="1:14" x14ac:dyDescent="0.2">
      <c r="A34" s="114" t="s">
        <v>209</v>
      </c>
      <c r="B34" s="115">
        <v>214891</v>
      </c>
      <c r="C34" s="260">
        <f t="shared" si="1"/>
        <v>8.9116698422541836E-3</v>
      </c>
      <c r="D34" s="115">
        <v>1021936</v>
      </c>
      <c r="E34" s="260">
        <f t="shared" si="2"/>
        <v>4.238035204784691E-2</v>
      </c>
      <c r="F34" s="115">
        <v>2362360</v>
      </c>
      <c r="G34" s="260">
        <f t="shared" si="3"/>
        <v>9.796860905550997E-2</v>
      </c>
      <c r="H34" s="115"/>
      <c r="I34" s="260"/>
      <c r="J34" s="115">
        <f>SUM(F34,D34,B34,'- 12 -'!J34,'- 12 -'!H34,'- 12 -'!F34,'- 12 -'!D34,'- 12 -'!B34)</f>
        <v>8279719</v>
      </c>
      <c r="K34" s="260">
        <f t="shared" si="4"/>
        <v>0.34336534389359707</v>
      </c>
      <c r="N34" s="450">
        <f>SUM(N24:N32)</f>
        <v>99.999999999999986</v>
      </c>
    </row>
    <row r="35" spans="1:14" x14ac:dyDescent="0.2">
      <c r="A35" s="362" t="s">
        <v>248</v>
      </c>
      <c r="B35" s="115"/>
      <c r="C35" s="260">
        <f t="shared" si="1"/>
        <v>0</v>
      </c>
      <c r="D35" s="115"/>
      <c r="E35" s="260">
        <f t="shared" si="2"/>
        <v>0</v>
      </c>
      <c r="F35" s="115">
        <v>5749004</v>
      </c>
      <c r="G35" s="260">
        <f t="shared" si="3"/>
        <v>0.2384149432493621</v>
      </c>
      <c r="H35" s="115"/>
      <c r="I35" s="260"/>
      <c r="J35" s="115">
        <f>SUM(F35,D35,B35,'- 12 -'!J35,'- 12 -'!H35,'- 12 -'!F35,'- 12 -'!D35,'- 12 -'!B35)</f>
        <v>5767707</v>
      </c>
      <c r="K35" s="260">
        <f t="shared" si="4"/>
        <v>0.23919056885052586</v>
      </c>
    </row>
    <row r="36" spans="1:14" x14ac:dyDescent="0.2">
      <c r="A36" s="114" t="s">
        <v>210</v>
      </c>
      <c r="B36" s="115">
        <v>21650</v>
      </c>
      <c r="C36" s="260">
        <f>B36/J54</f>
        <v>8.9783961210475585E-6</v>
      </c>
      <c r="D36" s="115">
        <v>34300</v>
      </c>
      <c r="E36" s="260">
        <f>D36/J54</f>
        <v>1.4224433577456408E-5</v>
      </c>
      <c r="F36" s="115">
        <v>83950</v>
      </c>
      <c r="G36" s="260">
        <f>F36/J54</f>
        <v>3.4814612210713279E-5</v>
      </c>
      <c r="H36" s="115"/>
      <c r="I36" s="260"/>
      <c r="J36" s="115">
        <f>SUM(F36,D36,B36,'- 12 -'!J36,'- 12 -'!H36,'- 12 -'!F36,'- 12 -'!D36,'- 12 -'!B36)</f>
        <v>1373939</v>
      </c>
      <c r="K36" s="260">
        <f t="shared" si="4"/>
        <v>5.6978145903722688E-2</v>
      </c>
    </row>
    <row r="37" spans="1:14" x14ac:dyDescent="0.2">
      <c r="A37" s="114" t="s">
        <v>211</v>
      </c>
      <c r="B37" s="115">
        <v>205138</v>
      </c>
      <c r="C37" s="260">
        <f>B37/$J$54*100</f>
        <v>8.5072065749628358E-3</v>
      </c>
      <c r="D37" s="115">
        <v>65020</v>
      </c>
      <c r="E37" s="260">
        <f>D37/$J$54*100</f>
        <v>2.6964217819423195E-3</v>
      </c>
      <c r="F37" s="115">
        <v>116803</v>
      </c>
      <c r="G37" s="260">
        <f>F37/$J$54*100</f>
        <v>4.8438965456199445E-3</v>
      </c>
      <c r="H37" s="115"/>
      <c r="I37" s="260"/>
      <c r="J37" s="115">
        <f>SUM(F37,D37,B37,'- 12 -'!J37,'- 12 -'!H37,'- 12 -'!F37,'- 12 -'!D37,'- 12 -'!B37)</f>
        <v>4326093</v>
      </c>
      <c r="K37" s="260">
        <f t="shared" si="4"/>
        <v>0.17940589658425402</v>
      </c>
    </row>
    <row r="38" spans="1:14" x14ac:dyDescent="0.2">
      <c r="A38" s="121" t="s">
        <v>212</v>
      </c>
      <c r="B38" s="115">
        <v>10168061</v>
      </c>
      <c r="C38" s="260">
        <f>B38/'- 13 -'!$J$54*100</f>
        <v>0.42167611751027695</v>
      </c>
      <c r="D38" s="115">
        <v>292487</v>
      </c>
      <c r="E38" s="260">
        <f>D38/'- 13 -'!$J$54*100</f>
        <v>1.2129626541602019E-2</v>
      </c>
      <c r="F38" s="115">
        <v>455795</v>
      </c>
      <c r="G38" s="260">
        <f>F38/'- 13 -'!$J$54*100</f>
        <v>1.8902115750544443E-2</v>
      </c>
      <c r="H38" s="115"/>
      <c r="I38" s="260"/>
      <c r="J38" s="115">
        <f>SUM(F38,D38,B38,'- 12 -'!J38,'- 12 -'!H38,'- 12 -'!F38,'- 12 -'!D38,'- 12 -'!B38)</f>
        <v>13351734</v>
      </c>
      <c r="K38" s="260">
        <f t="shared" si="4"/>
        <v>0.55370511203168038</v>
      </c>
    </row>
    <row r="39" spans="1:14" x14ac:dyDescent="0.2">
      <c r="A39" s="122" t="s">
        <v>213</v>
      </c>
      <c r="B39" s="118">
        <v>733626</v>
      </c>
      <c r="C39" s="261">
        <f>B39/$J$54*100</f>
        <v>3.0423948418935962E-2</v>
      </c>
      <c r="D39" s="118">
        <v>535086</v>
      </c>
      <c r="E39" s="261">
        <f>D39/$J$54*100</f>
        <v>2.2190365204742973E-2</v>
      </c>
      <c r="F39" s="118">
        <v>260270</v>
      </c>
      <c r="G39" s="261">
        <f>F39/$J$54*100</f>
        <v>1.0793566551616849E-2</v>
      </c>
      <c r="H39" s="118"/>
      <c r="I39" s="261"/>
      <c r="J39" s="118">
        <f>SUM(F39,D39,B39,'- 12 -'!J39,'- 12 -'!H39,'- 12 -'!F39,'- 12 -'!D39,'- 12 -'!B39)</f>
        <v>15223141</v>
      </c>
      <c r="K39" s="261">
        <f t="shared" si="4"/>
        <v>0.63131358015963068</v>
      </c>
    </row>
    <row r="40" spans="1:14" x14ac:dyDescent="0.2">
      <c r="A40" s="119" t="s">
        <v>214</v>
      </c>
      <c r="B40" s="125">
        <f>SUM(B25:B39)</f>
        <v>14655658</v>
      </c>
      <c r="C40" s="263">
        <f>B40/$J$54*100</f>
        <v>0.60777969024757317</v>
      </c>
      <c r="D40" s="125">
        <f>SUM(D25:D39)</f>
        <v>28819893</v>
      </c>
      <c r="E40" s="263">
        <f>D40/$J$54*100</f>
        <v>1.195179748361227</v>
      </c>
      <c r="F40" s="125">
        <f>SUM(F25:F39)</f>
        <v>106872568</v>
      </c>
      <c r="G40" s="263">
        <f>F40/$J$54*100</f>
        <v>4.4320750576332157</v>
      </c>
      <c r="H40" s="125"/>
      <c r="I40" s="263"/>
      <c r="J40" s="125">
        <f>SUM(F40,D40,B40,'- 12 -'!J40,'- 12 -'!H40,'- 12 -'!F40,'- 12 -'!D40,'- 12 -'!B40)</f>
        <v>219021514</v>
      </c>
      <c r="K40" s="263">
        <f t="shared" si="4"/>
        <v>9.0829649502243104</v>
      </c>
    </row>
    <row r="41" spans="1:14" x14ac:dyDescent="0.2">
      <c r="A41" s="281" t="s">
        <v>215</v>
      </c>
      <c r="B41" s="123"/>
      <c r="C41" s="264"/>
      <c r="D41" s="123"/>
      <c r="E41" s="264"/>
      <c r="F41" s="123"/>
      <c r="G41" s="264"/>
      <c r="H41" s="123"/>
      <c r="I41" s="264"/>
      <c r="J41" s="123"/>
      <c r="K41" s="264"/>
    </row>
    <row r="42" spans="1:14" x14ac:dyDescent="0.2">
      <c r="A42" s="114" t="s">
        <v>216</v>
      </c>
      <c r="B42" s="115">
        <v>4859306</v>
      </c>
      <c r="C42" s="260">
        <f>B42/$J$54*100</f>
        <v>0.20151858725812066</v>
      </c>
      <c r="D42" s="115">
        <v>18285136</v>
      </c>
      <c r="E42" s="260">
        <f>D42/$J$54*100</f>
        <v>0.75829650870774623</v>
      </c>
      <c r="F42" s="115">
        <v>23501326</v>
      </c>
      <c r="G42" s="260">
        <f>F42/$J$54*100</f>
        <v>0.97461530807332153</v>
      </c>
      <c r="H42" s="115"/>
      <c r="I42" s="260"/>
      <c r="J42" s="115">
        <f>SUM(F42,D42,B42,'- 12 -'!J42,'- 12 -'!H42,'- 12 -'!F42,'- 12 -'!D42,'- 12 -'!B42)</f>
        <v>90688624</v>
      </c>
      <c r="K42" s="260">
        <f>J42/$J$54*100</f>
        <v>3.7609163507840209</v>
      </c>
    </row>
    <row r="43" spans="1:14" x14ac:dyDescent="0.2">
      <c r="A43" s="114" t="s">
        <v>217</v>
      </c>
      <c r="B43" s="115">
        <v>2941236</v>
      </c>
      <c r="C43" s="260">
        <f>B43/$J$54*100</f>
        <v>0.12197497410385881</v>
      </c>
      <c r="D43" s="115">
        <v>258157</v>
      </c>
      <c r="E43" s="260">
        <f>D43/$J$54*100</f>
        <v>1.0705939064301499E-2</v>
      </c>
      <c r="F43" s="115">
        <v>83900</v>
      </c>
      <c r="G43" s="260">
        <f>F43/$J$54*100</f>
        <v>3.4793876884798617E-3</v>
      </c>
      <c r="H43" s="115"/>
      <c r="I43" s="260"/>
      <c r="J43" s="115">
        <f>SUM(F43,D43,B43,'- 12 -'!J43,'- 12 -'!H43,'- 12 -'!F43,'- 12 -'!D43,'- 12 -'!B43)</f>
        <v>15024794</v>
      </c>
      <c r="K43" s="260">
        <f>J43/$J$54*100</f>
        <v>0.62308800078124071</v>
      </c>
    </row>
    <row r="44" spans="1:14" x14ac:dyDescent="0.2">
      <c r="A44" s="114" t="s">
        <v>218</v>
      </c>
      <c r="B44" s="115">
        <v>213398</v>
      </c>
      <c r="C44" s="260">
        <f>B44/$J$54*100</f>
        <v>8.8497541590730096E-3</v>
      </c>
      <c r="D44" s="115">
        <v>409617</v>
      </c>
      <c r="E44" s="260">
        <f>D44/$J$54*100</f>
        <v>1.6987083990370151E-2</v>
      </c>
      <c r="F44" s="115">
        <v>3981328</v>
      </c>
      <c r="G44" s="260">
        <f>F44/$J$54*100</f>
        <v>0.16510826730631883</v>
      </c>
      <c r="H44" s="115"/>
      <c r="I44" s="260"/>
      <c r="J44" s="115">
        <f>SUM(F44,D44,B44,'- 12 -'!J44,'- 12 -'!H44,'- 12 -'!F44,'- 12 -'!D44,'- 12 -'!B44)</f>
        <v>18446719</v>
      </c>
      <c r="K44" s="260">
        <f>J44/$J$54*100</f>
        <v>0.76499746104228306</v>
      </c>
    </row>
    <row r="45" spans="1:14" x14ac:dyDescent="0.2">
      <c r="A45" s="122" t="s">
        <v>219</v>
      </c>
      <c r="B45" s="118">
        <v>347092</v>
      </c>
      <c r="C45" s="261">
        <f>B45/$J$54*100</f>
        <v>1.439413148474198E-2</v>
      </c>
      <c r="D45" s="118">
        <v>122990</v>
      </c>
      <c r="E45" s="261">
        <f>D45/$J$54*100</f>
        <v>5.1004754684879404E-3</v>
      </c>
      <c r="F45" s="118">
        <v>119750</v>
      </c>
      <c r="G45" s="261">
        <f>F45/$J$54*100</f>
        <v>4.9661105565609468E-3</v>
      </c>
      <c r="H45" s="118"/>
      <c r="I45" s="261"/>
      <c r="J45" s="118">
        <f>SUM(F45,D45,B45,'- 12 -'!J45,'- 12 -'!H45,'- 12 -'!F45,'- 12 -'!D45,'- 12 -'!B45)</f>
        <v>23343313</v>
      </c>
      <c r="K45" s="261">
        <f>J45/$J$54*100</f>
        <v>0.96806240596581539</v>
      </c>
    </row>
    <row r="46" spans="1:14" x14ac:dyDescent="0.2">
      <c r="A46" s="119" t="s">
        <v>220</v>
      </c>
      <c r="B46" s="125">
        <f>SUM(B42:B45)</f>
        <v>8361032</v>
      </c>
      <c r="C46" s="263">
        <f>B46/$J$54*100</f>
        <v>0.34673744700579451</v>
      </c>
      <c r="D46" s="125">
        <f>SUM(D42:D45)</f>
        <v>19075900</v>
      </c>
      <c r="E46" s="263">
        <f>D46/$J$54*100</f>
        <v>0.79109000723090583</v>
      </c>
      <c r="F46" s="125">
        <f>SUM(F42:F45)</f>
        <v>27686304</v>
      </c>
      <c r="G46" s="263">
        <f>F46/$J$54*100</f>
        <v>1.1481690736246812</v>
      </c>
      <c r="H46" s="125"/>
      <c r="I46" s="263"/>
      <c r="J46" s="125">
        <f>SUM(F46,D46,B46,'- 12 -'!J46,'- 12 -'!H46,'- 12 -'!F46,'- 12 -'!D46,'- 12 -'!B46)</f>
        <v>147503450</v>
      </c>
      <c r="K46" s="263">
        <f>J46/$J$54*100</f>
        <v>6.1170642185733604</v>
      </c>
    </row>
    <row r="47" spans="1:14" x14ac:dyDescent="0.2">
      <c r="A47" s="281" t="s">
        <v>42</v>
      </c>
      <c r="B47" s="123"/>
      <c r="C47" s="264"/>
      <c r="D47" s="123"/>
      <c r="E47" s="264"/>
      <c r="F47" s="123"/>
      <c r="G47" s="264"/>
      <c r="H47" s="123"/>
      <c r="I47" s="264"/>
      <c r="J47" s="123"/>
      <c r="K47" s="264"/>
    </row>
    <row r="48" spans="1:14" hidden="1" x14ac:dyDescent="0.2">
      <c r="A48" s="225" t="s">
        <v>297</v>
      </c>
      <c r="B48" s="354"/>
      <c r="C48" s="355"/>
      <c r="D48" s="354"/>
      <c r="E48" s="355"/>
      <c r="F48" s="115">
        <v>0</v>
      </c>
      <c r="G48" s="355"/>
      <c r="H48" s="354"/>
      <c r="I48" s="355"/>
      <c r="J48" s="354">
        <f>'- 12 -'!F48+'- 12 -'!J48+'- 13 -'!F48</f>
        <v>0</v>
      </c>
      <c r="K48" s="355"/>
    </row>
    <row r="49" spans="1:11" x14ac:dyDescent="0.2">
      <c r="A49" s="114" t="s">
        <v>221</v>
      </c>
      <c r="B49" s="120"/>
      <c r="C49" s="260"/>
      <c r="D49" s="120"/>
      <c r="E49" s="260"/>
      <c r="F49" s="120"/>
      <c r="G49" s="260"/>
      <c r="H49" s="115">
        <f>'- 10 -'!G24</f>
        <v>2386930</v>
      </c>
      <c r="I49" s="260">
        <f>H49/$J$54*100</f>
        <v>9.8987542970956341E-2</v>
      </c>
      <c r="J49" s="115">
        <f>H49</f>
        <v>2386930</v>
      </c>
      <c r="K49" s="260">
        <f>J49/$J$54*100</f>
        <v>9.8987542970956341E-2</v>
      </c>
    </row>
    <row r="50" spans="1:11" x14ac:dyDescent="0.2">
      <c r="A50" s="114" t="s">
        <v>256</v>
      </c>
      <c r="B50" s="120"/>
      <c r="C50" s="260"/>
      <c r="D50" s="120"/>
      <c r="E50" s="260"/>
      <c r="F50" s="120"/>
      <c r="G50" s="260"/>
      <c r="H50" s="115">
        <f>'- 10 -'!H24</f>
        <v>10500</v>
      </c>
      <c r="I50" s="260"/>
      <c r="J50" s="115">
        <f>H50</f>
        <v>10500</v>
      </c>
      <c r="K50" s="260"/>
    </row>
    <row r="51" spans="1:11" x14ac:dyDescent="0.2">
      <c r="A51" s="114" t="s">
        <v>222</v>
      </c>
      <c r="B51" s="120"/>
      <c r="C51" s="260"/>
      <c r="D51" s="120"/>
      <c r="E51" s="260"/>
      <c r="F51" s="120"/>
      <c r="G51" s="260"/>
      <c r="H51" s="118">
        <f>'- 10 -'!I24</f>
        <v>38547780</v>
      </c>
      <c r="I51" s="261">
        <f>H51/$J$54*100</f>
        <v>1.5986015631731854</v>
      </c>
      <c r="J51" s="118">
        <f>H51</f>
        <v>38547780</v>
      </c>
      <c r="K51" s="261">
        <f>J51/$J$54*100</f>
        <v>1.5986015631731854</v>
      </c>
    </row>
    <row r="52" spans="1:11" x14ac:dyDescent="0.2">
      <c r="A52" s="119" t="s">
        <v>223</v>
      </c>
      <c r="B52" s="119"/>
      <c r="C52" s="263"/>
      <c r="D52" s="119"/>
      <c r="E52" s="263"/>
      <c r="F52" s="125">
        <f>F48</f>
        <v>0</v>
      </c>
      <c r="G52" s="263"/>
      <c r="H52" s="125">
        <f>SUM(H49:H51)</f>
        <v>40945210</v>
      </c>
      <c r="I52" s="263">
        <f>H52/$J$54*100</f>
        <v>1.6980245479883496</v>
      </c>
      <c r="J52" s="125">
        <f>SUM(J48:J51)</f>
        <v>40945210</v>
      </c>
      <c r="K52" s="263">
        <f>J52/$J$54*100</f>
        <v>1.6980245479883496</v>
      </c>
    </row>
    <row r="53" spans="1:11" ht="5.0999999999999996" customHeight="1" x14ac:dyDescent="0.2">
      <c r="A53" s="19"/>
      <c r="B53" s="23"/>
      <c r="C53" s="265"/>
      <c r="D53" s="72"/>
      <c r="E53" s="265"/>
      <c r="F53" s="72"/>
      <c r="G53" s="265"/>
      <c r="H53" s="72"/>
      <c r="I53" s="265"/>
      <c r="J53" s="72"/>
      <c r="K53" s="265"/>
    </row>
    <row r="54" spans="1:11" x14ac:dyDescent="0.2">
      <c r="A54" s="282" t="s">
        <v>224</v>
      </c>
      <c r="B54" s="344">
        <f>SUM(B52,B46,B40,B23,B22)</f>
        <v>82361972</v>
      </c>
      <c r="C54" s="345">
        <f>B54/$J$54*100</f>
        <v>3.415604664788118</v>
      </c>
      <c r="D54" s="344">
        <f>SUM(D52,D46,D40,D23,D22)</f>
        <v>105014234</v>
      </c>
      <c r="E54" s="345">
        <f>D54/$J$54*100</f>
        <v>4.3550087353366314</v>
      </c>
      <c r="F54" s="344">
        <f>SUM(F52,F46,F40,F23,F22)</f>
        <v>277958596</v>
      </c>
      <c r="G54" s="345">
        <f>F54/$J$54*100</f>
        <v>11.527124157682334</v>
      </c>
      <c r="H54" s="344">
        <f>SUM(H52,H46,H40,H23,H22)</f>
        <v>40945210</v>
      </c>
      <c r="I54" s="345">
        <f>H54/$J$54*100</f>
        <v>1.6980245479883496</v>
      </c>
      <c r="J54" s="344">
        <f>SUM(J52,J46,J40,J23,J22)</f>
        <v>2411343820</v>
      </c>
      <c r="K54" s="345">
        <f>J54/$J$54*100</f>
        <v>100</v>
      </c>
    </row>
    <row r="55" spans="1:11" ht="20.100000000000001" customHeight="1" x14ac:dyDescent="0.2">
      <c r="A55" s="127"/>
    </row>
  </sheetData>
  <mergeCells count="6">
    <mergeCell ref="L25:L29"/>
    <mergeCell ref="B9:C10"/>
    <mergeCell ref="D9:E10"/>
    <mergeCell ref="F9:G10"/>
    <mergeCell ref="H9:I10"/>
    <mergeCell ref="J9:K10"/>
  </mergeCells>
  <phoneticPr fontId="0" type="noConversion"/>
  <printOptions verticalCentered="1"/>
  <pageMargins left="0.75" right="0" top="0.3" bottom="0.3" header="0" footer="0"/>
  <pageSetup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B59"/>
  <sheetViews>
    <sheetView showGridLines="0" showZeros="0" workbookViewId="0"/>
  </sheetViews>
  <sheetFormatPr defaultColWidth="15.83203125" defaultRowHeight="12" x14ac:dyDescent="0.2"/>
  <cols>
    <col min="1" max="1" width="31.6640625" style="1" customWidth="1"/>
    <col min="2" max="2" width="15" style="1" bestFit="1" customWidth="1"/>
    <col min="3" max="3" width="7" style="1" customWidth="1"/>
    <col min="4" max="4" width="9.33203125" style="1" customWidth="1"/>
    <col min="5" max="5" width="13.33203125" style="1" bestFit="1" customWidth="1"/>
    <col min="6" max="6" width="6.33203125" style="1" customWidth="1"/>
    <col min="7" max="7" width="9.5" style="1" customWidth="1"/>
    <col min="8" max="8" width="11.5" style="1" customWidth="1"/>
    <col min="9" max="9" width="8.83203125" style="1" customWidth="1"/>
    <col min="10" max="16384" width="15.83203125" style="1"/>
  </cols>
  <sheetData>
    <row r="1" spans="1:54" ht="6.95" customHeight="1" x14ac:dyDescent="0.2">
      <c r="A1" s="3"/>
      <c r="B1" s="4"/>
      <c r="C1" s="4"/>
      <c r="D1" s="4"/>
      <c r="E1" s="4"/>
      <c r="F1" s="4"/>
      <c r="G1" s="4"/>
      <c r="H1" s="4"/>
      <c r="I1" s="4"/>
    </row>
    <row r="2" spans="1:54" ht="15.95" customHeight="1" x14ac:dyDescent="0.2">
      <c r="A2" s="132"/>
      <c r="B2" s="5" t="str">
        <f>IF(Lang=1,BA2,BB2)</f>
        <v>ANALYSIS OF EXPENSE BY FUNCTION</v>
      </c>
      <c r="C2" s="6"/>
      <c r="D2" s="6"/>
      <c r="E2" s="6"/>
      <c r="F2" s="6"/>
      <c r="G2" s="6"/>
      <c r="H2" s="85"/>
      <c r="I2" s="150" t="s">
        <v>0</v>
      </c>
      <c r="BA2" s="456" t="s">
        <v>262</v>
      </c>
      <c r="BB2" s="456" t="s">
        <v>398</v>
      </c>
    </row>
    <row r="3" spans="1:54" ht="15.95" customHeight="1" x14ac:dyDescent="0.2">
      <c r="A3" s="135"/>
      <c r="B3" s="7" t="str">
        <f>OPYEAR</f>
        <v>OPERATING FUND 2018/2019 BUDGET</v>
      </c>
      <c r="C3" s="8"/>
      <c r="D3" s="8"/>
      <c r="E3" s="8"/>
      <c r="F3" s="8"/>
      <c r="G3" s="8"/>
      <c r="H3" s="87"/>
      <c r="I3" s="81"/>
    </row>
    <row r="4" spans="1:54" ht="15.95" customHeight="1" x14ac:dyDescent="0.2">
      <c r="B4" s="4"/>
      <c r="C4" s="4"/>
      <c r="D4" s="4"/>
      <c r="E4" s="4"/>
      <c r="F4" s="4"/>
      <c r="G4" s="4"/>
      <c r="H4" s="4"/>
      <c r="I4" s="4"/>
    </row>
    <row r="5" spans="1:54" ht="15.95" customHeight="1" x14ac:dyDescent="0.2">
      <c r="B5" s="4"/>
      <c r="C5" s="4"/>
      <c r="D5" s="4"/>
      <c r="E5" s="4"/>
      <c r="F5" s="4"/>
      <c r="G5" s="4"/>
      <c r="H5" s="4"/>
      <c r="I5" s="4"/>
    </row>
    <row r="6" spans="1:54" ht="15.95" customHeight="1" x14ac:dyDescent="0.2">
      <c r="B6" s="617" t="s">
        <v>21</v>
      </c>
      <c r="C6" s="619"/>
      <c r="D6" s="604"/>
      <c r="E6" s="611" t="s">
        <v>397</v>
      </c>
      <c r="F6" s="619"/>
      <c r="G6" s="604"/>
      <c r="H6" s="615" t="s">
        <v>101</v>
      </c>
      <c r="I6" s="612"/>
    </row>
    <row r="7" spans="1:54" ht="15.95" customHeight="1" x14ac:dyDescent="0.2">
      <c r="B7" s="618"/>
      <c r="C7" s="620"/>
      <c r="D7" s="606"/>
      <c r="E7" s="618"/>
      <c r="F7" s="620"/>
      <c r="G7" s="606"/>
      <c r="H7" s="613"/>
      <c r="I7" s="614"/>
    </row>
    <row r="8" spans="1:54" ht="15.95" customHeight="1" x14ac:dyDescent="0.2">
      <c r="A8" s="82"/>
      <c r="B8" s="138" t="s">
        <v>1</v>
      </c>
      <c r="C8" s="176"/>
      <c r="D8" s="568" t="s">
        <v>308</v>
      </c>
      <c r="E8" s="138"/>
      <c r="F8" s="137"/>
      <c r="G8" s="529" t="s">
        <v>396</v>
      </c>
      <c r="H8" s="138"/>
      <c r="I8" s="137"/>
    </row>
    <row r="9" spans="1:54" ht="15.95" customHeight="1" x14ac:dyDescent="0.2">
      <c r="A9" s="27" t="s">
        <v>37</v>
      </c>
      <c r="B9" s="452" t="s">
        <v>38</v>
      </c>
      <c r="C9" s="89" t="s">
        <v>39</v>
      </c>
      <c r="D9" s="569"/>
      <c r="E9" s="89" t="s">
        <v>38</v>
      </c>
      <c r="F9" s="89" t="s">
        <v>39</v>
      </c>
      <c r="G9" s="569"/>
      <c r="H9" s="89" t="s">
        <v>38</v>
      </c>
      <c r="I9" s="89" t="s">
        <v>39</v>
      </c>
    </row>
    <row r="10" spans="1:54" ht="5.0999999999999996" customHeight="1" x14ac:dyDescent="0.2">
      <c r="A10" s="29"/>
    </row>
    <row r="11" spans="1:54" ht="14.1" customHeight="1" x14ac:dyDescent="0.2">
      <c r="A11" s="271" t="s">
        <v>108</v>
      </c>
      <c r="B11" s="272">
        <f>SUM('- 18 -'!B11,'- 18 -'!E11,'- 19 -'!B11,'- 19 -'!E11,'- 19 -'!H11,'- 20 -'!B11)</f>
        <v>12870191</v>
      </c>
      <c r="C11" s="273">
        <f>B11/'- 3 -'!D11*100</f>
        <v>63.237743066160533</v>
      </c>
      <c r="D11" s="272">
        <f>B11/'- 7 -'!C11</f>
        <v>7136.2301081230944</v>
      </c>
      <c r="E11" s="272">
        <f>SUM('- 21 -'!B11,'- 21 -'!E11,'- 21 -'!H11,'- 22 -'!B11,'- 22 -'!E11,'- 22 -'!H11)</f>
        <v>2646406</v>
      </c>
      <c r="F11" s="273">
        <f>E11/'- 3 -'!D11*100</f>
        <v>13.003128133587577</v>
      </c>
      <c r="G11" s="272">
        <f>E11/'- 7 -'!E11</f>
        <v>1467.3723315774882</v>
      </c>
      <c r="H11" s="272">
        <f>SUM('- 23 -'!D11,'- 23 -'!B11)</f>
        <v>0</v>
      </c>
      <c r="I11" s="273">
        <f>H11/'- 3 -'!D11*100</f>
        <v>0</v>
      </c>
    </row>
    <row r="12" spans="1:54" ht="14.1" customHeight="1" x14ac:dyDescent="0.2">
      <c r="A12" s="15" t="s">
        <v>109</v>
      </c>
      <c r="B12" s="16">
        <f>SUM('- 18 -'!B12,'- 18 -'!E12,'- 19 -'!B12,'- 19 -'!E12,'- 19 -'!H12,'- 20 -'!B12)</f>
        <v>19850087</v>
      </c>
      <c r="C12" s="267">
        <f>B12/'- 3 -'!D12*100</f>
        <v>56.850857769715404</v>
      </c>
      <c r="D12" s="16">
        <f>B12/'- 7 -'!C12</f>
        <v>9317.1025580849564</v>
      </c>
      <c r="E12" s="16">
        <f>SUM('- 21 -'!B12,'- 21 -'!E12,'- 21 -'!H12,'- 22 -'!B12,'- 22 -'!E12,'- 22 -'!H12)</f>
        <v>5659938</v>
      </c>
      <c r="F12" s="267">
        <f>E12/'- 3 -'!D12*100</f>
        <v>16.210121911476129</v>
      </c>
      <c r="G12" s="16">
        <f>E12/'- 7 -'!E12</f>
        <v>2656.6242666040835</v>
      </c>
      <c r="H12" s="16">
        <f>SUM('- 23 -'!D12,'- 23 -'!B12)</f>
        <v>717167</v>
      </c>
      <c r="I12" s="267">
        <f>H12/'- 3 -'!D12*100</f>
        <v>2.0539738246050749</v>
      </c>
    </row>
    <row r="13" spans="1:54" ht="14.1" customHeight="1" x14ac:dyDescent="0.2">
      <c r="A13" s="271" t="s">
        <v>110</v>
      </c>
      <c r="B13" s="272">
        <f>SUM('- 18 -'!B13,'- 18 -'!E13,'- 19 -'!B13,'- 19 -'!E13,'- 19 -'!H13,'- 20 -'!B13)</f>
        <v>62234900</v>
      </c>
      <c r="C13" s="273">
        <f>B13/'- 3 -'!D13*100</f>
        <v>59.775611780141425</v>
      </c>
      <c r="D13" s="272">
        <f>B13/'- 7 -'!C13</f>
        <v>7241.6686060041893</v>
      </c>
      <c r="E13" s="272">
        <f>SUM('- 21 -'!B13,'- 21 -'!E13,'- 21 -'!H13,'- 22 -'!B13,'- 22 -'!E13,'- 22 -'!H13)</f>
        <v>21899000</v>
      </c>
      <c r="F13" s="273">
        <f>E13/'- 3 -'!D13*100</f>
        <v>21.033634220884377</v>
      </c>
      <c r="G13" s="272">
        <f>E13/'- 7 -'!E13</f>
        <v>2548.1731440539911</v>
      </c>
      <c r="H13" s="272">
        <f>SUM('- 23 -'!D13,'- 23 -'!B13)</f>
        <v>0</v>
      </c>
      <c r="I13" s="273">
        <f>H13/'- 3 -'!D13*100</f>
        <v>0</v>
      </c>
    </row>
    <row r="14" spans="1:54" ht="14.1" customHeight="1" x14ac:dyDescent="0.2">
      <c r="A14" s="15" t="s">
        <v>319</v>
      </c>
      <c r="B14" s="16">
        <f>SUM('- 18 -'!B14,'- 18 -'!E14,'- 19 -'!B14,'- 19 -'!E14,'- 19 -'!H14,'- 20 -'!B14)</f>
        <v>52447889</v>
      </c>
      <c r="C14" s="267">
        <f>B14/'- 3 -'!D14*100</f>
        <v>56.198028393093871</v>
      </c>
      <c r="D14" s="16">
        <f>B14/'- 7 -'!C14</f>
        <v>9058.3573402417969</v>
      </c>
      <c r="E14" s="16">
        <f>SUM('- 21 -'!B14,'- 21 -'!E14,'- 21 -'!H14,'- 22 -'!B14,'- 22 -'!E14,'- 22 -'!H14)</f>
        <v>10783508</v>
      </c>
      <c r="F14" s="267">
        <f>E14/'- 3 -'!D14*100</f>
        <v>11.554552534252711</v>
      </c>
      <c r="G14" s="16">
        <f>E14/'- 7 -'!E14</f>
        <v>1862.4366148531951</v>
      </c>
      <c r="H14" s="16">
        <f>SUM('- 23 -'!D14,'- 23 -'!B14)</f>
        <v>258920</v>
      </c>
      <c r="I14" s="267">
        <f>H14/'- 3 -'!D14*100</f>
        <v>0.27743334934871955</v>
      </c>
    </row>
    <row r="15" spans="1:54" ht="14.1" customHeight="1" x14ac:dyDescent="0.2">
      <c r="A15" s="271" t="s">
        <v>111</v>
      </c>
      <c r="B15" s="272">
        <f>SUM('- 18 -'!B15,'- 18 -'!E15,'- 19 -'!B15,'- 19 -'!E15,'- 19 -'!H15,'- 20 -'!B15)</f>
        <v>11092612</v>
      </c>
      <c r="C15" s="273">
        <f>B15/'- 3 -'!D15*100</f>
        <v>53.380481886742892</v>
      </c>
      <c r="D15" s="272">
        <f>B15/'- 7 -'!C15</f>
        <v>8222.8406226834686</v>
      </c>
      <c r="E15" s="272">
        <f>SUM('- 21 -'!B15,'- 21 -'!E15,'- 21 -'!H15,'- 22 -'!B15,'- 22 -'!E15,'- 22 -'!H15)</f>
        <v>3589585</v>
      </c>
      <c r="F15" s="273">
        <f>E15/'- 3 -'!D15*100</f>
        <v>17.273999764295731</v>
      </c>
      <c r="G15" s="272">
        <f>E15/'- 7 -'!E15</f>
        <v>2660.9229058561896</v>
      </c>
      <c r="H15" s="272">
        <f>SUM('- 23 -'!D15,'- 23 -'!B15)</f>
        <v>0</v>
      </c>
      <c r="I15" s="273">
        <f>H15/'- 3 -'!D15*100</f>
        <v>0</v>
      </c>
    </row>
    <row r="16" spans="1:54" ht="14.1" customHeight="1" x14ac:dyDescent="0.2">
      <c r="A16" s="15" t="s">
        <v>112</v>
      </c>
      <c r="B16" s="16">
        <f>SUM('- 18 -'!B16,'- 18 -'!E16,'- 19 -'!B16,'- 19 -'!E16,'- 19 -'!H16,'- 20 -'!B16)</f>
        <v>7959548</v>
      </c>
      <c r="C16" s="267">
        <f>B16/'- 3 -'!D16*100</f>
        <v>53.536790069249328</v>
      </c>
      <c r="D16" s="16">
        <f>B16/'- 7 -'!C16</f>
        <v>8623.5622968580719</v>
      </c>
      <c r="E16" s="16">
        <f>SUM('- 21 -'!B16,'- 21 -'!E16,'- 21 -'!H16,'- 22 -'!B16,'- 22 -'!E16,'- 22 -'!H16)</f>
        <v>2755579</v>
      </c>
      <c r="F16" s="267">
        <f>E16/'- 3 -'!D16*100</f>
        <v>18.534325622790639</v>
      </c>
      <c r="G16" s="16">
        <f>E16/'- 7 -'!E16</f>
        <v>2985.4593716143013</v>
      </c>
      <c r="H16" s="16">
        <f>SUM('- 23 -'!D16,'- 23 -'!B16)</f>
        <v>94625</v>
      </c>
      <c r="I16" s="267">
        <f>H16/'- 3 -'!D16*100</f>
        <v>0.63645809539721576</v>
      </c>
    </row>
    <row r="17" spans="1:9" ht="14.1" customHeight="1" x14ac:dyDescent="0.2">
      <c r="A17" s="271" t="s">
        <v>113</v>
      </c>
      <c r="B17" s="272">
        <f>SUM('- 18 -'!B17,'- 18 -'!E17,'- 19 -'!B17,'- 19 -'!E17,'- 19 -'!H17,'- 20 -'!B17)</f>
        <v>11090402</v>
      </c>
      <c r="C17" s="273">
        <f>B17/'- 3 -'!D17*100</f>
        <v>59.304482561210534</v>
      </c>
      <c r="D17" s="272">
        <f>B17/'- 7 -'!C17</f>
        <v>7955.8120516499284</v>
      </c>
      <c r="E17" s="272">
        <f>SUM('- 21 -'!B17,'- 21 -'!E17,'- 21 -'!H17,'- 22 -'!B17,'- 22 -'!E17,'- 22 -'!H17)</f>
        <v>2402290</v>
      </c>
      <c r="F17" s="273">
        <f>E17/'- 3 -'!D17*100</f>
        <v>12.845933394656972</v>
      </c>
      <c r="G17" s="272">
        <f>E17/'- 7 -'!E17</f>
        <v>1723.3070301291248</v>
      </c>
      <c r="H17" s="272">
        <f>SUM('- 23 -'!D17,'- 23 -'!B17)</f>
        <v>0</v>
      </c>
      <c r="I17" s="273">
        <f>H17/'- 3 -'!D17*100</f>
        <v>0</v>
      </c>
    </row>
    <row r="18" spans="1:9" ht="14.1" customHeight="1" x14ac:dyDescent="0.2">
      <c r="A18" s="15" t="s">
        <v>114</v>
      </c>
      <c r="B18" s="16">
        <f>SUM('- 18 -'!B18,'- 18 -'!E18,'- 19 -'!B18,'- 19 -'!E18,'- 19 -'!H18,'- 20 -'!B18)</f>
        <v>56571341</v>
      </c>
      <c r="C18" s="267">
        <f>B18/'- 3 -'!D18*100</f>
        <v>42.006576052677332</v>
      </c>
      <c r="D18" s="16">
        <f>B18/'- 7 -'!C18</f>
        <v>9220.7818816012514</v>
      </c>
      <c r="E18" s="16">
        <f>SUM('- 21 -'!B18,'- 21 -'!E18,'- 21 -'!H18,'- 22 -'!B18,'- 22 -'!E18,'- 22 -'!H18)</f>
        <v>22891574</v>
      </c>
      <c r="F18" s="267">
        <f>E18/'- 3 -'!D18*100</f>
        <v>16.997946790699039</v>
      </c>
      <c r="G18" s="16">
        <f>E18/'- 7 -'!E18</f>
        <v>3731.1862693962707</v>
      </c>
      <c r="H18" s="16">
        <f>SUM('- 23 -'!D18,'- 23 -'!B18)</f>
        <v>2162238</v>
      </c>
      <c r="I18" s="267">
        <f>H18/'- 3 -'!D18*100</f>
        <v>1.6055517402528769</v>
      </c>
    </row>
    <row r="19" spans="1:9" ht="14.1" customHeight="1" x14ac:dyDescent="0.2">
      <c r="A19" s="271" t="s">
        <v>115</v>
      </c>
      <c r="B19" s="272">
        <f>SUM('- 18 -'!B19,'- 18 -'!E19,'- 19 -'!B19,'- 19 -'!E19,'- 19 -'!H19,'- 20 -'!B19)</f>
        <v>28438400</v>
      </c>
      <c r="C19" s="273">
        <f>B19/'- 3 -'!D19*100</f>
        <v>56.513306413150609</v>
      </c>
      <c r="D19" s="272">
        <f>B19/'- 7 -'!C19</f>
        <v>6520.325576063281</v>
      </c>
      <c r="E19" s="272">
        <f>SUM('- 21 -'!B19,'- 21 -'!E19,'- 21 -'!H19,'- 22 -'!B19,'- 22 -'!E19,'- 22 -'!H19)</f>
        <v>10094400</v>
      </c>
      <c r="F19" s="273">
        <f>E19/'- 3 -'!D19*100</f>
        <v>20.059775523830719</v>
      </c>
      <c r="G19" s="272">
        <f>E19/'- 7 -'!E19</f>
        <v>2314.4331078757309</v>
      </c>
      <c r="H19" s="272">
        <f>SUM('- 23 -'!D19,'- 23 -'!B19)</f>
        <v>0</v>
      </c>
      <c r="I19" s="273">
        <f>H19/'- 3 -'!D19*100</f>
        <v>0</v>
      </c>
    </row>
    <row r="20" spans="1:9" ht="14.1" customHeight="1" x14ac:dyDescent="0.2">
      <c r="A20" s="15" t="s">
        <v>116</v>
      </c>
      <c r="B20" s="16">
        <f>SUM('- 18 -'!B20,'- 18 -'!E20,'- 19 -'!B20,'- 19 -'!E20,'- 19 -'!H20,'- 20 -'!B20)</f>
        <v>53840600</v>
      </c>
      <c r="C20" s="267">
        <f>B20/'- 3 -'!D20*100</f>
        <v>61.706797413936364</v>
      </c>
      <c r="D20" s="16">
        <f>B20/'- 7 -'!C20</f>
        <v>6846.4649033570704</v>
      </c>
      <c r="E20" s="16">
        <f>SUM('- 21 -'!B20,'- 21 -'!E20,'- 21 -'!H20,'- 22 -'!B20,'- 22 -'!E20,'- 22 -'!H20)</f>
        <v>12925300</v>
      </c>
      <c r="F20" s="267">
        <f>E20/'- 3 -'!D20*100</f>
        <v>14.813706916608501</v>
      </c>
      <c r="G20" s="16">
        <f>E20/'- 7 -'!E20</f>
        <v>1643.6037639877925</v>
      </c>
      <c r="H20" s="16">
        <f>SUM('- 23 -'!D20,'- 23 -'!B20)</f>
        <v>0</v>
      </c>
      <c r="I20" s="267">
        <f>H20/'- 3 -'!D20*100</f>
        <v>0</v>
      </c>
    </row>
    <row r="21" spans="1:9" ht="14.1" customHeight="1" x14ac:dyDescent="0.2">
      <c r="A21" s="271" t="s">
        <v>117</v>
      </c>
      <c r="B21" s="272">
        <f>SUM('- 18 -'!B21,'- 18 -'!E21,'- 19 -'!B21,'- 19 -'!E21,'- 19 -'!H21,'- 20 -'!B21)</f>
        <v>21948500</v>
      </c>
      <c r="C21" s="273">
        <f>B21/'- 3 -'!D21*100</f>
        <v>58.436427205600062</v>
      </c>
      <c r="D21" s="272">
        <f>B21/'- 7 -'!C21</f>
        <v>7823.3826412404205</v>
      </c>
      <c r="E21" s="272">
        <f>SUM('- 21 -'!B21,'- 21 -'!E21,'- 21 -'!H21,'- 22 -'!B21,'- 22 -'!E21,'- 22 -'!H21)</f>
        <v>6413000</v>
      </c>
      <c r="F21" s="273">
        <f>E21/'- 3 -'!D21*100</f>
        <v>17.074187651525762</v>
      </c>
      <c r="G21" s="272">
        <f>E21/'- 7 -'!E21</f>
        <v>2285.8670468722153</v>
      </c>
      <c r="H21" s="272">
        <f>SUM('- 23 -'!D21,'- 23 -'!B21)</f>
        <v>0</v>
      </c>
      <c r="I21" s="273">
        <f>H21/'- 3 -'!D21*100</f>
        <v>0</v>
      </c>
    </row>
    <row r="22" spans="1:9" ht="14.1" customHeight="1" x14ac:dyDescent="0.2">
      <c r="A22" s="15" t="s">
        <v>118</v>
      </c>
      <c r="B22" s="16">
        <f>SUM('- 18 -'!B22,'- 18 -'!E22,'- 19 -'!B22,'- 19 -'!E22,'- 19 -'!H22,'- 20 -'!B22)</f>
        <v>10539813</v>
      </c>
      <c r="C22" s="267">
        <f>B22/'- 3 -'!D22*100</f>
        <v>50.471311769793104</v>
      </c>
      <c r="D22" s="16">
        <f>B22/'- 7 -'!C22</f>
        <v>7232.9213560252538</v>
      </c>
      <c r="E22" s="16">
        <f>SUM('- 21 -'!B22,'- 21 -'!E22,'- 21 -'!H22,'- 22 -'!B22,'- 22 -'!E22,'- 22 -'!H22)</f>
        <v>4739523</v>
      </c>
      <c r="F22" s="267">
        <f>E22/'- 3 -'!D22*100</f>
        <v>22.695843177967685</v>
      </c>
      <c r="G22" s="16">
        <f>E22/'- 7 -'!E22</f>
        <v>3252.4862750480374</v>
      </c>
      <c r="H22" s="16">
        <f>SUM('- 23 -'!D22,'- 23 -'!B22)</f>
        <v>619645</v>
      </c>
      <c r="I22" s="267">
        <f>H22/'- 3 -'!D22*100</f>
        <v>2.9672534020853547</v>
      </c>
    </row>
    <row r="23" spans="1:9" ht="14.1" customHeight="1" x14ac:dyDescent="0.2">
      <c r="A23" s="271" t="s">
        <v>119</v>
      </c>
      <c r="B23" s="272">
        <f>SUM('- 18 -'!B23,'- 18 -'!E23,'- 19 -'!B23,'- 19 -'!E23,'- 19 -'!H23,'- 20 -'!B23)</f>
        <v>8733941</v>
      </c>
      <c r="C23" s="273">
        <f>B23/'- 3 -'!D23*100</f>
        <v>51.467517730897669</v>
      </c>
      <c r="D23" s="272">
        <f>B23/'- 7 -'!C23</f>
        <v>8398.0201923076929</v>
      </c>
      <c r="E23" s="272">
        <f>SUM('- 21 -'!B23,'- 21 -'!E23,'- 21 -'!H23,'- 22 -'!B23,'- 22 -'!E23,'- 22 -'!H23)</f>
        <v>2990750</v>
      </c>
      <c r="F23" s="273">
        <f>E23/'- 3 -'!D23*100</f>
        <v>17.623943034843283</v>
      </c>
      <c r="G23" s="272">
        <f>E23/'- 7 -'!E23</f>
        <v>2875.7211538461538</v>
      </c>
      <c r="H23" s="272">
        <f>SUM('- 23 -'!D23,'- 23 -'!B23)</f>
        <v>277690</v>
      </c>
      <c r="I23" s="273">
        <f>H23/'- 3 -'!D23*100</f>
        <v>1.6363764077056364</v>
      </c>
    </row>
    <row r="24" spans="1:9" ht="14.1" customHeight="1" x14ac:dyDescent="0.2">
      <c r="A24" s="15" t="s">
        <v>120</v>
      </c>
      <c r="B24" s="16">
        <f>SUM('- 18 -'!B24,'- 18 -'!E24,'- 19 -'!B24,'- 19 -'!E24,'- 19 -'!H24,'- 20 -'!B24)</f>
        <v>33727433</v>
      </c>
      <c r="C24" s="267">
        <f>B24/'- 3 -'!D24*100</f>
        <v>57.734245730516022</v>
      </c>
      <c r="D24" s="16">
        <f>B24/'- 7 -'!C24</f>
        <v>8932.0532309322025</v>
      </c>
      <c r="E24" s="16">
        <f>SUM('- 21 -'!B24,'- 21 -'!E24,'- 21 -'!H24,'- 22 -'!B24,'- 22 -'!E24,'- 22 -'!H24)</f>
        <v>10193645</v>
      </c>
      <c r="F24" s="267">
        <f>E24/'- 3 -'!D24*100</f>
        <v>17.449368450888212</v>
      </c>
      <c r="G24" s="16">
        <f>E24/'- 7 -'!E24</f>
        <v>2699.5881885593221</v>
      </c>
      <c r="H24" s="16">
        <f>SUM('- 23 -'!D24,'- 23 -'!B24)</f>
        <v>355465</v>
      </c>
      <c r="I24" s="267">
        <f>H24/'- 3 -'!D24*100</f>
        <v>0.60848104445416518</v>
      </c>
    </row>
    <row r="25" spans="1:9" ht="14.1" customHeight="1" x14ac:dyDescent="0.2">
      <c r="A25" s="271" t="s">
        <v>121</v>
      </c>
      <c r="B25" s="272">
        <f>SUM('- 18 -'!B25,'- 18 -'!E25,'- 19 -'!B25,'- 19 -'!E25,'- 19 -'!H25,'- 20 -'!B25)</f>
        <v>107062861</v>
      </c>
      <c r="C25" s="273">
        <f>B25/'- 3 -'!D25*100</f>
        <v>56.97945352714494</v>
      </c>
      <c r="D25" s="272">
        <f>B25/'- 7 -'!C25</f>
        <v>7192.6678535438359</v>
      </c>
      <c r="E25" s="272">
        <f>SUM('- 21 -'!B25,'- 21 -'!E25,'- 21 -'!H25,'- 22 -'!B25,'- 22 -'!E25,'- 22 -'!H25)</f>
        <v>37511199</v>
      </c>
      <c r="F25" s="273">
        <f>E25/'- 3 -'!D25*100</f>
        <v>19.963669943099934</v>
      </c>
      <c r="G25" s="272">
        <f>E25/'- 7 -'!E25</f>
        <v>2520.0671145448437</v>
      </c>
      <c r="H25" s="272">
        <f>SUM('- 23 -'!D25,'- 23 -'!B25)</f>
        <v>771897</v>
      </c>
      <c r="I25" s="273">
        <f>H25/'- 3 -'!D25*100</f>
        <v>0.4108079013435163</v>
      </c>
    </row>
    <row r="26" spans="1:9" ht="14.1" customHeight="1" x14ac:dyDescent="0.2">
      <c r="A26" s="15" t="s">
        <v>122</v>
      </c>
      <c r="B26" s="16">
        <f>SUM('- 18 -'!B26,'- 18 -'!E26,'- 19 -'!B26,'- 19 -'!E26,'- 19 -'!H26,'- 20 -'!B26)</f>
        <v>22958507</v>
      </c>
      <c r="C26" s="267">
        <f>B26/'- 3 -'!D26*100</f>
        <v>55.965521534220009</v>
      </c>
      <c r="D26" s="16">
        <f>B26/'- 7 -'!C26</f>
        <v>8088.2533028007747</v>
      </c>
      <c r="E26" s="16">
        <f>SUM('- 21 -'!B26,'- 21 -'!E26,'- 21 -'!H26,'- 22 -'!B26,'- 22 -'!E26,'- 22 -'!H26)</f>
        <v>5990117</v>
      </c>
      <c r="F26" s="267">
        <f>E26/'- 3 -'!D26*100</f>
        <v>14.60199576374881</v>
      </c>
      <c r="G26" s="16">
        <f>E26/'- 7 -'!E26</f>
        <v>2110.3107274969175</v>
      </c>
      <c r="H26" s="16">
        <f>SUM('- 23 -'!D26,'- 23 -'!B26)</f>
        <v>0</v>
      </c>
      <c r="I26" s="267">
        <f>H26/'- 3 -'!D26*100</f>
        <v>0</v>
      </c>
    </row>
    <row r="27" spans="1:9" ht="14.1" customHeight="1" x14ac:dyDescent="0.2">
      <c r="A27" s="271" t="s">
        <v>123</v>
      </c>
      <c r="B27" s="272">
        <f>SUM('- 18 -'!B27,'- 18 -'!E27,'- 19 -'!B27,'- 19 -'!E27,'- 19 -'!H27,'- 20 -'!B27)</f>
        <v>23578549</v>
      </c>
      <c r="C27" s="273">
        <f>B27/'- 3 -'!D27*100</f>
        <v>55.187516274355943</v>
      </c>
      <c r="D27" s="272">
        <f>B27/'- 7 -'!C27</f>
        <v>7738.2832294059726</v>
      </c>
      <c r="E27" s="272">
        <f>SUM('- 21 -'!B27,'- 21 -'!E27,'- 21 -'!H27,'- 22 -'!B27,'- 22 -'!E27,'- 22 -'!H27)</f>
        <v>9082384</v>
      </c>
      <c r="F27" s="273">
        <f>E27/'- 3 -'!D27*100</f>
        <v>21.258060231354779</v>
      </c>
      <c r="G27" s="272">
        <f>E27/'- 7 -'!E27</f>
        <v>2980.7627174269774</v>
      </c>
      <c r="H27" s="272">
        <f>SUM('- 23 -'!D27,'- 23 -'!B27)</f>
        <v>0</v>
      </c>
      <c r="I27" s="273">
        <f>H27/'- 3 -'!D27*100</f>
        <v>0</v>
      </c>
    </row>
    <row r="28" spans="1:9" ht="14.1" customHeight="1" x14ac:dyDescent="0.2">
      <c r="A28" s="15" t="s">
        <v>124</v>
      </c>
      <c r="B28" s="16">
        <f>SUM('- 18 -'!B28,'- 18 -'!E28,'- 19 -'!B28,'- 19 -'!E28,'- 19 -'!H28,'- 20 -'!B28)</f>
        <v>17013149</v>
      </c>
      <c r="C28" s="267">
        <f>B28/'- 3 -'!D28*100</f>
        <v>59.088210183671627</v>
      </c>
      <c r="D28" s="16">
        <f>B28/'- 7 -'!C28</f>
        <v>8693.4844149207966</v>
      </c>
      <c r="E28" s="16">
        <f>SUM('- 21 -'!B28,'- 21 -'!E28,'- 21 -'!H28,'- 22 -'!B28,'- 22 -'!E28,'- 22 -'!H28)</f>
        <v>3753988</v>
      </c>
      <c r="F28" s="267">
        <f>E28/'- 3 -'!D28*100</f>
        <v>13.037940946204674</v>
      </c>
      <c r="G28" s="16">
        <f>E28/'- 7 -'!E28</f>
        <v>1918.2360756259582</v>
      </c>
      <c r="H28" s="16">
        <f>SUM('- 23 -'!D28,'- 23 -'!B28)</f>
        <v>116751</v>
      </c>
      <c r="I28" s="267">
        <f>H28/'- 3 -'!D28*100</f>
        <v>0.40548681652960578</v>
      </c>
    </row>
    <row r="29" spans="1:9" ht="14.1" customHeight="1" x14ac:dyDescent="0.2">
      <c r="A29" s="271" t="s">
        <v>125</v>
      </c>
      <c r="B29" s="272">
        <f>SUM('- 18 -'!B29,'- 18 -'!E29,'- 19 -'!B29,'- 19 -'!E29,'- 19 -'!H29,'- 20 -'!B29)</f>
        <v>97600618</v>
      </c>
      <c r="C29" s="273">
        <f>B29/'- 3 -'!D29*100</f>
        <v>57.462099304923775</v>
      </c>
      <c r="D29" s="272">
        <f>B29/'- 7 -'!C29</f>
        <v>7223.8428232020078</v>
      </c>
      <c r="E29" s="272">
        <f>SUM('- 21 -'!B29,'- 21 -'!E29,'- 21 -'!H29,'- 22 -'!B29,'- 22 -'!E29,'- 22 -'!H29)</f>
        <v>31023178</v>
      </c>
      <c r="F29" s="273">
        <f>E29/'- 3 -'!D29*100</f>
        <v>18.264811960415315</v>
      </c>
      <c r="G29" s="272">
        <f>E29/'- 7 -'!E29</f>
        <v>2296.1592491987949</v>
      </c>
      <c r="H29" s="272">
        <f>SUM('- 23 -'!D29,'- 23 -'!B29)</f>
        <v>0</v>
      </c>
      <c r="I29" s="273">
        <f>H29/'- 3 -'!D29*100</f>
        <v>0</v>
      </c>
    </row>
    <row r="30" spans="1:9" ht="14.1" customHeight="1" x14ac:dyDescent="0.2">
      <c r="A30" s="15" t="s">
        <v>126</v>
      </c>
      <c r="B30" s="16">
        <f>SUM('- 18 -'!B30,'- 18 -'!E30,'- 19 -'!B30,'- 19 -'!E30,'- 19 -'!H30,'- 20 -'!B30)</f>
        <v>9115464</v>
      </c>
      <c r="C30" s="267">
        <f>B30/'- 3 -'!D30*100</f>
        <v>59.663624249440026</v>
      </c>
      <c r="D30" s="16">
        <f>B30/'- 7 -'!C30</f>
        <v>9025.2118811881192</v>
      </c>
      <c r="E30" s="16">
        <f>SUM('- 21 -'!B30,'- 21 -'!E30,'- 21 -'!H30,'- 22 -'!B30,'- 22 -'!E30,'- 22 -'!H30)</f>
        <v>1796793</v>
      </c>
      <c r="F30" s="267">
        <f>E30/'- 3 -'!D30*100</f>
        <v>11.760584256163384</v>
      </c>
      <c r="G30" s="16">
        <f>E30/'- 7 -'!E30</f>
        <v>1779.0029702970296</v>
      </c>
      <c r="H30" s="16">
        <f>SUM('- 23 -'!D30,'- 23 -'!B30)</f>
        <v>0</v>
      </c>
      <c r="I30" s="267">
        <f>H30/'- 3 -'!D30*100</f>
        <v>0</v>
      </c>
    </row>
    <row r="31" spans="1:9" ht="14.1" customHeight="1" x14ac:dyDescent="0.2">
      <c r="A31" s="271" t="s">
        <v>127</v>
      </c>
      <c r="B31" s="272">
        <f>SUM('- 18 -'!B31,'- 18 -'!E31,'- 19 -'!B31,'- 19 -'!E31,'- 19 -'!H31,'- 20 -'!B31)</f>
        <v>22357599</v>
      </c>
      <c r="C31" s="273">
        <f>B31/'- 3 -'!D31*100</f>
        <v>57.456908729972923</v>
      </c>
      <c r="D31" s="272">
        <f>B31/'- 7 -'!C31</f>
        <v>6885.8292525177858</v>
      </c>
      <c r="E31" s="272">
        <f>SUM('- 21 -'!B31,'- 21 -'!E31,'- 21 -'!H31,'- 22 -'!B31,'- 22 -'!E31,'- 22 -'!H31)</f>
        <v>8111128</v>
      </c>
      <c r="F31" s="273">
        <f>E31/'- 3 -'!D31*100</f>
        <v>20.844829589846736</v>
      </c>
      <c r="G31" s="272">
        <f>E31/'- 7 -'!E31</f>
        <v>2498.1145092241832</v>
      </c>
      <c r="H31" s="272">
        <f>SUM('- 23 -'!D31,'- 23 -'!B31)</f>
        <v>0</v>
      </c>
      <c r="I31" s="273">
        <f>H31/'- 3 -'!D31*100</f>
        <v>0</v>
      </c>
    </row>
    <row r="32" spans="1:9" ht="14.1" customHeight="1" x14ac:dyDescent="0.2">
      <c r="A32" s="15" t="s">
        <v>128</v>
      </c>
      <c r="B32" s="16">
        <f>SUM('- 18 -'!B32,'- 18 -'!E32,'- 19 -'!B32,'- 19 -'!E32,'- 19 -'!H32,'- 20 -'!B32)</f>
        <v>17999415</v>
      </c>
      <c r="C32" s="267">
        <f>B32/'- 3 -'!D32*100</f>
        <v>58.007450848044925</v>
      </c>
      <c r="D32" s="16">
        <f>B32/'- 7 -'!C32</f>
        <v>7952.0278330019883</v>
      </c>
      <c r="E32" s="16">
        <f>SUM('- 21 -'!B32,'- 21 -'!E32,'- 21 -'!H32,'- 22 -'!B32,'- 22 -'!E32,'- 22 -'!H32)</f>
        <v>4282590</v>
      </c>
      <c r="F32" s="267">
        <f>E32/'- 3 -'!D32*100</f>
        <v>13.801677939384627</v>
      </c>
      <c r="G32" s="16">
        <f>E32/'- 7 -'!E32</f>
        <v>1892.0212060967528</v>
      </c>
      <c r="H32" s="16">
        <f>SUM('- 23 -'!D32,'- 23 -'!B32)</f>
        <v>280919</v>
      </c>
      <c r="I32" s="267">
        <f>H32/'- 3 -'!D32*100</f>
        <v>0.90532915012970883</v>
      </c>
    </row>
    <row r="33" spans="1:10" ht="14.1" customHeight="1" x14ac:dyDescent="0.2">
      <c r="A33" s="271" t="s">
        <v>129</v>
      </c>
      <c r="B33" s="272">
        <f>SUM('- 18 -'!B33,'- 18 -'!E33,'- 19 -'!B33,'- 19 -'!E33,'- 19 -'!H33,'- 20 -'!B33)</f>
        <v>16564625</v>
      </c>
      <c r="C33" s="273">
        <f>B33/'- 3 -'!D33*100</f>
        <v>58.07639541647135</v>
      </c>
      <c r="D33" s="272">
        <f>B33/'- 7 -'!C33</f>
        <v>8070.4628501827037</v>
      </c>
      <c r="E33" s="272">
        <f>SUM('- 21 -'!B33,'- 21 -'!E33,'- 21 -'!H33,'- 22 -'!B33,'- 22 -'!E33,'- 22 -'!H33)</f>
        <v>3963435</v>
      </c>
      <c r="F33" s="273">
        <f>E33/'- 3 -'!D33*100</f>
        <v>13.89599935208205</v>
      </c>
      <c r="G33" s="272">
        <f>E33/'- 7 -'!E33</f>
        <v>1931.0280146163216</v>
      </c>
      <c r="H33" s="272">
        <f>SUM('- 23 -'!D33,'- 23 -'!B33)</f>
        <v>0</v>
      </c>
      <c r="I33" s="273">
        <f>H33/'- 3 -'!D33*100</f>
        <v>0</v>
      </c>
    </row>
    <row r="34" spans="1:10" ht="14.1" customHeight="1" x14ac:dyDescent="0.2">
      <c r="A34" s="15" t="s">
        <v>130</v>
      </c>
      <c r="B34" s="16">
        <f>SUM('- 18 -'!B34,'- 18 -'!E34,'- 19 -'!B34,'- 19 -'!E34,'- 19 -'!H34,'- 20 -'!B34)</f>
        <v>17504502</v>
      </c>
      <c r="C34" s="267">
        <f>B34/'- 3 -'!D34*100</f>
        <v>56.197412148714044</v>
      </c>
      <c r="D34" s="16">
        <f>B34/'- 7 -'!C34</f>
        <v>8069.1937491356648</v>
      </c>
      <c r="E34" s="16">
        <f>SUM('- 21 -'!B34,'- 21 -'!E34,'- 21 -'!H34,'- 22 -'!B34,'- 22 -'!E34,'- 22 -'!H34)</f>
        <v>5228311</v>
      </c>
      <c r="F34" s="267">
        <f>E34/'- 3 -'!D34*100</f>
        <v>16.785256050623733</v>
      </c>
      <c r="G34" s="16">
        <f>E34/'- 7 -'!E34</f>
        <v>2410.1373715023278</v>
      </c>
      <c r="H34" s="16">
        <f>SUM('- 23 -'!D34,'- 23 -'!B34)</f>
        <v>0</v>
      </c>
      <c r="I34" s="267">
        <f>H34/'- 3 -'!D34*100</f>
        <v>0</v>
      </c>
    </row>
    <row r="35" spans="1:10" ht="14.1" customHeight="1" x14ac:dyDescent="0.2">
      <c r="A35" s="271" t="s">
        <v>131</v>
      </c>
      <c r="B35" s="272">
        <f>SUM('- 18 -'!B35,'- 18 -'!E35,'- 19 -'!B35,'- 19 -'!E35,'- 19 -'!H35,'- 20 -'!B35)</f>
        <v>110420908</v>
      </c>
      <c r="C35" s="273">
        <f>B35/'- 3 -'!D35*100</f>
        <v>57.840005541112873</v>
      </c>
      <c r="D35" s="272">
        <f>B35/'- 7 -'!C35</f>
        <v>6839.7490089197227</v>
      </c>
      <c r="E35" s="272">
        <f>SUM('- 21 -'!B35,'- 21 -'!E35,'- 21 -'!H35,'- 22 -'!B35,'- 22 -'!E35,'- 22 -'!H35)</f>
        <v>36136686</v>
      </c>
      <c r="F35" s="273">
        <f>E35/'- 3 -'!D35*100</f>
        <v>18.928898125683371</v>
      </c>
      <c r="G35" s="272">
        <f>E35/'- 7 -'!E35</f>
        <v>2238.3972993062439</v>
      </c>
      <c r="H35" s="272">
        <f>SUM('- 23 -'!D35,'- 23 -'!B35)</f>
        <v>0</v>
      </c>
      <c r="I35" s="273">
        <f>H35/'- 3 -'!D35*100</f>
        <v>0</v>
      </c>
    </row>
    <row r="36" spans="1:10" ht="14.1" customHeight="1" x14ac:dyDescent="0.2">
      <c r="A36" s="15" t="s">
        <v>132</v>
      </c>
      <c r="B36" s="16">
        <f>SUM('- 18 -'!B36,'- 18 -'!E36,'- 19 -'!B36,'- 19 -'!E36,'- 19 -'!H36,'- 20 -'!B36)</f>
        <v>14364755</v>
      </c>
      <c r="C36" s="267">
        <f>B36/'- 3 -'!D36*100</f>
        <v>59.587484962873852</v>
      </c>
      <c r="D36" s="16">
        <f>B36/'- 7 -'!C36</f>
        <v>8437.4478707782673</v>
      </c>
      <c r="E36" s="16">
        <f>SUM('- 21 -'!B36,'- 21 -'!E36,'- 21 -'!H36,'- 22 -'!B36,'- 22 -'!E36,'- 22 -'!H36)</f>
        <v>3199180</v>
      </c>
      <c r="F36" s="267">
        <f>E36/'- 3 -'!D36*100</f>
        <v>13.270751234081388</v>
      </c>
      <c r="G36" s="16">
        <f>E36/'- 7 -'!E36</f>
        <v>1879.1071953010278</v>
      </c>
      <c r="H36" s="16">
        <f>SUM('- 23 -'!D36,'- 23 -'!B36)</f>
        <v>0</v>
      </c>
      <c r="I36" s="267">
        <f>H36/'- 3 -'!D36*100</f>
        <v>0</v>
      </c>
    </row>
    <row r="37" spans="1:10" ht="14.1" customHeight="1" x14ac:dyDescent="0.2">
      <c r="A37" s="271" t="s">
        <v>133</v>
      </c>
      <c r="B37" s="272">
        <f>SUM('- 18 -'!B37,'- 18 -'!E37,'- 19 -'!B37,'- 19 -'!E37,'- 19 -'!H37,'- 20 -'!B37)</f>
        <v>30559015</v>
      </c>
      <c r="C37" s="273">
        <f>B37/'- 3 -'!D37*100</f>
        <v>57.606781456654019</v>
      </c>
      <c r="D37" s="272">
        <f>B37/'- 7 -'!C37</f>
        <v>7165.0679953106683</v>
      </c>
      <c r="E37" s="272">
        <f>SUM('- 21 -'!B37,'- 21 -'!E37,'- 21 -'!H37,'- 22 -'!B37,'- 22 -'!E37,'- 22 -'!H37)</f>
        <v>9382100</v>
      </c>
      <c r="F37" s="273">
        <f>E37/'- 3 -'!D37*100</f>
        <v>17.686191269727566</v>
      </c>
      <c r="G37" s="272">
        <f>E37/'- 7 -'!E37</f>
        <v>2199.7889800703401</v>
      </c>
      <c r="H37" s="272">
        <f>SUM('- 23 -'!D37,'- 23 -'!B37)</f>
        <v>0</v>
      </c>
      <c r="I37" s="273">
        <f>H37/'- 3 -'!D37*100</f>
        <v>0</v>
      </c>
    </row>
    <row r="38" spans="1:10" ht="14.1" customHeight="1" x14ac:dyDescent="0.2">
      <c r="A38" s="15" t="s">
        <v>134</v>
      </c>
      <c r="B38" s="16">
        <f>SUM('- 18 -'!B38,'- 18 -'!E38,'- 19 -'!B38,'- 19 -'!E38,'- 19 -'!H38,'- 20 -'!B38)</f>
        <v>85346510</v>
      </c>
      <c r="C38" s="267">
        <f>B38/'- 3 -'!D38*100</f>
        <v>58.960553742030839</v>
      </c>
      <c r="D38" s="16">
        <f>B38/'- 7 -'!C38</f>
        <v>7597.8376212944004</v>
      </c>
      <c r="E38" s="16">
        <f>SUM('- 21 -'!B38,'- 21 -'!E38,'- 21 -'!H38,'- 22 -'!B38,'- 22 -'!E38,'- 22 -'!H38)</f>
        <v>25546130</v>
      </c>
      <c r="F38" s="267">
        <f>E38/'- 3 -'!D38*100</f>
        <v>17.648219836592105</v>
      </c>
      <c r="G38" s="16">
        <f>E38/'- 7 -'!E38</f>
        <v>2274.2036855693045</v>
      </c>
      <c r="H38" s="16">
        <f>SUM('- 23 -'!D38,'- 23 -'!B38)</f>
        <v>899030</v>
      </c>
      <c r="I38" s="267">
        <f>H38/'- 3 -'!D38*100</f>
        <v>0.62108347055665181</v>
      </c>
    </row>
    <row r="39" spans="1:10" ht="14.1" customHeight="1" x14ac:dyDescent="0.2">
      <c r="A39" s="271" t="s">
        <v>135</v>
      </c>
      <c r="B39" s="272">
        <f>SUM('- 18 -'!B39,'- 18 -'!E39,'- 19 -'!B39,'- 19 -'!E39,'- 19 -'!H39,'- 20 -'!B39)</f>
        <v>13413028</v>
      </c>
      <c r="C39" s="273">
        <f>B39/'- 3 -'!D39*100</f>
        <v>57.561139647247458</v>
      </c>
      <c r="D39" s="272">
        <f>B39/'- 7 -'!C39</f>
        <v>8865.1870456047582</v>
      </c>
      <c r="E39" s="272">
        <f>SUM('- 21 -'!B39,'- 21 -'!E39,'- 21 -'!H39,'- 22 -'!B39,'- 22 -'!E39,'- 22 -'!H39)</f>
        <v>3199800</v>
      </c>
      <c r="F39" s="273">
        <f>E39/'- 3 -'!D39*100</f>
        <v>13.731734150056383</v>
      </c>
      <c r="G39" s="272">
        <f>E39/'- 7 -'!E39</f>
        <v>2114.8711169861203</v>
      </c>
      <c r="H39" s="272">
        <f>SUM('- 23 -'!D39,'- 23 -'!B39)</f>
        <v>0</v>
      </c>
      <c r="I39" s="273">
        <f>H39/'- 3 -'!D39*100</f>
        <v>0</v>
      </c>
    </row>
    <row r="40" spans="1:10" ht="14.1" customHeight="1" x14ac:dyDescent="0.2">
      <c r="A40" s="15" t="s">
        <v>136</v>
      </c>
      <c r="B40" s="16">
        <f>SUM('- 18 -'!B40,'- 18 -'!E40,'- 19 -'!B40,'- 19 -'!E40,'- 19 -'!H40,'- 20 -'!B40)</f>
        <v>60105390</v>
      </c>
      <c r="C40" s="267">
        <f>B40/'- 3 -'!D40*100</f>
        <v>55.475769498524265</v>
      </c>
      <c r="D40" s="16">
        <f>B40/'- 7 -'!C40</f>
        <v>7196.9574327965038</v>
      </c>
      <c r="E40" s="16">
        <f>SUM('- 21 -'!B40,'- 21 -'!E40,'- 21 -'!H40,'- 22 -'!B40,'- 22 -'!E40,'- 22 -'!H40)</f>
        <v>24046858</v>
      </c>
      <c r="F40" s="267">
        <f>E40/'- 3 -'!D40*100</f>
        <v>22.194647627637789</v>
      </c>
      <c r="G40" s="16">
        <f>E40/'- 7 -'!E40</f>
        <v>2879.3459857510625</v>
      </c>
      <c r="H40" s="16">
        <f>SUM('- 23 -'!D40,'- 23 -'!B40)</f>
        <v>0</v>
      </c>
      <c r="I40" s="267">
        <f>H40/'- 3 -'!D40*100</f>
        <v>0</v>
      </c>
    </row>
    <row r="41" spans="1:10" ht="14.1" customHeight="1" x14ac:dyDescent="0.2">
      <c r="A41" s="271" t="s">
        <v>137</v>
      </c>
      <c r="B41" s="272">
        <f>SUM('- 18 -'!B41,'- 18 -'!E41,'- 19 -'!B41,'- 19 -'!E41,'- 19 -'!H41,'- 20 -'!B41)</f>
        <v>34074861</v>
      </c>
      <c r="C41" s="273">
        <f>B41/'- 3 -'!D41*100</f>
        <v>52.415787751973298</v>
      </c>
      <c r="D41" s="272">
        <f>B41/'- 7 -'!C41</f>
        <v>7817.1280110116995</v>
      </c>
      <c r="E41" s="272">
        <f>SUM('- 21 -'!B41,'- 21 -'!E41,'- 21 -'!H41,'- 22 -'!B41,'- 22 -'!E41,'- 22 -'!H41)</f>
        <v>12557269</v>
      </c>
      <c r="F41" s="273">
        <f>E41/'- 3 -'!D41*100</f>
        <v>19.316267985610679</v>
      </c>
      <c r="G41" s="272">
        <f>E41/'- 7 -'!E41</f>
        <v>2880.7682954806146</v>
      </c>
      <c r="H41" s="272">
        <f>SUM('- 23 -'!D41,'- 23 -'!B41)</f>
        <v>993120</v>
      </c>
      <c r="I41" s="273">
        <f>H41/'- 3 -'!D41*100</f>
        <v>1.5276707110335599</v>
      </c>
    </row>
    <row r="42" spans="1:10" ht="14.1" customHeight="1" x14ac:dyDescent="0.2">
      <c r="A42" s="15" t="s">
        <v>138</v>
      </c>
      <c r="B42" s="16">
        <f>SUM('- 18 -'!B42,'- 18 -'!E42,'- 19 -'!B42,'- 19 -'!E42,'- 19 -'!H42,'- 20 -'!B42)</f>
        <v>12000967</v>
      </c>
      <c r="C42" s="267">
        <f>B42/'- 3 -'!D42*100</f>
        <v>56.361217552174068</v>
      </c>
      <c r="D42" s="16">
        <f>B42/'- 7 -'!C42</f>
        <v>8535.53840682788</v>
      </c>
      <c r="E42" s="16">
        <f>SUM('- 21 -'!B42,'- 21 -'!E42,'- 21 -'!H42,'- 22 -'!B42,'- 22 -'!E42,'- 22 -'!H42)</f>
        <v>3202154</v>
      </c>
      <c r="F42" s="267">
        <f>E42/'- 3 -'!D42*100</f>
        <v>15.038562994929025</v>
      </c>
      <c r="G42" s="16">
        <f>E42/'- 7 -'!E42</f>
        <v>2277.4921763869133</v>
      </c>
      <c r="H42" s="16">
        <f>SUM('- 23 -'!D42,'- 23 -'!B42)</f>
        <v>0</v>
      </c>
      <c r="I42" s="267">
        <f>H42/'- 3 -'!D42*100</f>
        <v>0</v>
      </c>
    </row>
    <row r="43" spans="1:10" ht="14.1" customHeight="1" x14ac:dyDescent="0.2">
      <c r="A43" s="271" t="s">
        <v>139</v>
      </c>
      <c r="B43" s="272">
        <f>SUM('- 18 -'!B43,'- 18 -'!E43,'- 19 -'!B43,'- 19 -'!E43,'- 19 -'!H43,'- 20 -'!B43)</f>
        <v>7731904</v>
      </c>
      <c r="C43" s="273">
        <f>B43/'- 3 -'!D43*100</f>
        <v>56.110190403282125</v>
      </c>
      <c r="D43" s="272">
        <f>B43/'- 7 -'!C43</f>
        <v>8143.1321748288574</v>
      </c>
      <c r="E43" s="272">
        <f>SUM('- 21 -'!B43,'- 21 -'!E43,'- 21 -'!H43,'- 22 -'!B43,'- 22 -'!E43,'- 22 -'!H43)</f>
        <v>2485189</v>
      </c>
      <c r="F43" s="273">
        <f>E43/'- 3 -'!D43*100</f>
        <v>18.034940420644425</v>
      </c>
      <c r="G43" s="272">
        <f>E43/'- 7 -'!E43</f>
        <v>2617.3659820958401</v>
      </c>
      <c r="H43" s="272">
        <f>SUM('- 23 -'!D43,'- 23 -'!B43)</f>
        <v>235437</v>
      </c>
      <c r="I43" s="273">
        <f>H43/'- 3 -'!D43*100</f>
        <v>1.7085590946263087</v>
      </c>
    </row>
    <row r="44" spans="1:10" ht="14.1" customHeight="1" x14ac:dyDescent="0.2">
      <c r="A44" s="15" t="s">
        <v>140</v>
      </c>
      <c r="B44" s="16">
        <f>SUM('- 18 -'!B44,'- 18 -'!E44,'- 19 -'!B44,'- 19 -'!E44,'- 19 -'!H44,'- 20 -'!B44)</f>
        <v>6184925</v>
      </c>
      <c r="C44" s="267">
        <f>B44/'- 3 -'!D44*100</f>
        <v>54.818376583503628</v>
      </c>
      <c r="D44" s="16">
        <f>B44/'- 7 -'!C44</f>
        <v>8905.5795536357091</v>
      </c>
      <c r="E44" s="16">
        <f>SUM('- 21 -'!B44,'- 21 -'!E44,'- 21 -'!H44,'- 22 -'!B44,'- 22 -'!E44,'- 22 -'!H44)</f>
        <v>1833372</v>
      </c>
      <c r="F44" s="267">
        <f>E44/'- 3 -'!D44*100</f>
        <v>16.24958697375493</v>
      </c>
      <c r="G44" s="16">
        <f>E44/'- 7 -'!E44</f>
        <v>2639.8444924406049</v>
      </c>
      <c r="H44" s="16">
        <f>SUM('- 23 -'!D44,'- 23 -'!B44)</f>
        <v>0</v>
      </c>
      <c r="I44" s="267">
        <f>H44/'- 3 -'!D44*100</f>
        <v>0</v>
      </c>
    </row>
    <row r="45" spans="1:10" ht="14.1" customHeight="1" x14ac:dyDescent="0.2">
      <c r="A45" s="271" t="s">
        <v>141</v>
      </c>
      <c r="B45" s="272">
        <f>SUM('- 18 -'!B45,'- 18 -'!E45,'- 19 -'!B45,'- 19 -'!E45,'- 19 -'!H45,'- 20 -'!B45)</f>
        <v>12778936</v>
      </c>
      <c r="C45" s="273">
        <f>B45/'- 3 -'!D45*100</f>
        <v>61.674240810376268</v>
      </c>
      <c r="D45" s="272">
        <f>B45/'- 7 -'!C45</f>
        <v>7107.3058954393773</v>
      </c>
      <c r="E45" s="272">
        <f>SUM('- 21 -'!B45,'- 21 -'!E45,'- 21 -'!H45,'- 22 -'!B45,'- 22 -'!E45,'- 22 -'!H45)</f>
        <v>3112514</v>
      </c>
      <c r="F45" s="273">
        <f>E45/'- 3 -'!D45*100</f>
        <v>15.021746564946211</v>
      </c>
      <c r="G45" s="272">
        <f>E45/'- 7 -'!E45</f>
        <v>1731.0978865406007</v>
      </c>
      <c r="H45" s="272">
        <f>SUM('- 23 -'!D45,'- 23 -'!B45)</f>
        <v>408005</v>
      </c>
      <c r="I45" s="273">
        <f>H45/'- 3 -'!D45*100</f>
        <v>1.9691309684810667</v>
      </c>
    </row>
    <row r="46" spans="1:10" ht="14.1" customHeight="1" x14ac:dyDescent="0.2">
      <c r="A46" s="15" t="s">
        <v>142</v>
      </c>
      <c r="B46" s="16">
        <f>SUM('- 18 -'!B46,'- 18 -'!E46,'- 19 -'!B46,'- 19 -'!E46,'- 19 -'!H46,'- 20 -'!B46)</f>
        <v>213023750</v>
      </c>
      <c r="C46" s="267">
        <f>B46/'- 3 -'!D46*100</f>
        <v>52.406422835041134</v>
      </c>
      <c r="D46" s="16">
        <f>B46/'- 7 -'!C46</f>
        <v>7040.9436456784006</v>
      </c>
      <c r="E46" s="16">
        <f>SUM('- 21 -'!B46,'- 21 -'!E46,'- 21 -'!H46,'- 22 -'!B46,'- 22 -'!E46,'- 22 -'!H46)</f>
        <v>92345400</v>
      </c>
      <c r="F46" s="267">
        <f>E46/'- 3 -'!D46*100</f>
        <v>22.718086970448166</v>
      </c>
      <c r="G46" s="16">
        <f>E46/'- 7 -'!E46</f>
        <v>3052.2359940505703</v>
      </c>
      <c r="H46" s="16">
        <f>SUM('- 23 -'!D46,'- 23 -'!B46)</f>
        <v>784800</v>
      </c>
      <c r="I46" s="267">
        <f>H46/'- 3 -'!D46*100</f>
        <v>0.19307030620266649</v>
      </c>
    </row>
    <row r="47" spans="1:10" ht="5.0999999999999996" customHeight="1" x14ac:dyDescent="0.2">
      <c r="A47"/>
      <c r="B47"/>
      <c r="C47"/>
      <c r="D47"/>
      <c r="E47"/>
      <c r="F47"/>
      <c r="G47"/>
      <c r="H47"/>
      <c r="I47"/>
      <c r="J47"/>
    </row>
    <row r="48" spans="1:10" ht="14.1" customHeight="1" x14ac:dyDescent="0.2">
      <c r="A48" s="274" t="s">
        <v>143</v>
      </c>
      <c r="B48" s="275">
        <f>SUM(B11:B46)</f>
        <v>1343105895</v>
      </c>
      <c r="C48" s="276">
        <f>B48/'- 3 -'!D48*100</f>
        <v>55.69947694145084</v>
      </c>
      <c r="D48" s="275">
        <f>B48/'- 7 -'!C48</f>
        <v>7500.2423286332541</v>
      </c>
      <c r="E48" s="275">
        <f>SUM(E11:E46)</f>
        <v>447774273</v>
      </c>
      <c r="F48" s="276">
        <f>E48/'- 3 -'!D48*100</f>
        <v>18.569490973709424</v>
      </c>
      <c r="G48" s="275">
        <f>E48/'- 7 -'!E48</f>
        <v>2500.4845623342176</v>
      </c>
      <c r="H48" s="275">
        <f>SUM(H11:H46)</f>
        <v>8975709</v>
      </c>
      <c r="I48" s="276">
        <f>H48/'- 3 -'!D48*100</f>
        <v>0.37222850286028475</v>
      </c>
    </row>
    <row r="49" spans="1:9" ht="5.0999999999999996" customHeight="1" x14ac:dyDescent="0.2">
      <c r="A49" s="17" t="s">
        <v>1</v>
      </c>
      <c r="B49" s="18"/>
      <c r="C49" s="266"/>
      <c r="D49" s="18"/>
      <c r="E49" s="18"/>
      <c r="F49" s="266"/>
      <c r="H49" s="18"/>
      <c r="I49" s="266"/>
    </row>
    <row r="50" spans="1:9" ht="14.1" customHeight="1" x14ac:dyDescent="0.2">
      <c r="A50" s="15" t="s">
        <v>144</v>
      </c>
      <c r="B50" s="16">
        <f>SUM('- 18 -'!B50,'- 18 -'!E50,'- 19 -'!B50,'- 19 -'!E50,'- 19 -'!H50,'- 20 -'!B50)</f>
        <v>2102335</v>
      </c>
      <c r="C50" s="267">
        <f>B50/'- 3 -'!D50*100</f>
        <v>58.513889406888396</v>
      </c>
      <c r="D50" s="16">
        <f>B50/'- 7 -'!C50</f>
        <v>12513.898809523809</v>
      </c>
      <c r="E50" s="16">
        <f>SUM('- 21 -'!B50,'- 21 -'!E50,'- 21 -'!H50,'- 22 -'!B50,'- 22 -'!E50,'- 22 -'!H50)</f>
        <v>364900</v>
      </c>
      <c r="F50" s="267">
        <f>E50/'- 3 -'!D50*100</f>
        <v>10.156192159942909</v>
      </c>
      <c r="G50" s="16">
        <f>E50/'- 7 -'!E50</f>
        <v>2172.0238095238096</v>
      </c>
      <c r="H50" s="16">
        <f>SUM('- 23 -'!D50,'- 23 -'!B50)</f>
        <v>0</v>
      </c>
      <c r="I50" s="267">
        <f>H50/'- 3 -'!D50*100</f>
        <v>0</v>
      </c>
    </row>
    <row r="51" spans="1:9" ht="14.1" customHeight="1" x14ac:dyDescent="0.2">
      <c r="A51" s="360" t="s">
        <v>514</v>
      </c>
      <c r="B51" s="272">
        <f>SUM('- 18 -'!B51,'- 18 -'!E51,'- 19 -'!B51,'- 19 -'!E51,'- 19 -'!H51,'- 20 -'!B51)</f>
        <v>6908853</v>
      </c>
      <c r="C51" s="273">
        <f>B51/'- 3 -'!D51*100</f>
        <v>21.028532938706412</v>
      </c>
      <c r="D51" s="272">
        <f>B51/'- 7 -'!C51</f>
        <v>5042.9583941605842</v>
      </c>
      <c r="E51" s="272">
        <f>SUM('- 21 -'!B51,'- 21 -'!E51,'- 21 -'!H51,'- 22 -'!B51,'- 22 -'!E51,'- 22 -'!H51)</f>
        <v>698343</v>
      </c>
      <c r="F51" s="273">
        <f>E51/'- 3 -'!D51*100</f>
        <v>2.1255523569563648</v>
      </c>
      <c r="G51" s="272">
        <f>E51/'- 7 -'!E51</f>
        <v>509.73941605839417</v>
      </c>
      <c r="H51" s="272">
        <f>SUM('- 23 -'!D51,'- 23 -'!B51)</f>
        <v>2803667</v>
      </c>
      <c r="I51" s="273">
        <f>H51/'- 3 -'!D51*100</f>
        <v>8.5335444043554247</v>
      </c>
    </row>
    <row r="52" spans="1:9" ht="50.1" customHeight="1" x14ac:dyDescent="0.2">
      <c r="A52"/>
      <c r="B52"/>
      <c r="C52"/>
      <c r="D52"/>
      <c r="E52"/>
      <c r="F52"/>
      <c r="G52"/>
      <c r="H52"/>
      <c r="I52"/>
    </row>
    <row r="53" spans="1:9" ht="15" customHeight="1" x14ac:dyDescent="0.2">
      <c r="A53" s="428"/>
      <c r="B53" s="428"/>
      <c r="C53" s="428"/>
      <c r="D53" s="428"/>
      <c r="E53" s="428"/>
      <c r="F53" s="428"/>
      <c r="G53" s="428"/>
      <c r="H53" s="428"/>
      <c r="I53" s="428"/>
    </row>
    <row r="54" spans="1:9" ht="14.45" customHeight="1" x14ac:dyDescent="0.2">
      <c r="B54" s="72"/>
      <c r="C54" s="72"/>
      <c r="E54" s="72"/>
      <c r="F54" s="72"/>
      <c r="H54" s="72"/>
      <c r="I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D7"/>
    <mergeCell ref="E6:G7"/>
    <mergeCell ref="H6:I7"/>
    <mergeCell ref="D8:D9"/>
    <mergeCell ref="G8:G9"/>
  </mergeCells>
  <phoneticPr fontId="0" type="noConversion"/>
  <printOptions horizontalCentered="1"/>
  <pageMargins left="0.51181102362204722" right="0.51181102362204722" top="0.59055118110236227" bottom="0" header="0.31496062992125984" footer="0"/>
  <pageSetup scale="90"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59"/>
  <sheetViews>
    <sheetView showGridLines="0" showZeros="0" workbookViewId="0"/>
  </sheetViews>
  <sheetFormatPr defaultColWidth="15.83203125" defaultRowHeight="12" x14ac:dyDescent="0.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AEXP_BF</f>
        <v>ANALYSIS OF EXPENSE BY FUNCTION</v>
      </c>
      <c r="C2" s="6"/>
      <c r="D2" s="6"/>
      <c r="E2" s="6"/>
      <c r="F2" s="6"/>
      <c r="G2" s="85"/>
      <c r="H2" s="92"/>
      <c r="I2" s="150" t="s">
        <v>2</v>
      </c>
    </row>
    <row r="3" spans="1:9" ht="15.95" customHeight="1" x14ac:dyDescent="0.2">
      <c r="A3" s="135"/>
      <c r="B3" s="7" t="str">
        <f>+'- 15 -'!B3</f>
        <v>OPERATING FUND 2018/2019 BUDGET</v>
      </c>
      <c r="C3" s="8"/>
      <c r="D3" s="8"/>
      <c r="E3" s="8"/>
      <c r="F3" s="8"/>
      <c r="G3" s="87"/>
      <c r="H3" s="81"/>
      <c r="I3" s="81"/>
    </row>
    <row r="4" spans="1:9" ht="15.95" customHeight="1" x14ac:dyDescent="0.2">
      <c r="B4" s="4"/>
      <c r="C4" s="4"/>
      <c r="D4" s="4"/>
      <c r="E4" s="4"/>
      <c r="F4" s="4"/>
      <c r="G4" s="4"/>
      <c r="H4" s="4"/>
      <c r="I4" s="4"/>
    </row>
    <row r="5" spans="1:9" ht="15.95" customHeight="1" x14ac:dyDescent="0.2">
      <c r="B5" s="4"/>
      <c r="C5" s="4"/>
      <c r="D5" s="4"/>
      <c r="E5" s="4"/>
      <c r="F5" s="4"/>
      <c r="G5" s="4"/>
      <c r="H5" s="4"/>
      <c r="I5" s="4"/>
    </row>
    <row r="6" spans="1:9" ht="15.95" customHeight="1" x14ac:dyDescent="0.2">
      <c r="B6" s="615" t="s">
        <v>399</v>
      </c>
      <c r="C6" s="612"/>
      <c r="D6" s="611" t="s">
        <v>400</v>
      </c>
      <c r="E6" s="621"/>
      <c r="F6" s="612"/>
      <c r="G6" s="615" t="s">
        <v>395</v>
      </c>
      <c r="H6" s="621"/>
      <c r="I6" s="612"/>
    </row>
    <row r="7" spans="1:9" ht="15.95" customHeight="1" x14ac:dyDescent="0.2">
      <c r="B7" s="613"/>
      <c r="C7" s="614"/>
      <c r="D7" s="613"/>
      <c r="E7" s="622"/>
      <c r="F7" s="614"/>
      <c r="G7" s="613"/>
      <c r="H7" s="622"/>
      <c r="I7" s="614"/>
    </row>
    <row r="8" spans="1:9" ht="15.95" customHeight="1" x14ac:dyDescent="0.2">
      <c r="A8" s="82"/>
      <c r="B8" s="10" t="s">
        <v>1</v>
      </c>
      <c r="C8" s="176"/>
      <c r="D8" s="138"/>
      <c r="E8" s="137"/>
      <c r="F8" s="529" t="s">
        <v>396</v>
      </c>
      <c r="G8" s="138"/>
      <c r="H8" s="137"/>
      <c r="I8" s="529" t="s">
        <v>396</v>
      </c>
    </row>
    <row r="9" spans="1:9" ht="15.95" customHeight="1" x14ac:dyDescent="0.2">
      <c r="A9" s="27" t="s">
        <v>37</v>
      </c>
      <c r="B9" s="89" t="s">
        <v>38</v>
      </c>
      <c r="C9" s="89" t="s">
        <v>39</v>
      </c>
      <c r="D9" s="89" t="s">
        <v>38</v>
      </c>
      <c r="E9" s="89" t="s">
        <v>39</v>
      </c>
      <c r="F9" s="569"/>
      <c r="G9" s="89" t="s">
        <v>38</v>
      </c>
      <c r="H9" s="89" t="s">
        <v>39</v>
      </c>
      <c r="I9" s="569"/>
    </row>
    <row r="10" spans="1:9" ht="5.0999999999999996" customHeight="1" x14ac:dyDescent="0.2">
      <c r="A10" s="29"/>
    </row>
    <row r="11" spans="1:9" ht="14.1" customHeight="1" x14ac:dyDescent="0.2">
      <c r="A11" s="271" t="s">
        <v>108</v>
      </c>
      <c r="B11" s="272">
        <f>SUM('- 24 -'!H11,'- 24 -'!F11,'- 24 -'!D11,'- 24 -'!B11)</f>
        <v>21590</v>
      </c>
      <c r="C11" s="273">
        <f>B11/'- 3 -'!D11*100</f>
        <v>0.10608256495947932</v>
      </c>
      <c r="D11" s="272">
        <f>SUM('- 25 -'!B11,'- 25 -'!E11,'- 25 -'!H11,'- 26 -'!B11)</f>
        <v>659087</v>
      </c>
      <c r="E11" s="273">
        <f>D11/'- 3 -'!D11*100</f>
        <v>3.2384270260050183</v>
      </c>
      <c r="F11" s="272">
        <f>D11/'- 7 -'!E11</f>
        <v>365.44884945938452</v>
      </c>
      <c r="G11" s="272">
        <f>SUM('- 27 -'!B11,'- 27 -'!E11,'- 27 -'!H11,'- 28 -'!B11,'- 28 -'!E11)</f>
        <v>586021</v>
      </c>
      <c r="H11" s="273">
        <f>G11/'- 3 -'!D11*100</f>
        <v>2.8794168967169536</v>
      </c>
      <c r="I11" s="272">
        <f>G11/'- 7 -'!E11</f>
        <v>324.93540338231219</v>
      </c>
    </row>
    <row r="12" spans="1:9" ht="14.1" customHeight="1" x14ac:dyDescent="0.2">
      <c r="A12" s="15" t="s">
        <v>109</v>
      </c>
      <c r="B12" s="16">
        <f>SUM('- 24 -'!H12,'- 24 -'!F12,'- 24 -'!D12,'- 24 -'!B12)</f>
        <v>50319</v>
      </c>
      <c r="C12" s="267">
        <f>B12/'- 3 -'!D12*100</f>
        <v>0.1441141447951492</v>
      </c>
      <c r="D12" s="16">
        <f>SUM('- 25 -'!B12,'- 25 -'!E12,'- 25 -'!H12,'- 26 -'!B12)</f>
        <v>1244993</v>
      </c>
      <c r="E12" s="267">
        <f>D12/'- 3 -'!D12*100</f>
        <v>3.5656730354527557</v>
      </c>
      <c r="F12" s="16">
        <f>D12/'- 7 -'!E12</f>
        <v>584.36658061487913</v>
      </c>
      <c r="G12" s="16">
        <f>SUM('- 27 -'!B12,'- 27 -'!E12,'- 27 -'!H12,'- 28 -'!B12,'- 28 -'!E12)</f>
        <v>908936</v>
      </c>
      <c r="H12" s="267">
        <f>G12/'- 3 -'!D12*100</f>
        <v>2.6032022558779735</v>
      </c>
      <c r="I12" s="16">
        <f>G12/'- 7 -'!E12</f>
        <v>426.63036845810842</v>
      </c>
    </row>
    <row r="13" spans="1:9" ht="14.1" customHeight="1" x14ac:dyDescent="0.2">
      <c r="A13" s="271" t="s">
        <v>110</v>
      </c>
      <c r="B13" s="272">
        <f>SUM('- 24 -'!H13,'- 24 -'!F13,'- 24 -'!D13,'- 24 -'!B13)</f>
        <v>364300</v>
      </c>
      <c r="C13" s="273">
        <f>B13/'- 3 -'!D13*100</f>
        <v>0.34990423976748608</v>
      </c>
      <c r="D13" s="272">
        <f>SUM('- 25 -'!B13,'- 25 -'!E13,'- 25 -'!H13,'- 26 -'!B13)</f>
        <v>3245900</v>
      </c>
      <c r="E13" s="273">
        <f>D13/'- 3 -'!D13*100</f>
        <v>3.1176342900392071</v>
      </c>
      <c r="F13" s="272">
        <f>D13/'- 7 -'!E13</f>
        <v>377.69373981847798</v>
      </c>
      <c r="G13" s="272">
        <f>SUM('- 27 -'!B13,'- 27 -'!E13,'- 27 -'!H13,'- 28 -'!B13,'- 28 -'!E13)</f>
        <v>3303500</v>
      </c>
      <c r="H13" s="273">
        <f>G13/'- 3 -'!D13*100</f>
        <v>3.1729581555637947</v>
      </c>
      <c r="I13" s="272">
        <f>G13/'- 7 -'!E13</f>
        <v>384.39609029555504</v>
      </c>
    </row>
    <row r="14" spans="1:9" ht="14.1" customHeight="1" x14ac:dyDescent="0.2">
      <c r="A14" s="15" t="s">
        <v>319</v>
      </c>
      <c r="B14" s="16">
        <f>SUM('- 24 -'!H14,'- 24 -'!F14,'- 24 -'!D14,'- 24 -'!B14)</f>
        <v>1652845</v>
      </c>
      <c r="C14" s="267">
        <f>B14/'- 3 -'!D14*100</f>
        <v>1.7710270520017162</v>
      </c>
      <c r="D14" s="16">
        <f>SUM('- 25 -'!B14,'- 25 -'!E14,'- 25 -'!H14,'- 26 -'!B14)</f>
        <v>3517970</v>
      </c>
      <c r="E14" s="267">
        <f>D14/'- 3 -'!D14*100</f>
        <v>3.769512590793739</v>
      </c>
      <c r="F14" s="16">
        <f>D14/'- 7 -'!E14</f>
        <v>607.59412780656305</v>
      </c>
      <c r="G14" s="16">
        <f>SUM('- 27 -'!B14,'- 27 -'!E14,'- 27 -'!H14,'- 28 -'!B14,'- 28 -'!E14)</f>
        <v>3184249</v>
      </c>
      <c r="H14" s="267">
        <f>G14/'- 3 -'!D14*100</f>
        <v>3.4119298054623464</v>
      </c>
      <c r="I14" s="16">
        <f>G14/'- 7 -'!E14</f>
        <v>549.95664939550954</v>
      </c>
    </row>
    <row r="15" spans="1:9" ht="14.1" customHeight="1" x14ac:dyDescent="0.2">
      <c r="A15" s="271" t="s">
        <v>111</v>
      </c>
      <c r="B15" s="272">
        <f>SUM('- 24 -'!H15,'- 24 -'!F15,'- 24 -'!D15,'- 24 -'!B15)</f>
        <v>78470</v>
      </c>
      <c r="C15" s="273">
        <f>B15/'- 3 -'!D15*100</f>
        <v>0.37761768045729133</v>
      </c>
      <c r="D15" s="272">
        <f>SUM('- 25 -'!B15,'- 25 -'!E15,'- 25 -'!H15,'- 26 -'!B15)</f>
        <v>793985</v>
      </c>
      <c r="E15" s="273">
        <f>D15/'- 3 -'!D15*100</f>
        <v>3.8208585958695354</v>
      </c>
      <c r="F15" s="272">
        <f>D15/'- 7 -'!E15</f>
        <v>588.57301704966642</v>
      </c>
      <c r="G15" s="272">
        <f>SUM('- 27 -'!B15,'- 27 -'!E15,'- 27 -'!H15,'- 28 -'!B15,'- 28 -'!E15)</f>
        <v>699330</v>
      </c>
      <c r="H15" s="273">
        <f>G15/'- 3 -'!D15*100</f>
        <v>3.3653545619242706</v>
      </c>
      <c r="I15" s="272">
        <f>G15/'- 7 -'!E15</f>
        <v>518.40622683469235</v>
      </c>
    </row>
    <row r="16" spans="1:9" ht="14.1" customHeight="1" x14ac:dyDescent="0.2">
      <c r="A16" s="15" t="s">
        <v>112</v>
      </c>
      <c r="B16" s="16">
        <f>SUM('- 24 -'!H16,'- 24 -'!F16,'- 24 -'!D16,'- 24 -'!B16)</f>
        <v>8840</v>
      </c>
      <c r="C16" s="267">
        <f>B16/'- 3 -'!D16*100</f>
        <v>5.9458806481494188E-2</v>
      </c>
      <c r="D16" s="16">
        <f>SUM('- 25 -'!B16,'- 25 -'!E16,'- 25 -'!H16,'- 26 -'!B16)</f>
        <v>652043</v>
      </c>
      <c r="E16" s="267">
        <f>D16/'- 3 -'!D16*100</f>
        <v>4.3857125061779314</v>
      </c>
      <c r="F16" s="16">
        <f>D16/'- 7 -'!E16</f>
        <v>706.43878656554716</v>
      </c>
      <c r="G16" s="16">
        <f>SUM('- 27 -'!B16,'- 27 -'!E16,'- 27 -'!H16,'- 28 -'!B16,'- 28 -'!E16)</f>
        <v>315589</v>
      </c>
      <c r="H16" s="267">
        <f>G16/'- 3 -'!D16*100</f>
        <v>2.1226861174986729</v>
      </c>
      <c r="I16" s="16">
        <f>G16/'- 7 -'!E16</f>
        <v>341.91657638136513</v>
      </c>
    </row>
    <row r="17" spans="1:9" ht="14.1" customHeight="1" x14ac:dyDescent="0.2">
      <c r="A17" s="271" t="s">
        <v>113</v>
      </c>
      <c r="B17" s="272">
        <f>SUM('- 24 -'!H17,'- 24 -'!F17,'- 24 -'!D17,'- 24 -'!B17)</f>
        <v>287540</v>
      </c>
      <c r="C17" s="273">
        <f>B17/'- 3 -'!D17*100</f>
        <v>1.5375827599081151</v>
      </c>
      <c r="D17" s="272">
        <f>SUM('- 25 -'!B17,'- 25 -'!E17,'- 25 -'!H17,'- 26 -'!B17)</f>
        <v>698820</v>
      </c>
      <c r="E17" s="273">
        <f>D17/'- 3 -'!D17*100</f>
        <v>3.736849079359355</v>
      </c>
      <c r="F17" s="272">
        <f>D17/'- 7 -'!E17</f>
        <v>501.30559540889527</v>
      </c>
      <c r="G17" s="272">
        <f>SUM('- 27 -'!B17,'- 27 -'!E17,'- 27 -'!H17,'- 28 -'!B17,'- 28 -'!E17)</f>
        <v>464390</v>
      </c>
      <c r="H17" s="273">
        <f>G17/'- 3 -'!D17*100</f>
        <v>2.4832651383241622</v>
      </c>
      <c r="I17" s="272">
        <f>G17/'- 7 -'!E17</f>
        <v>333.13486370157818</v>
      </c>
    </row>
    <row r="18" spans="1:9" ht="14.1" customHeight="1" x14ac:dyDescent="0.2">
      <c r="A18" s="15" t="s">
        <v>114</v>
      </c>
      <c r="B18" s="16">
        <f>SUM('- 24 -'!H18,'- 24 -'!F18,'- 24 -'!D18,'- 24 -'!B18)</f>
        <v>2353589</v>
      </c>
      <c r="C18" s="267">
        <f>B18/'- 3 -'!D18*100</f>
        <v>1.7476378246936868</v>
      </c>
      <c r="D18" s="16">
        <f>SUM('- 25 -'!B18,'- 25 -'!E18,'- 25 -'!H18,'- 26 -'!B18)</f>
        <v>7388614</v>
      </c>
      <c r="E18" s="267">
        <f>D18/'- 3 -'!D18*100</f>
        <v>5.4863535215627373</v>
      </c>
      <c r="F18" s="16">
        <f>D18/'- 7 -'!E18</f>
        <v>1204.2988003651062</v>
      </c>
      <c r="G18" s="16">
        <f>SUM('- 27 -'!B18,'- 27 -'!E18,'- 27 -'!H18,'- 28 -'!B18,'- 28 -'!E18)</f>
        <v>7577040</v>
      </c>
      <c r="H18" s="267">
        <f>G18/'- 3 -'!D18*100</f>
        <v>5.6262676717205311</v>
      </c>
      <c r="I18" s="16">
        <f>G18/'- 7 -'!E18</f>
        <v>1235.0110835832572</v>
      </c>
    </row>
    <row r="19" spans="1:9" ht="14.1" customHeight="1" x14ac:dyDescent="0.2">
      <c r="A19" s="271" t="s">
        <v>115</v>
      </c>
      <c r="B19" s="272">
        <f>SUM('- 24 -'!H19,'- 24 -'!F19,'- 24 -'!D19,'- 24 -'!B19)</f>
        <v>84300</v>
      </c>
      <c r="C19" s="273">
        <f>B19/'- 3 -'!D19*100</f>
        <v>0.16752249531016503</v>
      </c>
      <c r="D19" s="272">
        <f>SUM('- 25 -'!B19,'- 25 -'!E19,'- 25 -'!H19,'- 26 -'!B19)</f>
        <v>1549100</v>
      </c>
      <c r="E19" s="273">
        <f>D19/'- 3 -'!D19*100</f>
        <v>3.0783997329178723</v>
      </c>
      <c r="F19" s="272">
        <f>D19/'- 7 -'!E19</f>
        <v>355.17597156941417</v>
      </c>
      <c r="G19" s="272">
        <f>SUM('- 27 -'!B19,'- 27 -'!E19,'- 27 -'!H19,'- 28 -'!B19,'- 28 -'!E19)</f>
        <v>1729800</v>
      </c>
      <c r="H19" s="273">
        <f>G19/'- 3 -'!D19*100</f>
        <v>3.4374900639089381</v>
      </c>
      <c r="I19" s="272">
        <f>G19/'- 7 -'!E19</f>
        <v>396.60667201650807</v>
      </c>
    </row>
    <row r="20" spans="1:9" ht="14.1" customHeight="1" x14ac:dyDescent="0.2">
      <c r="A20" s="15" t="s">
        <v>116</v>
      </c>
      <c r="B20" s="16">
        <f>SUM('- 24 -'!H20,'- 24 -'!F20,'- 24 -'!D20,'- 24 -'!B20)</f>
        <v>162500</v>
      </c>
      <c r="C20" s="267">
        <f>B20/'- 3 -'!D20*100</f>
        <v>0.18624150881982479</v>
      </c>
      <c r="D20" s="16">
        <f>SUM('- 25 -'!B20,'- 25 -'!E20,'- 25 -'!H20,'- 26 -'!B20)</f>
        <v>2436300</v>
      </c>
      <c r="E20" s="267">
        <f>D20/'- 3 -'!D20*100</f>
        <v>2.7922473103860872</v>
      </c>
      <c r="F20" s="16">
        <f>D20/'- 7 -'!E20</f>
        <v>309.80417090539169</v>
      </c>
      <c r="G20" s="16">
        <f>SUM('- 27 -'!B20,'- 27 -'!E20,'- 27 -'!H20,'- 28 -'!B20,'- 28 -'!E20)</f>
        <v>2894700</v>
      </c>
      <c r="H20" s="267">
        <f>G20/'- 3 -'!D20*100</f>
        <v>3.3176202804969037</v>
      </c>
      <c r="I20" s="16">
        <f>G20/'- 7 -'!E20</f>
        <v>368.09511698880976</v>
      </c>
    </row>
    <row r="21" spans="1:9" ht="14.1" customHeight="1" x14ac:dyDescent="0.2">
      <c r="A21" s="271" t="s">
        <v>117</v>
      </c>
      <c r="B21" s="272">
        <f>SUM('- 24 -'!H21,'- 24 -'!F21,'- 24 -'!D21,'- 24 -'!B21)</f>
        <v>293000</v>
      </c>
      <c r="C21" s="273">
        <f>B21/'- 3 -'!D21*100</f>
        <v>0.78009308933370469</v>
      </c>
      <c r="D21" s="272">
        <f>SUM('- 25 -'!B21,'- 25 -'!E21,'- 25 -'!H21,'- 26 -'!B21)</f>
        <v>1318500</v>
      </c>
      <c r="E21" s="273">
        <f>D21/'- 3 -'!D21*100</f>
        <v>3.5104189020016712</v>
      </c>
      <c r="F21" s="272">
        <f>D21/'- 7 -'!E21</f>
        <v>469.96970237034395</v>
      </c>
      <c r="G21" s="272">
        <f>SUM('- 27 -'!B21,'- 27 -'!E21,'- 27 -'!H21,'- 28 -'!B21,'- 28 -'!E21)</f>
        <v>1073300</v>
      </c>
      <c r="H21" s="273">
        <f>G21/'- 3 -'!D21*100</f>
        <v>2.8575901460131918</v>
      </c>
      <c r="I21" s="272">
        <f>G21/'- 7 -'!E21</f>
        <v>382.56995188023524</v>
      </c>
    </row>
    <row r="22" spans="1:9" ht="14.1" customHeight="1" x14ac:dyDescent="0.2">
      <c r="A22" s="15" t="s">
        <v>118</v>
      </c>
      <c r="B22" s="16">
        <f>SUM('- 24 -'!H22,'- 24 -'!F22,'- 24 -'!D22,'- 24 -'!B22)</f>
        <v>82850</v>
      </c>
      <c r="C22" s="267">
        <f>B22/'- 3 -'!D22*100</f>
        <v>0.39673836529427592</v>
      </c>
      <c r="D22" s="16">
        <f>SUM('- 25 -'!B22,'- 25 -'!E22,'- 25 -'!H22,'- 26 -'!B22)</f>
        <v>847630</v>
      </c>
      <c r="E22" s="267">
        <f>D22/'- 3 -'!D22*100</f>
        <v>4.0589902302279679</v>
      </c>
      <c r="F22" s="16">
        <f>D22/'- 7 -'!E22</f>
        <v>581.68405160581938</v>
      </c>
      <c r="G22" s="16">
        <f>SUM('- 27 -'!B22,'- 27 -'!E22,'- 27 -'!H22,'- 28 -'!B22,'- 28 -'!E22)</f>
        <v>502220</v>
      </c>
      <c r="H22" s="267">
        <f>G22/'- 3 -'!D22*100</f>
        <v>2.4049480002183614</v>
      </c>
      <c r="I22" s="16">
        <f>G22/'- 7 -'!E22</f>
        <v>344.64726873455942</v>
      </c>
    </row>
    <row r="23" spans="1:9" ht="14.1" customHeight="1" x14ac:dyDescent="0.2">
      <c r="A23" s="271" t="s">
        <v>119</v>
      </c>
      <c r="B23" s="272">
        <f>SUM('- 24 -'!H23,'- 24 -'!F23,'- 24 -'!D23,'- 24 -'!B23)</f>
        <v>277000</v>
      </c>
      <c r="C23" s="273">
        <f>B23/'- 3 -'!D23*100</f>
        <v>1.6323103638390335</v>
      </c>
      <c r="D23" s="272">
        <f>SUM('- 25 -'!B23,'- 25 -'!E23,'- 25 -'!H23,'- 26 -'!B23)</f>
        <v>640250</v>
      </c>
      <c r="E23" s="273">
        <f>D23/'- 3 -'!D23*100</f>
        <v>3.772876211003398</v>
      </c>
      <c r="F23" s="272">
        <f>D23/'- 7 -'!E23</f>
        <v>615.625</v>
      </c>
      <c r="G23" s="272">
        <f>SUM('- 27 -'!B23,'- 27 -'!E23,'- 27 -'!H23,'- 28 -'!B23,'- 28 -'!E23)</f>
        <v>420800</v>
      </c>
      <c r="H23" s="273">
        <f>G23/'- 3 -'!D23*100</f>
        <v>2.4796974769078171</v>
      </c>
      <c r="I23" s="272">
        <f>G23/'- 7 -'!E23</f>
        <v>404.61538461538464</v>
      </c>
    </row>
    <row r="24" spans="1:9" ht="14.1" customHeight="1" x14ac:dyDescent="0.2">
      <c r="A24" s="15" t="s">
        <v>120</v>
      </c>
      <c r="B24" s="16">
        <f>SUM('- 24 -'!H24,'- 24 -'!F24,'- 24 -'!D24,'- 24 -'!B24)</f>
        <v>422830</v>
      </c>
      <c r="C24" s="267">
        <f>B24/'- 3 -'!D24*100</f>
        <v>0.72379570429312212</v>
      </c>
      <c r="D24" s="16">
        <f>SUM('- 25 -'!B24,'- 25 -'!E24,'- 25 -'!H24,'- 26 -'!B24)</f>
        <v>1974465</v>
      </c>
      <c r="E24" s="267">
        <f>D24/'- 3 -'!D24*100</f>
        <v>3.3798672877447657</v>
      </c>
      <c r="F24" s="16">
        <f>D24/'- 7 -'!E24</f>
        <v>522.89856991525426</v>
      </c>
      <c r="G24" s="16">
        <f>SUM('- 27 -'!B24,'- 27 -'!E24,'- 27 -'!H24,'- 28 -'!B24,'- 28 -'!E24)</f>
        <v>1546125</v>
      </c>
      <c r="H24" s="267">
        <f>G24/'- 3 -'!D24*100</f>
        <v>2.6466396265643484</v>
      </c>
      <c r="I24" s="16">
        <f>G24/'- 7 -'!E24</f>
        <v>409.46106991525426</v>
      </c>
    </row>
    <row r="25" spans="1:9" ht="14.1" customHeight="1" x14ac:dyDescent="0.2">
      <c r="A25" s="271" t="s">
        <v>121</v>
      </c>
      <c r="B25" s="272">
        <f>SUM('- 24 -'!H25,'- 24 -'!F25,'- 24 -'!D25,'- 24 -'!B25)</f>
        <v>2110846</v>
      </c>
      <c r="C25" s="273">
        <f>B25/'- 3 -'!D25*100</f>
        <v>1.1234040491404371</v>
      </c>
      <c r="D25" s="272">
        <f>SUM('- 25 -'!B25,'- 25 -'!E25,'- 25 -'!H25,'- 26 -'!B25)</f>
        <v>6226674</v>
      </c>
      <c r="E25" s="273">
        <f>D25/'- 3 -'!D25*100</f>
        <v>3.3138707344247198</v>
      </c>
      <c r="F25" s="272">
        <f>D25/'- 7 -'!E25</f>
        <v>418.31871011084985</v>
      </c>
      <c r="G25" s="272">
        <f>SUM('- 27 -'!B25,'- 27 -'!E25,'- 27 -'!H25,'- 28 -'!B25,'- 28 -'!E25)</f>
        <v>7739227</v>
      </c>
      <c r="H25" s="273">
        <f>G25/'- 3 -'!D25*100</f>
        <v>4.1188599021515531</v>
      </c>
      <c r="I25" s="272">
        <f>G25/'- 7 -'!E25</f>
        <v>519.93463218004706</v>
      </c>
    </row>
    <row r="26" spans="1:9" ht="14.1" customHeight="1" x14ac:dyDescent="0.2">
      <c r="A26" s="15" t="s">
        <v>122</v>
      </c>
      <c r="B26" s="16">
        <f>SUM('- 24 -'!H26,'- 24 -'!F26,'- 24 -'!D26,'- 24 -'!B26)</f>
        <v>99500</v>
      </c>
      <c r="C26" s="267">
        <f>B26/'- 3 -'!D26*100</f>
        <v>0.24254928217478997</v>
      </c>
      <c r="D26" s="16">
        <f>SUM('- 25 -'!B26,'- 25 -'!E26,'- 25 -'!H26,'- 26 -'!B26)</f>
        <v>1405416</v>
      </c>
      <c r="E26" s="267">
        <f>D26/'- 3 -'!D26*100</f>
        <v>3.4259562005725086</v>
      </c>
      <c r="F26" s="16">
        <f>D26/'- 7 -'!E26</f>
        <v>495.12629910163821</v>
      </c>
      <c r="G26" s="16">
        <f>SUM('- 27 -'!B26,'- 27 -'!E26,'- 27 -'!H26,'- 28 -'!B26,'- 28 -'!E26)</f>
        <v>1534340</v>
      </c>
      <c r="H26" s="267">
        <f>G26/'- 3 -'!D26*100</f>
        <v>3.740231815196656</v>
      </c>
      <c r="I26" s="16">
        <f>G26/'- 7 -'!E26</f>
        <v>540.54606306147616</v>
      </c>
    </row>
    <row r="27" spans="1:9" ht="14.1" customHeight="1" x14ac:dyDescent="0.2">
      <c r="A27" s="271" t="s">
        <v>123</v>
      </c>
      <c r="B27" s="272">
        <f>SUM('- 24 -'!H27,'- 24 -'!F27,'- 24 -'!D27,'- 24 -'!B27)</f>
        <v>57508</v>
      </c>
      <c r="C27" s="273">
        <f>B27/'- 3 -'!D27*100</f>
        <v>0.13460216258030389</v>
      </c>
      <c r="D27" s="272">
        <f>SUM('- 25 -'!B27,'- 25 -'!E27,'- 25 -'!H27,'- 26 -'!B27)</f>
        <v>1906481</v>
      </c>
      <c r="E27" s="273">
        <f>D27/'- 3 -'!D27*100</f>
        <v>4.4622742143399234</v>
      </c>
      <c r="F27" s="272">
        <f>D27/'- 7 -'!E27</f>
        <v>625.69117164424028</v>
      </c>
      <c r="G27" s="272">
        <f>SUM('- 27 -'!B27,'- 27 -'!E27,'- 27 -'!H27,'- 28 -'!B27,'- 28 -'!E27)</f>
        <v>1709683</v>
      </c>
      <c r="H27" s="273">
        <f>G27/'- 3 -'!D27*100</f>
        <v>4.0016524505596038</v>
      </c>
      <c r="I27" s="272">
        <f>G27/'- 7 -'!E27</f>
        <v>561.10370856580244</v>
      </c>
    </row>
    <row r="28" spans="1:9" ht="14.1" customHeight="1" x14ac:dyDescent="0.2">
      <c r="A28" s="15" t="s">
        <v>124</v>
      </c>
      <c r="B28" s="16">
        <f>SUM('- 24 -'!H28,'- 24 -'!F28,'- 24 -'!D28,'- 24 -'!B28)</f>
        <v>108631</v>
      </c>
      <c r="C28" s="267">
        <f>B28/'- 3 -'!D28*100</f>
        <v>0.37728531975252977</v>
      </c>
      <c r="D28" s="16">
        <f>SUM('- 25 -'!B28,'- 25 -'!E28,'- 25 -'!H28,'- 26 -'!B28)</f>
        <v>1152458</v>
      </c>
      <c r="E28" s="267">
        <f>D28/'- 3 -'!D28*100</f>
        <v>4.002591203536384</v>
      </c>
      <c r="F28" s="16">
        <f>D28/'- 7 -'!E28</f>
        <v>588.89013796627489</v>
      </c>
      <c r="G28" s="16">
        <f>SUM('- 27 -'!B28,'- 27 -'!E28,'- 27 -'!H28,'- 28 -'!B28,'- 28 -'!E28)</f>
        <v>765202</v>
      </c>
      <c r="H28" s="267">
        <f>G28/'- 3 -'!D28*100</f>
        <v>2.6576159774399142</v>
      </c>
      <c r="I28" s="16">
        <f>G28/'- 7 -'!E28</f>
        <v>391.00766479305059</v>
      </c>
    </row>
    <row r="29" spans="1:9" ht="14.1" customHeight="1" x14ac:dyDescent="0.2">
      <c r="A29" s="271" t="s">
        <v>125</v>
      </c>
      <c r="B29" s="272">
        <f>SUM('- 24 -'!H29,'- 24 -'!F29,'- 24 -'!D29,'- 24 -'!B29)</f>
        <v>600538</v>
      </c>
      <c r="C29" s="273">
        <f>B29/'- 3 -'!D29*100</f>
        <v>0.35356511976574079</v>
      </c>
      <c r="D29" s="272">
        <f>SUM('- 25 -'!B29,'- 25 -'!E29,'- 25 -'!H29,'- 26 -'!B29)</f>
        <v>6209318</v>
      </c>
      <c r="E29" s="273">
        <f>D29/'- 3 -'!D29*100</f>
        <v>3.6557191423916051</v>
      </c>
      <c r="F29" s="272">
        <f>D29/'- 7 -'!E29</f>
        <v>459.57841446535764</v>
      </c>
      <c r="G29" s="272">
        <f>SUM('- 27 -'!B29,'- 27 -'!E29,'- 27 -'!H29,'- 28 -'!B29,'- 28 -'!E29)</f>
        <v>6964809</v>
      </c>
      <c r="H29" s="273">
        <f>G29/'- 3 -'!D29*100</f>
        <v>4.1005124209134296</v>
      </c>
      <c r="I29" s="272">
        <f>G29/'- 7 -'!E29</f>
        <v>515.4955628418536</v>
      </c>
    </row>
    <row r="30" spans="1:9" ht="14.1" customHeight="1" x14ac:dyDescent="0.2">
      <c r="A30" s="15" t="s">
        <v>126</v>
      </c>
      <c r="B30" s="16">
        <f>SUM('- 24 -'!H30,'- 24 -'!F30,'- 24 -'!D30,'- 24 -'!B30)</f>
        <v>15300</v>
      </c>
      <c r="C30" s="267">
        <f>B30/'- 3 -'!D30*100</f>
        <v>0.1001433883142353</v>
      </c>
      <c r="D30" s="16">
        <f>SUM('- 25 -'!B30,'- 25 -'!E30,'- 25 -'!H30,'- 26 -'!B30)</f>
        <v>578296</v>
      </c>
      <c r="E30" s="267">
        <f>D30/'- 3 -'!D30*100</f>
        <v>3.785132084220197</v>
      </c>
      <c r="F30" s="16">
        <f>D30/'- 7 -'!E30</f>
        <v>572.57029702970294</v>
      </c>
      <c r="G30" s="16">
        <f>SUM('- 27 -'!B30,'- 27 -'!E30,'- 27 -'!H30,'- 28 -'!B30,'- 28 -'!E30)</f>
        <v>630863</v>
      </c>
      <c r="H30" s="267">
        <f>G30/'- 3 -'!D30*100</f>
        <v>4.1291998942538184</v>
      </c>
      <c r="I30" s="16">
        <f>G30/'- 7 -'!E30</f>
        <v>624.61683168316836</v>
      </c>
    </row>
    <row r="31" spans="1:9" ht="14.1" customHeight="1" x14ac:dyDescent="0.2">
      <c r="A31" s="271" t="s">
        <v>127</v>
      </c>
      <c r="B31" s="272">
        <f>SUM('- 24 -'!H31,'- 24 -'!F31,'- 24 -'!D31,'- 24 -'!B31)</f>
        <v>60944</v>
      </c>
      <c r="C31" s="273">
        <f>B31/'- 3 -'!D31*100</f>
        <v>0.15662029923872728</v>
      </c>
      <c r="D31" s="272">
        <f>SUM('- 25 -'!B31,'- 25 -'!E31,'- 25 -'!H31,'- 26 -'!B31)</f>
        <v>1241620</v>
      </c>
      <c r="E31" s="273">
        <f>D31/'- 3 -'!D31*100</f>
        <v>3.1908456278023847</v>
      </c>
      <c r="F31" s="272">
        <f>D31/'- 7 -'!E31</f>
        <v>382.40167544426993</v>
      </c>
      <c r="G31" s="272">
        <f>SUM('- 27 -'!B31,'- 27 -'!E31,'- 27 -'!H31,'- 28 -'!B31,'- 28 -'!E31)</f>
        <v>1501842</v>
      </c>
      <c r="H31" s="273">
        <f>G31/'- 3 -'!D31*100</f>
        <v>3.8595914847940511</v>
      </c>
      <c r="I31" s="272">
        <f>G31/'- 7 -'!E31</f>
        <v>462.54642890141366</v>
      </c>
    </row>
    <row r="32" spans="1:9" ht="14.1" customHeight="1" x14ac:dyDescent="0.2">
      <c r="A32" s="15" t="s">
        <v>128</v>
      </c>
      <c r="B32" s="16">
        <f>SUM('- 24 -'!H32,'- 24 -'!F32,'- 24 -'!D32,'- 24 -'!B32)</f>
        <v>34543</v>
      </c>
      <c r="C32" s="267">
        <f>B32/'- 3 -'!D32*100</f>
        <v>0.11132313881556796</v>
      </c>
      <c r="D32" s="16">
        <f>SUM('- 25 -'!B32,'- 25 -'!E32,'- 25 -'!H32,'- 26 -'!B32)</f>
        <v>1106443</v>
      </c>
      <c r="E32" s="267">
        <f>D32/'- 3 -'!D32*100</f>
        <v>3.5657791066355977</v>
      </c>
      <c r="F32" s="16">
        <f>D32/'- 7 -'!E32</f>
        <v>488.81952728075987</v>
      </c>
      <c r="G32" s="16">
        <f>SUM('- 27 -'!B32,'- 27 -'!E32,'- 27 -'!H32,'- 28 -'!B32,'- 28 -'!E32)</f>
        <v>1065866</v>
      </c>
      <c r="H32" s="267">
        <f>G32/'- 3 -'!D32*100</f>
        <v>3.435009949245698</v>
      </c>
      <c r="I32" s="16">
        <f>G32/'- 7 -'!E32</f>
        <v>470.89286503203004</v>
      </c>
    </row>
    <row r="33" spans="1:10" ht="14.1" customHeight="1" x14ac:dyDescent="0.2">
      <c r="A33" s="271" t="s">
        <v>129</v>
      </c>
      <c r="B33" s="272">
        <f>SUM('- 24 -'!H33,'- 24 -'!F33,'- 24 -'!D33,'- 24 -'!B33)</f>
        <v>28394</v>
      </c>
      <c r="C33" s="273">
        <f>B33/'- 3 -'!D33*100</f>
        <v>9.955076987588235E-2</v>
      </c>
      <c r="D33" s="272">
        <f>SUM('- 25 -'!B33,'- 25 -'!E33,'- 25 -'!H33,'- 26 -'!B33)</f>
        <v>910625</v>
      </c>
      <c r="E33" s="273">
        <f>D33/'- 3 -'!D33*100</f>
        <v>3.1926963378962232</v>
      </c>
      <c r="F33" s="272">
        <f>D33/'- 7 -'!E33</f>
        <v>443.66626065773448</v>
      </c>
      <c r="G33" s="272">
        <f>SUM('- 27 -'!B33,'- 27 -'!E33,'- 27 -'!H33,'- 28 -'!B33,'- 28 -'!E33)</f>
        <v>726200</v>
      </c>
      <c r="H33" s="273">
        <f>G33/'- 3 -'!D33*100</f>
        <v>2.5460931564367737</v>
      </c>
      <c r="I33" s="272">
        <f>G33/'- 7 -'!E33</f>
        <v>353.8124238733252</v>
      </c>
    </row>
    <row r="34" spans="1:10" ht="14.1" customHeight="1" x14ac:dyDescent="0.2">
      <c r="A34" s="15" t="s">
        <v>130</v>
      </c>
      <c r="B34" s="16">
        <f>SUM('- 24 -'!H34,'- 24 -'!F34,'- 24 -'!D34,'- 24 -'!B34)</f>
        <v>62057</v>
      </c>
      <c r="C34" s="267">
        <f>B34/'- 3 -'!D34*100</f>
        <v>0.19923119239340525</v>
      </c>
      <c r="D34" s="16">
        <f>SUM('- 25 -'!B34,'- 25 -'!E34,'- 25 -'!H34,'- 26 -'!B34)</f>
        <v>1141025</v>
      </c>
      <c r="E34" s="267">
        <f>D34/'- 3 -'!D34*100</f>
        <v>3.6632091673894203</v>
      </c>
      <c r="F34" s="16">
        <f>D34/'- 7 -'!E34</f>
        <v>525.9876457843543</v>
      </c>
      <c r="G34" s="16">
        <f>SUM('- 27 -'!B34,'- 27 -'!E34,'- 27 -'!H34,'- 28 -'!B34,'- 28 -'!E34)</f>
        <v>771496</v>
      </c>
      <c r="H34" s="267">
        <f>G34/'- 3 -'!D34*100</f>
        <v>2.4768530223301575</v>
      </c>
      <c r="I34" s="16">
        <f>G34/'- 7 -'!E34</f>
        <v>355.64283409394733</v>
      </c>
    </row>
    <row r="35" spans="1:10" ht="14.1" customHeight="1" x14ac:dyDescent="0.2">
      <c r="A35" s="271" t="s">
        <v>131</v>
      </c>
      <c r="B35" s="272">
        <f>SUM('- 24 -'!H35,'- 24 -'!F35,'- 24 -'!D35,'- 24 -'!B35)</f>
        <v>597790</v>
      </c>
      <c r="C35" s="273">
        <f>B35/'- 3 -'!D35*100</f>
        <v>0.31313070630085621</v>
      </c>
      <c r="D35" s="272">
        <f>SUM('- 25 -'!B35,'- 25 -'!E35,'- 25 -'!H35,'- 26 -'!B35)</f>
        <v>5130885</v>
      </c>
      <c r="E35" s="273">
        <f>D35/'- 3 -'!D35*100</f>
        <v>2.6876288395564809</v>
      </c>
      <c r="F35" s="272">
        <f>D35/'- 7 -'!E35</f>
        <v>317.81993310208128</v>
      </c>
      <c r="G35" s="272">
        <f>SUM('- 27 -'!B35,'- 27 -'!E35,'- 27 -'!H35,'- 28 -'!B35,'- 28 -'!E35)</f>
        <v>8087243</v>
      </c>
      <c r="H35" s="273">
        <f>G35/'- 3 -'!D35*100</f>
        <v>4.2362102287034835</v>
      </c>
      <c r="I35" s="272">
        <f>G35/'- 7 -'!E35</f>
        <v>500.94418979187316</v>
      </c>
    </row>
    <row r="36" spans="1:10" ht="14.1" customHeight="1" x14ac:dyDescent="0.2">
      <c r="A36" s="15" t="s">
        <v>132</v>
      </c>
      <c r="B36" s="16">
        <f>SUM('- 24 -'!H36,'- 24 -'!F36,'- 24 -'!D36,'- 24 -'!B36)</f>
        <v>32070</v>
      </c>
      <c r="C36" s="267">
        <f>B36/'- 3 -'!D36*100</f>
        <v>0.13303189944829302</v>
      </c>
      <c r="D36" s="16">
        <f>SUM('- 25 -'!B36,'- 25 -'!E36,'- 25 -'!H36,'- 26 -'!B36)</f>
        <v>925160</v>
      </c>
      <c r="E36" s="267">
        <f>D36/'- 3 -'!D36*100</f>
        <v>3.8377234828058242</v>
      </c>
      <c r="F36" s="16">
        <f>D36/'- 7 -'!E36</f>
        <v>543.4126284875183</v>
      </c>
      <c r="G36" s="16">
        <f>SUM('- 27 -'!B36,'- 27 -'!E36,'- 27 -'!H36,'- 28 -'!B36,'- 28 -'!E36)</f>
        <v>512135</v>
      </c>
      <c r="H36" s="267">
        <f>G36/'- 3 -'!D36*100</f>
        <v>2.1244244410337245</v>
      </c>
      <c r="I36" s="16">
        <f>G36/'- 7 -'!E36</f>
        <v>300.81350954478705</v>
      </c>
    </row>
    <row r="37" spans="1:10" ht="14.1" customHeight="1" x14ac:dyDescent="0.2">
      <c r="A37" s="271" t="s">
        <v>133</v>
      </c>
      <c r="B37" s="272">
        <f>SUM('- 24 -'!H37,'- 24 -'!F37,'- 24 -'!D37,'- 24 -'!B37)</f>
        <v>365424</v>
      </c>
      <c r="C37" s="273">
        <f>B37/'- 3 -'!D37*100</f>
        <v>0.68886057050648852</v>
      </c>
      <c r="D37" s="272">
        <f>SUM('- 25 -'!B37,'- 25 -'!E37,'- 25 -'!H37,'- 26 -'!B37)</f>
        <v>1716100</v>
      </c>
      <c r="E37" s="273">
        <f>D37/'- 3 -'!D37*100</f>
        <v>3.2350191149081198</v>
      </c>
      <c r="F37" s="272">
        <f>D37/'- 7 -'!E37</f>
        <v>402.36811254396247</v>
      </c>
      <c r="G37" s="272">
        <f>SUM('- 27 -'!B37,'- 27 -'!E37,'- 27 -'!H37,'- 28 -'!B37,'- 28 -'!E37)</f>
        <v>1544032</v>
      </c>
      <c r="H37" s="273">
        <f>G37/'- 3 -'!D37*100</f>
        <v>2.9106538278828826</v>
      </c>
      <c r="I37" s="272">
        <f>G37/'- 7 -'!E37</f>
        <v>362.02391559202812</v>
      </c>
    </row>
    <row r="38" spans="1:10" ht="14.1" customHeight="1" x14ac:dyDescent="0.2">
      <c r="A38" s="15" t="s">
        <v>134</v>
      </c>
      <c r="B38" s="16">
        <f>SUM('- 24 -'!H38,'- 24 -'!F38,'- 24 -'!D38,'- 24 -'!B38)</f>
        <v>2030760</v>
      </c>
      <c r="C38" s="267">
        <f>B38/'- 3 -'!D38*100</f>
        <v>1.4029247841202477</v>
      </c>
      <c r="D38" s="16">
        <f>SUM('- 25 -'!B38,'- 25 -'!E38,'- 25 -'!H38,'- 26 -'!B38)</f>
        <v>4246990</v>
      </c>
      <c r="E38" s="267">
        <f>D38/'- 3 -'!D38*100</f>
        <v>2.9339791648992746</v>
      </c>
      <c r="F38" s="16">
        <f>D38/'- 7 -'!E38</f>
        <v>378.08154544645242</v>
      </c>
      <c r="G38" s="16">
        <f>SUM('- 27 -'!B38,'- 27 -'!E38,'- 27 -'!H38,'- 28 -'!B38,'- 28 -'!E38)</f>
        <v>5990870</v>
      </c>
      <c r="H38" s="267">
        <f>G38/'- 3 -'!D38*100</f>
        <v>4.1387165403309449</v>
      </c>
      <c r="I38" s="16">
        <f>G38/'- 7 -'!E38</f>
        <v>533.32769518383338</v>
      </c>
    </row>
    <row r="39" spans="1:10" ht="14.1" customHeight="1" x14ac:dyDescent="0.2">
      <c r="A39" s="271" t="s">
        <v>135</v>
      </c>
      <c r="B39" s="272">
        <f>SUM('- 24 -'!H39,'- 24 -'!F39,'- 24 -'!D39,'- 24 -'!B39)</f>
        <v>159400</v>
      </c>
      <c r="C39" s="273">
        <f>B39/'- 3 -'!D39*100</f>
        <v>0.68405476077223171</v>
      </c>
      <c r="D39" s="272">
        <f>SUM('- 25 -'!B39,'- 25 -'!E39,'- 25 -'!H39,'- 26 -'!B39)</f>
        <v>890400</v>
      </c>
      <c r="E39" s="273">
        <f>D39/'- 3 -'!D39*100</f>
        <v>3.8210938456185386</v>
      </c>
      <c r="F39" s="272">
        <f>D39/'- 7 -'!E39</f>
        <v>588.49966953073363</v>
      </c>
      <c r="G39" s="272">
        <f>SUM('- 27 -'!B39,'- 27 -'!E39,'- 27 -'!H39,'- 28 -'!B39,'- 28 -'!E39)</f>
        <v>560600</v>
      </c>
      <c r="H39" s="273">
        <f>G39/'- 3 -'!D39*100</f>
        <v>2.4057785375716003</v>
      </c>
      <c r="I39" s="272">
        <f>G39/'- 7 -'!E39</f>
        <v>370.52214144084599</v>
      </c>
    </row>
    <row r="40" spans="1:10" ht="14.1" customHeight="1" x14ac:dyDescent="0.2">
      <c r="A40" s="15" t="s">
        <v>136</v>
      </c>
      <c r="B40" s="16">
        <f>SUM('- 24 -'!H40,'- 24 -'!F40,'- 24 -'!D40,'- 24 -'!B40)</f>
        <v>937773</v>
      </c>
      <c r="C40" s="267">
        <f>B40/'- 3 -'!D40*100</f>
        <v>0.86554099041599419</v>
      </c>
      <c r="D40" s="16">
        <f>SUM('- 25 -'!B40,'- 25 -'!E40,'- 25 -'!H40,'- 26 -'!B40)</f>
        <v>3676148</v>
      </c>
      <c r="E40" s="267">
        <f>D40/'- 3 -'!D40*100</f>
        <v>3.3929925268010237</v>
      </c>
      <c r="F40" s="16">
        <f>D40/'- 7 -'!E40</f>
        <v>440.17817158594266</v>
      </c>
      <c r="G40" s="16">
        <f>SUM('- 27 -'!B40,'- 27 -'!E40,'- 27 -'!H40,'- 28 -'!B40,'- 28 -'!E40)</f>
        <v>3473990</v>
      </c>
      <c r="H40" s="267">
        <f>G40/'- 3 -'!D40*100</f>
        <v>3.2064057562920447</v>
      </c>
      <c r="I40" s="16">
        <f>G40/'- 7 -'!E40</f>
        <v>415.97198108124292</v>
      </c>
    </row>
    <row r="41" spans="1:10" ht="14.1" customHeight="1" x14ac:dyDescent="0.2">
      <c r="A41" s="271" t="s">
        <v>137</v>
      </c>
      <c r="B41" s="272">
        <f>SUM('- 24 -'!H41,'- 24 -'!F41,'- 24 -'!D41,'- 24 -'!B41)</f>
        <v>300914</v>
      </c>
      <c r="C41" s="273">
        <f>B41/'- 3 -'!D41*100</f>
        <v>0.4628821334178676</v>
      </c>
      <c r="D41" s="272">
        <f>SUM('- 25 -'!B41,'- 25 -'!E41,'- 25 -'!H41,'- 26 -'!B41)</f>
        <v>2118543</v>
      </c>
      <c r="E41" s="273">
        <f>D41/'- 3 -'!D41*100</f>
        <v>3.2588570275144702</v>
      </c>
      <c r="F41" s="272">
        <f>D41/'- 7 -'!E41</f>
        <v>486.01582931865107</v>
      </c>
      <c r="G41" s="272">
        <f>SUM('- 27 -'!B41,'- 27 -'!E41,'- 27 -'!H41,'- 28 -'!B41,'- 28 -'!E41)</f>
        <v>1573993</v>
      </c>
      <c r="H41" s="273">
        <f>G41/'- 3 -'!D41*100</f>
        <v>2.4212008674398322</v>
      </c>
      <c r="I41" s="272">
        <f>G41/'- 7 -'!E41</f>
        <v>361.09038770360172</v>
      </c>
    </row>
    <row r="42" spans="1:10" ht="14.1" customHeight="1" x14ac:dyDescent="0.2">
      <c r="A42" s="15" t="s">
        <v>138</v>
      </c>
      <c r="B42" s="16">
        <f>SUM('- 24 -'!H42,'- 24 -'!F42,'- 24 -'!D42,'- 24 -'!B42)</f>
        <v>65485</v>
      </c>
      <c r="C42" s="267">
        <f>B42/'- 3 -'!D42*100</f>
        <v>0.30754307810396608</v>
      </c>
      <c r="D42" s="16">
        <f>SUM('- 25 -'!B42,'- 25 -'!E42,'- 25 -'!H42,'- 26 -'!B42)</f>
        <v>779999</v>
      </c>
      <c r="E42" s="267">
        <f>D42/'- 3 -'!D42*100</f>
        <v>3.6631792529283871</v>
      </c>
      <c r="F42" s="16">
        <f>D42/'- 7 -'!E42</f>
        <v>554.76458036984354</v>
      </c>
      <c r="G42" s="16">
        <f>SUM('- 27 -'!B42,'- 27 -'!E42,'- 27 -'!H42,'- 28 -'!B42,'- 28 -'!E42)</f>
        <v>492139</v>
      </c>
      <c r="H42" s="267">
        <f>G42/'- 3 -'!D42*100</f>
        <v>2.3112765200428762</v>
      </c>
      <c r="I42" s="16">
        <f>G42/'- 7 -'!E42</f>
        <v>350.02773826458036</v>
      </c>
    </row>
    <row r="43" spans="1:10" ht="14.1" customHeight="1" x14ac:dyDescent="0.2">
      <c r="A43" s="271" t="s">
        <v>139</v>
      </c>
      <c r="B43" s="272">
        <f>SUM('- 24 -'!H43,'- 24 -'!F43,'- 24 -'!D43,'- 24 -'!B43)</f>
        <v>12592</v>
      </c>
      <c r="C43" s="273">
        <f>B43/'- 3 -'!D43*100</f>
        <v>9.1379758149885013E-2</v>
      </c>
      <c r="D43" s="272">
        <f>SUM('- 25 -'!B43,'- 25 -'!E43,'- 25 -'!H43,'- 26 -'!B43)</f>
        <v>499710</v>
      </c>
      <c r="E43" s="273">
        <f>D43/'- 3 -'!D43*100</f>
        <v>3.6263801576460484</v>
      </c>
      <c r="F43" s="272">
        <f>D43/'- 7 -'!E43</f>
        <v>526.28751974723536</v>
      </c>
      <c r="G43" s="272">
        <f>SUM('- 27 -'!B43,'- 27 -'!E43,'- 27 -'!H43,'- 28 -'!B43,'- 28 -'!E43)</f>
        <v>468667</v>
      </c>
      <c r="H43" s="273">
        <f>G43/'- 3 -'!D43*100</f>
        <v>3.4011020578805713</v>
      </c>
      <c r="I43" s="272">
        <f>G43/'- 7 -'!E43</f>
        <v>493.59347024749866</v>
      </c>
    </row>
    <row r="44" spans="1:10" ht="14.1" customHeight="1" x14ac:dyDescent="0.2">
      <c r="A44" s="15" t="s">
        <v>140</v>
      </c>
      <c r="B44" s="16">
        <f>SUM('- 24 -'!H44,'- 24 -'!F44,'- 24 -'!D44,'- 24 -'!B44)</f>
        <v>18500</v>
      </c>
      <c r="C44" s="267">
        <f>B44/'- 3 -'!D44*100</f>
        <v>0.16396964664807046</v>
      </c>
      <c r="D44" s="16">
        <f>SUM('- 25 -'!B44,'- 25 -'!E44,'- 25 -'!H44,'- 26 -'!B44)</f>
        <v>400459</v>
      </c>
      <c r="E44" s="267">
        <f>D44/'- 3 -'!D44*100</f>
        <v>3.5493578771372776</v>
      </c>
      <c r="F44" s="16">
        <f>D44/'- 7 -'!E44</f>
        <v>576.61483081353492</v>
      </c>
      <c r="G44" s="16">
        <f>SUM('- 27 -'!B44,'- 27 -'!E44,'- 27 -'!H44,'- 28 -'!B44,'- 28 -'!E44)</f>
        <v>248851</v>
      </c>
      <c r="H44" s="267">
        <f>G44/'- 3 -'!D44*100</f>
        <v>2.2056221912442693</v>
      </c>
      <c r="I44" s="16">
        <f>G44/'- 7 -'!E44</f>
        <v>358.31677465802738</v>
      </c>
    </row>
    <row r="45" spans="1:10" ht="14.1" customHeight="1" x14ac:dyDescent="0.2">
      <c r="A45" s="271" t="s">
        <v>141</v>
      </c>
      <c r="B45" s="272">
        <f>SUM('- 24 -'!H45,'- 24 -'!F45,'- 24 -'!D45,'- 24 -'!B45)</f>
        <v>48442</v>
      </c>
      <c r="C45" s="273">
        <f>B45/'- 3 -'!D45*100</f>
        <v>0.23379282698780612</v>
      </c>
      <c r="D45" s="272">
        <f>SUM('- 25 -'!B45,'- 25 -'!E45,'- 25 -'!H45,'- 26 -'!B45)</f>
        <v>766640</v>
      </c>
      <c r="E45" s="273">
        <f>D45/'- 3 -'!D45*100</f>
        <v>3.6999903571679877</v>
      </c>
      <c r="F45" s="272">
        <f>D45/'- 7 -'!E45</f>
        <v>426.384872080089</v>
      </c>
      <c r="G45" s="272">
        <f>SUM('- 27 -'!B45,'- 27 -'!E45,'- 27 -'!H45,'- 28 -'!B45,'- 28 -'!E45)</f>
        <v>521324</v>
      </c>
      <c r="H45" s="273">
        <f>G45/'- 3 -'!D45*100</f>
        <v>2.5160359138060162</v>
      </c>
      <c r="I45" s="272">
        <f>G45/'- 7 -'!E45</f>
        <v>289.94660734149056</v>
      </c>
    </row>
    <row r="46" spans="1:10" ht="14.1" customHeight="1" x14ac:dyDescent="0.2">
      <c r="A46" s="15" t="s">
        <v>142</v>
      </c>
      <c r="B46" s="16">
        <f>SUM('- 24 -'!H46,'- 24 -'!F46,'- 24 -'!D46,'- 24 -'!B46)</f>
        <v>9618600</v>
      </c>
      <c r="C46" s="267">
        <f>B46/'- 3 -'!D46*100</f>
        <v>2.366292109124577</v>
      </c>
      <c r="D46" s="16">
        <f>SUM('- 25 -'!B46,'- 25 -'!E46,'- 25 -'!H46,'- 26 -'!B46)</f>
        <v>11704900</v>
      </c>
      <c r="E46" s="267">
        <f>D46/'- 3 -'!D46*100</f>
        <v>2.8795471802645149</v>
      </c>
      <c r="F46" s="16">
        <f>D46/'- 7 -'!E46</f>
        <v>386.87489671128736</v>
      </c>
      <c r="G46" s="16">
        <f>SUM('- 27 -'!B46,'- 27 -'!E46,'- 27 -'!H46,'- 28 -'!B46,'- 28 -'!E46)</f>
        <v>10272600</v>
      </c>
      <c r="H46" s="267">
        <f>G46/'- 3 -'!D46*100</f>
        <v>2.5271840309601323</v>
      </c>
      <c r="I46" s="16">
        <f>G46/'- 7 -'!E46</f>
        <v>339.53396132870603</v>
      </c>
    </row>
    <row r="47" spans="1:10" ht="5.0999999999999996" customHeight="1" x14ac:dyDescent="0.2">
      <c r="A47"/>
      <c r="B47"/>
      <c r="C47"/>
      <c r="D47"/>
      <c r="E47"/>
      <c r="F47"/>
      <c r="G47"/>
      <c r="H47"/>
      <c r="I47"/>
      <c r="J47"/>
    </row>
    <row r="48" spans="1:10" ht="14.1" customHeight="1" x14ac:dyDescent="0.2">
      <c r="A48" s="274" t="s">
        <v>143</v>
      </c>
      <c r="B48" s="275">
        <f>SUM(B11:B46)</f>
        <v>23505984</v>
      </c>
      <c r="C48" s="276">
        <f>B48/'- 3 -'!D48*100</f>
        <v>0.97480847836954254</v>
      </c>
      <c r="D48" s="275">
        <f>SUM(D11:D46)</f>
        <v>81701947</v>
      </c>
      <c r="E48" s="276">
        <f>D48/'- 3 -'!D48*100</f>
        <v>3.3882329978144723</v>
      </c>
      <c r="F48" s="275">
        <f>D48/'- 7 -'!E48</f>
        <v>456.24429429010189</v>
      </c>
      <c r="G48" s="275">
        <f>SUM(G11:G46)</f>
        <v>82361972</v>
      </c>
      <c r="H48" s="276">
        <f>G48/'- 3 -'!D48*100</f>
        <v>3.415604664788118</v>
      </c>
      <c r="I48" s="275">
        <f>G48/'- 7 -'!E48</f>
        <v>459.93004048582998</v>
      </c>
    </row>
    <row r="49" spans="1:9" ht="5.0999999999999996" customHeight="1" x14ac:dyDescent="0.2">
      <c r="A49" s="17" t="s">
        <v>1</v>
      </c>
      <c r="B49" s="18"/>
      <c r="C49" s="266"/>
      <c r="D49" s="18"/>
      <c r="E49" s="266"/>
      <c r="G49" s="18"/>
      <c r="H49" s="266"/>
      <c r="I49" s="18"/>
    </row>
    <row r="50" spans="1:9" ht="14.1" customHeight="1" x14ac:dyDescent="0.2">
      <c r="A50" s="15" t="s">
        <v>144</v>
      </c>
      <c r="B50" s="16">
        <f>SUM('- 24 -'!H50,'- 24 -'!F50,'- 24 -'!D50,'- 24 -'!B50)</f>
        <v>192900</v>
      </c>
      <c r="C50" s="267">
        <f>B50/'- 3 -'!D50*100</f>
        <v>5.3689489384844817</v>
      </c>
      <c r="D50" s="16">
        <f>SUM('- 25 -'!B50,'- 25 -'!E50,'- 25 -'!H50,'- 26 -'!B50)</f>
        <v>145950</v>
      </c>
      <c r="E50" s="267">
        <f>D50/'- 3 -'!D50*100</f>
        <v>4.0621985358828931</v>
      </c>
      <c r="F50" s="16">
        <f>D50/'- 7 -'!E50</f>
        <v>868.75</v>
      </c>
      <c r="G50" s="16">
        <f>SUM('- 27 -'!B50,'- 27 -'!E50,'- 27 -'!H50,'- 28 -'!B50,'- 28 -'!E50)</f>
        <v>130900</v>
      </c>
      <c r="H50" s="267">
        <f>G50/'- 3 -'!D50*100</f>
        <v>3.6433147540052806</v>
      </c>
      <c r="I50" s="16">
        <f>G50/'- 7 -'!E50</f>
        <v>779.16666666666663</v>
      </c>
    </row>
    <row r="51" spans="1:9" ht="14.1" customHeight="1" x14ac:dyDescent="0.2">
      <c r="A51" s="360" t="s">
        <v>514</v>
      </c>
      <c r="B51" s="272">
        <f>SUM('- 24 -'!H51,'- 24 -'!F51,'- 24 -'!D51,'- 24 -'!B51)</f>
        <v>10949837</v>
      </c>
      <c r="C51" s="273">
        <f>B51/'- 3 -'!D51*100</f>
        <v>33.328109315390876</v>
      </c>
      <c r="D51" s="272">
        <f>SUM('- 25 -'!B51,'- 25 -'!E51,'- 25 -'!H51,'- 26 -'!B51)</f>
        <v>6136201</v>
      </c>
      <c r="E51" s="273">
        <f>D51/'- 3 -'!D51*100</f>
        <v>18.676805664706318</v>
      </c>
      <c r="F51" s="272">
        <f>D51/'- 7 -'!E51</f>
        <v>4478.978832116788</v>
      </c>
      <c r="G51" s="272">
        <f>SUM('- 27 -'!B51,'- 27 -'!E51,'- 27 -'!H51,'- 28 -'!B51,'- 28 -'!E51)</f>
        <v>654211</v>
      </c>
      <c r="H51" s="273">
        <f>G51/'- 3 -'!D51*100</f>
        <v>1.9912274240549133</v>
      </c>
      <c r="I51" s="272">
        <f>G51/'- 7 -'!E51</f>
        <v>477.52627737226277</v>
      </c>
    </row>
    <row r="52" spans="1:9" ht="50.1" customHeight="1" x14ac:dyDescent="0.2"/>
    <row r="53" spans="1:9" ht="15" customHeight="1" x14ac:dyDescent="0.2">
      <c r="E53" s="126"/>
    </row>
    <row r="54" spans="1:9" ht="14.45" customHeight="1" x14ac:dyDescent="0.2">
      <c r="B54" s="72"/>
      <c r="C54" s="72"/>
      <c r="D54" s="72"/>
      <c r="E54" s="72"/>
      <c r="F54" s="72"/>
      <c r="G54" s="72"/>
      <c r="H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C7"/>
    <mergeCell ref="D6:F7"/>
    <mergeCell ref="G6:I7"/>
    <mergeCell ref="F8:F9"/>
    <mergeCell ref="I8:I9"/>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9"/>
  <sheetViews>
    <sheetView showGridLines="0" showZeros="0" workbookViewId="0"/>
  </sheetViews>
  <sheetFormatPr defaultColWidth="15.83203125" defaultRowHeight="12" x14ac:dyDescent="0.2"/>
  <cols>
    <col min="1" max="1" width="32.83203125" style="1" customWidth="1"/>
    <col min="2" max="2" width="13" style="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AEXP_BF</f>
        <v>ANALYSIS OF EXPENSE BY FUNCTION</v>
      </c>
      <c r="C2" s="6"/>
      <c r="D2" s="6"/>
      <c r="E2" s="6"/>
      <c r="F2" s="6"/>
      <c r="G2" s="6"/>
      <c r="H2" s="85"/>
      <c r="I2" s="85"/>
      <c r="J2" s="150" t="s">
        <v>3</v>
      </c>
    </row>
    <row r="3" spans="1:10" ht="15.95" customHeight="1" x14ac:dyDescent="0.2">
      <c r="A3" s="135"/>
      <c r="B3" s="7" t="str">
        <f>+'- 16 -'!B3</f>
        <v>OPERATING FUND 2018/2019 BUDGET</v>
      </c>
      <c r="C3" s="8"/>
      <c r="D3" s="8"/>
      <c r="E3" s="8"/>
      <c r="F3" s="8"/>
      <c r="G3" s="8"/>
      <c r="H3" s="87"/>
      <c r="I3" s="87"/>
      <c r="J3" s="81"/>
    </row>
    <row r="4" spans="1:10" ht="15.95" customHeight="1" x14ac:dyDescent="0.2">
      <c r="B4" s="4"/>
      <c r="C4" s="4"/>
      <c r="D4" s="4"/>
      <c r="E4" s="4"/>
      <c r="F4" s="4"/>
      <c r="G4" s="4"/>
      <c r="H4" s="4"/>
      <c r="I4" s="4"/>
      <c r="J4" s="4"/>
    </row>
    <row r="5" spans="1:10" ht="15.95" customHeight="1" x14ac:dyDescent="0.2">
      <c r="B5" s="4"/>
      <c r="C5" s="4"/>
      <c r="D5" s="4"/>
      <c r="E5" s="4"/>
      <c r="F5" s="4"/>
      <c r="G5" s="4"/>
      <c r="H5" s="4"/>
      <c r="I5" s="4"/>
      <c r="J5" s="4"/>
    </row>
    <row r="6" spans="1:10" ht="15.95" customHeight="1" x14ac:dyDescent="0.2">
      <c r="B6" s="611" t="s">
        <v>401</v>
      </c>
      <c r="C6" s="621"/>
      <c r="D6" s="612"/>
      <c r="E6" s="615" t="s">
        <v>68</v>
      </c>
      <c r="F6" s="621"/>
      <c r="G6" s="612"/>
      <c r="H6" s="617" t="s">
        <v>24</v>
      </c>
      <c r="I6" s="623"/>
      <c r="J6" s="624"/>
    </row>
    <row r="7" spans="1:10" ht="15.95" customHeight="1" x14ac:dyDescent="0.2">
      <c r="B7" s="613"/>
      <c r="C7" s="622"/>
      <c r="D7" s="614"/>
      <c r="E7" s="613"/>
      <c r="F7" s="622"/>
      <c r="G7" s="614"/>
      <c r="H7" s="625"/>
      <c r="I7" s="626"/>
      <c r="J7" s="627"/>
    </row>
    <row r="8" spans="1:10" ht="15.95" customHeight="1" x14ac:dyDescent="0.2">
      <c r="A8" s="82"/>
      <c r="B8" s="138"/>
      <c r="C8" s="137"/>
      <c r="D8" s="529" t="s">
        <v>396</v>
      </c>
      <c r="E8" s="138"/>
      <c r="F8" s="137"/>
      <c r="G8" s="529" t="s">
        <v>396</v>
      </c>
      <c r="H8" s="138"/>
      <c r="I8" s="137"/>
      <c r="J8" s="529" t="s">
        <v>396</v>
      </c>
    </row>
    <row r="9" spans="1:10" ht="15.95" customHeight="1" x14ac:dyDescent="0.2">
      <c r="A9" s="27" t="s">
        <v>37</v>
      </c>
      <c r="B9" s="89" t="s">
        <v>38</v>
      </c>
      <c r="C9" s="89" t="s">
        <v>39</v>
      </c>
      <c r="D9" s="569"/>
      <c r="E9" s="89" t="s">
        <v>38</v>
      </c>
      <c r="F9" s="89" t="s">
        <v>39</v>
      </c>
      <c r="G9" s="531"/>
      <c r="H9" s="89" t="s">
        <v>38</v>
      </c>
      <c r="I9" s="89" t="s">
        <v>39</v>
      </c>
      <c r="J9" s="531"/>
    </row>
    <row r="10" spans="1:10" ht="5.0999999999999996" customHeight="1" x14ac:dyDescent="0.2">
      <c r="A10" s="29"/>
    </row>
    <row r="11" spans="1:10" ht="14.1" customHeight="1" x14ac:dyDescent="0.2">
      <c r="A11" s="271" t="s">
        <v>108</v>
      </c>
      <c r="B11" s="272">
        <f>SUM('- 30 -'!D11,'- 30 -'!B11,'- 29 -'!F11,'- 29 -'!D11,'- 29 -'!B11)</f>
        <v>1313897</v>
      </c>
      <c r="C11" s="273">
        <f>B11/'- 3 -'!D11*100</f>
        <v>6.4558389927079656</v>
      </c>
      <c r="D11" s="272">
        <f>B11/'- 7 -'!E11</f>
        <v>728.52619905738845</v>
      </c>
      <c r="E11" s="272">
        <f>SUM('- 32 -'!D11,'- 32 -'!B11,'- 31 -'!F11,'- 31 -'!D11,'- 31 -'!B11)</f>
        <v>1898380</v>
      </c>
      <c r="F11" s="273">
        <f>E11/'- 3 -'!D11*100</f>
        <v>9.3276989193041384</v>
      </c>
      <c r="G11" s="272">
        <f>E11/'- 7 -'!E11</f>
        <v>1052.6088161907403</v>
      </c>
      <c r="H11" s="272">
        <f>SUM('- 33 -'!B11,'- 33 -'!D11)</f>
        <v>356500</v>
      </c>
      <c r="I11" s="273">
        <f>H11/'- 3 -'!D11*100</f>
        <v>1.7516644005583313</v>
      </c>
      <c r="J11" s="272">
        <f>H11/'- 7 -'!E11</f>
        <v>197.67119489880787</v>
      </c>
    </row>
    <row r="12" spans="1:10" ht="14.1" customHeight="1" x14ac:dyDescent="0.2">
      <c r="A12" s="15" t="s">
        <v>109</v>
      </c>
      <c r="B12" s="16">
        <f>SUM('- 30 -'!D12,'- 30 -'!B12,'- 29 -'!F12,'- 29 -'!D12,'- 29 -'!B12)</f>
        <v>2468084</v>
      </c>
      <c r="C12" s="267">
        <f>B12/'- 3 -'!D12*100</f>
        <v>7.0686185127405361</v>
      </c>
      <c r="D12" s="16">
        <f>B12/'- 7 -'!E12</f>
        <v>1158.4529453180005</v>
      </c>
      <c r="E12" s="16">
        <f>SUM('- 32 -'!D12,'- 32 -'!B12,'- 31 -'!F12,'- 31 -'!D12,'- 31 -'!B12)</f>
        <v>3464493</v>
      </c>
      <c r="F12" s="267">
        <f>E12/'- 3 -'!D12*100</f>
        <v>9.9223443598597125</v>
      </c>
      <c r="G12" s="16">
        <f>E12/'- 7 -'!E12</f>
        <v>1626.1408120159588</v>
      </c>
      <c r="H12" s="16">
        <f>SUM('- 33 -'!B12,'- 33 -'!D12)</f>
        <v>552056</v>
      </c>
      <c r="I12" s="267">
        <f>H12/'- 3 -'!D12*100</f>
        <v>1.5810941854772731</v>
      </c>
      <c r="J12" s="16">
        <f>H12/'- 7 -'!E12</f>
        <v>259.12039427364471</v>
      </c>
    </row>
    <row r="13" spans="1:10" ht="14.1" customHeight="1" x14ac:dyDescent="0.2">
      <c r="A13" s="271" t="s">
        <v>110</v>
      </c>
      <c r="B13" s="272">
        <f>SUM('- 30 -'!D13,'- 30 -'!B13,'- 29 -'!F13,'- 29 -'!D13,'- 29 -'!B13)</f>
        <v>2579100</v>
      </c>
      <c r="C13" s="273">
        <f>B13/'- 3 -'!D13*100</f>
        <v>2.4771837078899903</v>
      </c>
      <c r="D13" s="272">
        <f>B13/'- 7 -'!E13</f>
        <v>300.10472422620433</v>
      </c>
      <c r="E13" s="272">
        <f>SUM('- 32 -'!D13,'- 32 -'!B13,'- 31 -'!F13,'- 31 -'!D13,'- 31 -'!B13)</f>
        <v>8691600</v>
      </c>
      <c r="F13" s="273">
        <f>E13/'- 3 -'!D13*100</f>
        <v>8.3481407915538899</v>
      </c>
      <c r="G13" s="272">
        <f>E13/'- 7 -'!E13</f>
        <v>1011.3567605306027</v>
      </c>
      <c r="H13" s="272">
        <f>SUM('- 33 -'!B13,'- 33 -'!D13)</f>
        <v>1795900</v>
      </c>
      <c r="I13" s="273">
        <f>H13/'- 3 -'!D13*100</f>
        <v>1.7249328141598359</v>
      </c>
      <c r="J13" s="272">
        <f>H13/'- 7 -'!E13</f>
        <v>208.97137537817082</v>
      </c>
    </row>
    <row r="14" spans="1:10" ht="14.1" customHeight="1" x14ac:dyDescent="0.2">
      <c r="A14" s="15" t="s">
        <v>319</v>
      </c>
      <c r="B14" s="16">
        <f>SUM('- 30 -'!D14,'- 30 -'!B14,'- 29 -'!F14,'- 29 -'!D14,'- 29 -'!B14)</f>
        <v>9553821</v>
      </c>
      <c r="C14" s="267">
        <f>B14/'- 3 -'!D14*100</f>
        <v>10.236940209748699</v>
      </c>
      <c r="D14" s="16">
        <f>B14/'- 7 -'!E14</f>
        <v>1650.0554404145078</v>
      </c>
      <c r="E14" s="16">
        <f>SUM('- 32 -'!D14,'- 32 -'!B14,'- 31 -'!F14,'- 31 -'!D14,'- 31 -'!B14)</f>
        <v>10497161</v>
      </c>
      <c r="F14" s="267">
        <f>E14/'- 3 -'!D14*100</f>
        <v>11.247731094093751</v>
      </c>
      <c r="G14" s="16">
        <f>E14/'- 7 -'!E14</f>
        <v>1812.9811744386875</v>
      </c>
      <c r="H14" s="16">
        <f>SUM('- 33 -'!B14,'- 33 -'!D14)</f>
        <v>1430557</v>
      </c>
      <c r="I14" s="267">
        <f>H14/'- 3 -'!D14*100</f>
        <v>1.5328449712044498</v>
      </c>
      <c r="J14" s="16">
        <f>H14/'- 7 -'!E14</f>
        <v>247.07374784110536</v>
      </c>
    </row>
    <row r="15" spans="1:10" ht="14.1" customHeight="1" x14ac:dyDescent="0.2">
      <c r="A15" s="271" t="s">
        <v>111</v>
      </c>
      <c r="B15" s="272">
        <f>SUM('- 30 -'!D15,'- 30 -'!B15,'- 29 -'!F15,'- 29 -'!D15,'- 29 -'!B15)</f>
        <v>1645930</v>
      </c>
      <c r="C15" s="273">
        <f>B15/'- 3 -'!D15*100</f>
        <v>7.9206355141464195</v>
      </c>
      <c r="D15" s="272">
        <f>B15/'- 7 -'!E15</f>
        <v>1220.1111934766493</v>
      </c>
      <c r="E15" s="272">
        <f>SUM('- 32 -'!D15,'- 32 -'!B15,'- 31 -'!F15,'- 31 -'!D15,'- 31 -'!B15)</f>
        <v>2557365</v>
      </c>
      <c r="F15" s="273">
        <f>E15/'- 3 -'!D15*100</f>
        <v>12.306693505577428</v>
      </c>
      <c r="G15" s="272">
        <f>E15/'- 7 -'!E15</f>
        <v>1895.7487027427724</v>
      </c>
      <c r="H15" s="272">
        <f>SUM('- 33 -'!B15,'- 33 -'!D15)</f>
        <v>323000</v>
      </c>
      <c r="I15" s="273">
        <f>H15/'- 3 -'!D15*100</f>
        <v>1.554358490986429</v>
      </c>
      <c r="J15" s="272">
        <f>H15/'- 7 -'!E15</f>
        <v>239.43661971830986</v>
      </c>
    </row>
    <row r="16" spans="1:10" ht="14.1" customHeight="1" x14ac:dyDescent="0.2">
      <c r="A16" s="15" t="s">
        <v>112</v>
      </c>
      <c r="B16" s="16">
        <f>SUM('- 30 -'!D16,'- 30 -'!B16,'- 29 -'!F16,'- 29 -'!D16,'- 29 -'!B16)</f>
        <v>548421</v>
      </c>
      <c r="C16" s="267">
        <f>B16/'- 3 -'!D16*100</f>
        <v>3.6887396051343351</v>
      </c>
      <c r="D16" s="16">
        <f>B16/'- 7 -'!E16</f>
        <v>594.17226435536293</v>
      </c>
      <c r="E16" s="16">
        <f>SUM('- 32 -'!D16,'- 32 -'!B16,'- 31 -'!F16,'- 31 -'!D16,'- 31 -'!B16)</f>
        <v>2291727</v>
      </c>
      <c r="F16" s="267">
        <f>E16/'- 3 -'!D16*100</f>
        <v>15.414406357626156</v>
      </c>
      <c r="G16" s="16">
        <f>E16/'- 7 -'!E16</f>
        <v>2482.9111592632721</v>
      </c>
      <c r="H16" s="16">
        <f>SUM('- 33 -'!B16,'- 33 -'!D16)</f>
        <v>241064</v>
      </c>
      <c r="I16" s="267">
        <f>H16/'- 3 -'!D16*100</f>
        <v>1.6214228196442211</v>
      </c>
      <c r="J16" s="16">
        <f>H16/'- 7 -'!E16</f>
        <v>261.1744312026002</v>
      </c>
    </row>
    <row r="17" spans="1:10" ht="14.1" customHeight="1" x14ac:dyDescent="0.2">
      <c r="A17" s="271" t="s">
        <v>113</v>
      </c>
      <c r="B17" s="272">
        <f>SUM('- 30 -'!D17,'- 30 -'!B17,'- 29 -'!F17,'- 29 -'!D17,'- 29 -'!B17)</f>
        <v>1421800</v>
      </c>
      <c r="C17" s="273">
        <f>B17/'- 3 -'!D17*100</f>
        <v>7.6028906170875636</v>
      </c>
      <c r="D17" s="272">
        <f>B17/'- 7 -'!E17</f>
        <v>1019.9426111908178</v>
      </c>
      <c r="E17" s="272">
        <f>SUM('- 32 -'!D17,'- 32 -'!B17,'- 31 -'!F17,'- 31 -'!D17,'- 31 -'!B17)</f>
        <v>1958540</v>
      </c>
      <c r="F17" s="273">
        <f>E17/'- 3 -'!D17*100</f>
        <v>10.473037972422757</v>
      </c>
      <c r="G17" s="272">
        <f>E17/'- 7 -'!E17</f>
        <v>1404.9784791965567</v>
      </c>
      <c r="H17" s="272">
        <f>SUM('- 33 -'!B17,'- 33 -'!D17)</f>
        <v>377000</v>
      </c>
      <c r="I17" s="273">
        <f>H17/'- 3 -'!D17*100</f>
        <v>2.0159584770305328</v>
      </c>
      <c r="J17" s="272">
        <f>H17/'- 7 -'!E17</f>
        <v>270.44476327116212</v>
      </c>
    </row>
    <row r="18" spans="1:10" ht="14.1" customHeight="1" x14ac:dyDescent="0.2">
      <c r="A18" s="15" t="s">
        <v>114</v>
      </c>
      <c r="B18" s="16">
        <f>SUM('- 30 -'!D18,'- 30 -'!B18,'- 29 -'!F18,'- 29 -'!D18,'- 29 -'!B18)</f>
        <v>11310359</v>
      </c>
      <c r="C18" s="267">
        <f>B18/'- 3 -'!D18*100</f>
        <v>8.398412466775067</v>
      </c>
      <c r="D18" s="16">
        <f>B18/'- 7 -'!E18</f>
        <v>1843.5192006780546</v>
      </c>
      <c r="E18" s="16">
        <f>SUM('- 32 -'!D18,'- 32 -'!B18,'- 31 -'!F18,'- 31 -'!D18,'- 31 -'!B18)</f>
        <v>23182828</v>
      </c>
      <c r="F18" s="267">
        <f>E18/'- 3 -'!D18*100</f>
        <v>17.214215012123145</v>
      </c>
      <c r="G18" s="16">
        <f>E18/'- 7 -'!E18</f>
        <v>3778.6588864258706</v>
      </c>
      <c r="H18" s="16">
        <f>SUM('- 33 -'!B18,'- 33 -'!D18)</f>
        <v>1235000</v>
      </c>
      <c r="I18" s="267">
        <f>H18/'- 3 -'!D18*100</f>
        <v>0.9170389194955888</v>
      </c>
      <c r="J18" s="16">
        <f>H18/'- 7 -'!E18</f>
        <v>201.29743121658626</v>
      </c>
    </row>
    <row r="19" spans="1:10" ht="14.1" customHeight="1" x14ac:dyDescent="0.2">
      <c r="A19" s="271" t="s">
        <v>115</v>
      </c>
      <c r="B19" s="272">
        <f>SUM('- 30 -'!D19,'- 30 -'!B19,'- 29 -'!F19,'- 29 -'!D19,'- 29 -'!B19)</f>
        <v>3205600</v>
      </c>
      <c r="C19" s="273">
        <f>B19/'- 3 -'!D19*100</f>
        <v>6.370226701853678</v>
      </c>
      <c r="D19" s="272">
        <f>B19/'- 7 -'!E19</f>
        <v>734.9764989109251</v>
      </c>
      <c r="E19" s="272">
        <f>SUM('- 32 -'!D19,'- 32 -'!B19,'- 31 -'!F19,'- 31 -'!D19,'- 31 -'!B19)</f>
        <v>4374000</v>
      </c>
      <c r="F19" s="273">
        <f>E19/'- 3 -'!D19*100</f>
        <v>8.692092461288988</v>
      </c>
      <c r="G19" s="272">
        <f>E19/'- 7 -'!E19</f>
        <v>1002.8659864725438</v>
      </c>
      <c r="H19" s="272">
        <f>SUM('- 33 -'!B19,'- 33 -'!D19)</f>
        <v>846000</v>
      </c>
      <c r="I19" s="273">
        <f>H19/'- 3 -'!D19*100</f>
        <v>1.6811866077390225</v>
      </c>
      <c r="J19" s="272">
        <f>H19/'- 7 -'!E19</f>
        <v>193.96996446176774</v>
      </c>
    </row>
    <row r="20" spans="1:10" ht="14.1" customHeight="1" x14ac:dyDescent="0.2">
      <c r="A20" s="15" t="s">
        <v>116</v>
      </c>
      <c r="B20" s="16">
        <f>SUM('- 30 -'!D20,'- 30 -'!B20,'- 29 -'!F20,'- 29 -'!D20,'- 29 -'!B20)</f>
        <v>4119900</v>
      </c>
      <c r="C20" s="267">
        <f>B20/'- 3 -'!D20*100</f>
        <v>4.7218239519187462</v>
      </c>
      <c r="D20" s="16">
        <f>B20/'- 7 -'!E20</f>
        <v>523.89369277721266</v>
      </c>
      <c r="E20" s="16">
        <f>SUM('- 32 -'!D20,'- 32 -'!B20,'- 31 -'!F20,'- 31 -'!D20,'- 31 -'!B20)</f>
        <v>9304900</v>
      </c>
      <c r="F20" s="267">
        <f>E20/'- 3 -'!D20*100</f>
        <v>10.664360710262079</v>
      </c>
      <c r="G20" s="16">
        <f>E20/'- 7 -'!E20</f>
        <v>1183.2273652085453</v>
      </c>
      <c r="H20" s="16">
        <f>SUM('- 33 -'!B20,'- 33 -'!D20)</f>
        <v>1568100</v>
      </c>
      <c r="I20" s="267">
        <f>H20/'- 3 -'!D20*100</f>
        <v>1.7972019075714909</v>
      </c>
      <c r="J20" s="16">
        <f>H20/'- 7 -'!E20</f>
        <v>199.40233977619533</v>
      </c>
    </row>
    <row r="21" spans="1:10" ht="14.1" customHeight="1" x14ac:dyDescent="0.2">
      <c r="A21" s="271" t="s">
        <v>117</v>
      </c>
      <c r="B21" s="272">
        <f>SUM('- 30 -'!D21,'- 30 -'!B21,'- 29 -'!F21,'- 29 -'!D21,'- 29 -'!B21)</f>
        <v>2231000</v>
      </c>
      <c r="C21" s="273">
        <f>B21/'- 3 -'!D21*100</f>
        <v>5.9398897006945219</v>
      </c>
      <c r="D21" s="272">
        <f>B21/'- 7 -'!E21</f>
        <v>795.22366779540187</v>
      </c>
      <c r="E21" s="272">
        <f>SUM('- 32 -'!D21,'- 32 -'!B21,'- 31 -'!F21,'- 31 -'!D21,'- 31 -'!B21)</f>
        <v>3621000</v>
      </c>
      <c r="F21" s="273">
        <f>E21/'- 3 -'!D21*100</f>
        <v>9.6406726159636325</v>
      </c>
      <c r="G21" s="272">
        <f>E21/'- 7 -'!E21</f>
        <v>1290.6790233469969</v>
      </c>
      <c r="H21" s="272">
        <f>SUM('- 33 -'!B21,'- 33 -'!D21)</f>
        <v>661320</v>
      </c>
      <c r="I21" s="273">
        <f>H21/'- 3 -'!D21*100</f>
        <v>1.7607206888674591</v>
      </c>
      <c r="J21" s="272">
        <f>H21/'- 7 -'!E21</f>
        <v>235.72268757797184</v>
      </c>
    </row>
    <row r="22" spans="1:10" ht="14.1" customHeight="1" x14ac:dyDescent="0.2">
      <c r="A22" s="15" t="s">
        <v>118</v>
      </c>
      <c r="B22" s="16">
        <f>SUM('- 30 -'!D22,'- 30 -'!B22,'- 29 -'!F22,'- 29 -'!D22,'- 29 -'!B22)</f>
        <v>601490</v>
      </c>
      <c r="C22" s="267">
        <f>B22/'- 3 -'!D22*100</f>
        <v>2.8803157434019799</v>
      </c>
      <c r="D22" s="16">
        <f>B22/'- 7 -'!E22</f>
        <v>412.77106780126269</v>
      </c>
      <c r="E22" s="16">
        <f>SUM('- 32 -'!D22,'- 32 -'!B22,'- 31 -'!F22,'- 31 -'!D22,'- 31 -'!B22)</f>
        <v>2592609</v>
      </c>
      <c r="F22" s="267">
        <f>E22/'- 3 -'!D22*100</f>
        <v>12.41505680757064</v>
      </c>
      <c r="G22" s="16">
        <f>E22/'- 7 -'!E22</f>
        <v>1779.171699149053</v>
      </c>
      <c r="H22" s="16">
        <f>SUM('- 33 -'!B22,'- 33 -'!D22)</f>
        <v>357000</v>
      </c>
      <c r="I22" s="267">
        <f>H22/'- 3 -'!D22*100</f>
        <v>1.709542503440634</v>
      </c>
      <c r="J22" s="16">
        <f>H22/'- 7 -'!E22</f>
        <v>244.99039253362614</v>
      </c>
    </row>
    <row r="23" spans="1:10" ht="14.1" customHeight="1" x14ac:dyDescent="0.2">
      <c r="A23" s="271" t="s">
        <v>119</v>
      </c>
      <c r="B23" s="272">
        <f>SUM('- 30 -'!D23,'- 30 -'!B23,'- 29 -'!F23,'- 29 -'!D23,'- 29 -'!B23)</f>
        <v>1724515</v>
      </c>
      <c r="C23" s="273">
        <f>B23/'- 3 -'!D23*100</f>
        <v>10.162251650165601</v>
      </c>
      <c r="D23" s="272">
        <f>B23/'- 7 -'!E23</f>
        <v>1658.1875</v>
      </c>
      <c r="E23" s="272">
        <f>SUM('- 32 -'!D23,'- 32 -'!B23,'- 31 -'!F23,'- 31 -'!D23,'- 31 -'!B23)</f>
        <v>1640257</v>
      </c>
      <c r="F23" s="273">
        <f>E23/'- 3 -'!D23*100</f>
        <v>9.6657346586986357</v>
      </c>
      <c r="G23" s="272">
        <f>E23/'- 7 -'!E23</f>
        <v>1577.1701923076923</v>
      </c>
      <c r="H23" s="272">
        <f>SUM('- 33 -'!B23,'- 33 -'!D23)</f>
        <v>264609</v>
      </c>
      <c r="I23" s="273">
        <f>H23/'- 3 -'!D23*100</f>
        <v>1.5592924659389273</v>
      </c>
      <c r="J23" s="272">
        <f>H23/'- 7 -'!E23</f>
        <v>254.43173076923077</v>
      </c>
    </row>
    <row r="24" spans="1:10" ht="14.1" customHeight="1" x14ac:dyDescent="0.2">
      <c r="A24" s="15" t="s">
        <v>120</v>
      </c>
      <c r="B24" s="16">
        <f>SUM('- 30 -'!D24,'- 30 -'!B24,'- 29 -'!F24,'- 29 -'!D24,'- 29 -'!B24)</f>
        <v>2714185</v>
      </c>
      <c r="C24" s="267">
        <f>B24/'- 3 -'!D24*100</f>
        <v>4.646111779336441</v>
      </c>
      <c r="D24" s="16">
        <f>B24/'- 7 -'!E24</f>
        <v>718.79899364406776</v>
      </c>
      <c r="E24" s="16">
        <f>SUM('- 32 -'!D24,'- 32 -'!B24,'- 31 -'!F24,'- 31 -'!D24,'- 31 -'!B24)</f>
        <v>6464270</v>
      </c>
      <c r="F24" s="267">
        <f>E24/'- 3 -'!D24*100</f>
        <v>11.065465689262588</v>
      </c>
      <c r="G24" s="16">
        <f>E24/'- 7 -'!E24</f>
        <v>1711.9359110169491</v>
      </c>
      <c r="H24" s="16">
        <f>SUM('- 33 -'!B24,'- 33 -'!D24)</f>
        <v>1020000</v>
      </c>
      <c r="I24" s="267">
        <f>H24/'- 3 -'!D24*100</f>
        <v>1.7460246869403413</v>
      </c>
      <c r="J24" s="16">
        <f>H24/'- 7 -'!E24</f>
        <v>270.12711864406782</v>
      </c>
    </row>
    <row r="25" spans="1:10" ht="14.1" customHeight="1" x14ac:dyDescent="0.2">
      <c r="A25" s="271" t="s">
        <v>121</v>
      </c>
      <c r="B25" s="272">
        <f>SUM('- 30 -'!D25,'- 30 -'!B25,'- 29 -'!F25,'- 29 -'!D25,'- 29 -'!B25)</f>
        <v>4382560</v>
      </c>
      <c r="C25" s="273">
        <f>B25/'- 3 -'!D25*100</f>
        <v>2.3324229477664002</v>
      </c>
      <c r="D25" s="272">
        <f>B25/'- 7 -'!E25</f>
        <v>294.4279475982533</v>
      </c>
      <c r="E25" s="272">
        <f>SUM('- 32 -'!D25,'- 32 -'!B25,'- 31 -'!F25,'- 31 -'!D25,'- 31 -'!B25)</f>
        <v>18827229</v>
      </c>
      <c r="F25" s="273">
        <f>E25/'- 3 -'!D25*100</f>
        <v>10.019956592140906</v>
      </c>
      <c r="G25" s="272">
        <f>E25/'- 7 -'!E25</f>
        <v>1264.8457507557944</v>
      </c>
      <c r="H25" s="272">
        <f>SUM('- 33 -'!B25,'- 33 -'!D25)</f>
        <v>3264818</v>
      </c>
      <c r="I25" s="273">
        <f>H25/'- 3 -'!D25*100</f>
        <v>1.7375544027875951</v>
      </c>
      <c r="J25" s="272">
        <f>H25/'- 7 -'!E25</f>
        <v>219.33611017803159</v>
      </c>
    </row>
    <row r="26" spans="1:10" ht="14.1" customHeight="1" x14ac:dyDescent="0.2">
      <c r="A26" s="15" t="s">
        <v>122</v>
      </c>
      <c r="B26" s="16">
        <f>SUM('- 30 -'!D26,'- 30 -'!B26,'- 29 -'!F26,'- 29 -'!D26,'- 29 -'!B26)</f>
        <v>3100577</v>
      </c>
      <c r="C26" s="267">
        <f>B26/'- 3 -'!D26*100</f>
        <v>7.558218348519234</v>
      </c>
      <c r="D26" s="16">
        <f>B26/'- 7 -'!E26</f>
        <v>1092.3293993306324</v>
      </c>
      <c r="E26" s="16">
        <f>SUM('- 32 -'!D26,'- 32 -'!B26,'- 31 -'!F26,'- 31 -'!D26,'- 31 -'!B26)</f>
        <v>5154927</v>
      </c>
      <c r="F26" s="267">
        <f>E26/'- 3 -'!D26*100</f>
        <v>12.566068779029585</v>
      </c>
      <c r="G26" s="16">
        <f>E26/'- 7 -'!E26</f>
        <v>1816.0743350361106</v>
      </c>
      <c r="H26" s="16">
        <f>SUM('- 33 -'!B26,'- 33 -'!D26)</f>
        <v>779207</v>
      </c>
      <c r="I26" s="267">
        <f>H26/'- 3 -'!D26*100</f>
        <v>1.8994582765384078</v>
      </c>
      <c r="J26" s="16">
        <f>H26/'- 7 -'!E26</f>
        <v>274.51365157653692</v>
      </c>
    </row>
    <row r="27" spans="1:10" ht="14.1" customHeight="1" x14ac:dyDescent="0.2">
      <c r="A27" s="271" t="s">
        <v>123</v>
      </c>
      <c r="B27" s="272">
        <f>SUM('- 30 -'!D27,'- 30 -'!B27,'- 29 -'!F27,'- 29 -'!D27,'- 29 -'!B27)</f>
        <v>355000</v>
      </c>
      <c r="C27" s="273">
        <f>B27/'- 3 -'!D27*100</f>
        <v>0.83090644286026083</v>
      </c>
      <c r="D27" s="272">
        <f>B27/'- 7 -'!E27</f>
        <v>116.50804069576633</v>
      </c>
      <c r="E27" s="272">
        <f>SUM('- 32 -'!D27,'- 32 -'!B27,'- 31 -'!F27,'- 31 -'!D27,'- 31 -'!B27)</f>
        <v>5339320</v>
      </c>
      <c r="F27" s="273">
        <f>E27/'- 3 -'!D27*100</f>
        <v>12.497113770401826</v>
      </c>
      <c r="G27" s="272">
        <f>E27/'- 7 -'!E27</f>
        <v>1752.3203150639974</v>
      </c>
      <c r="H27" s="272">
        <f>SUM('- 33 -'!B27,'- 33 -'!D27)</f>
        <v>695500</v>
      </c>
      <c r="I27" s="273">
        <f>H27/'- 3 -'!D27*100</f>
        <v>1.6278744535473562</v>
      </c>
      <c r="J27" s="272">
        <f>H27/'- 7 -'!E27</f>
        <v>228.25730226452248</v>
      </c>
    </row>
    <row r="28" spans="1:10" ht="14.1" customHeight="1" x14ac:dyDescent="0.2">
      <c r="A28" s="15" t="s">
        <v>124</v>
      </c>
      <c r="B28" s="16">
        <f>SUM('- 30 -'!D28,'- 30 -'!B28,'- 29 -'!F28,'- 29 -'!D28,'- 29 -'!B28)</f>
        <v>1977095</v>
      </c>
      <c r="C28" s="267">
        <f>B28/'- 3 -'!D28*100</f>
        <v>6.866630328875992</v>
      </c>
      <c r="D28" s="16">
        <f>B28/'- 7 -'!E28</f>
        <v>1010.2682677567706</v>
      </c>
      <c r="E28" s="16">
        <f>SUM('- 32 -'!D28,'- 32 -'!B28,'- 31 -'!F28,'- 31 -'!D28,'- 31 -'!B28)</f>
        <v>3444924</v>
      </c>
      <c r="F28" s="267">
        <f>E28/'- 3 -'!D28*100</f>
        <v>11.964533630944794</v>
      </c>
      <c r="G28" s="16">
        <f>E28/'- 7 -'!E28</f>
        <v>1760.3086356668371</v>
      </c>
      <c r="H28" s="16">
        <f>SUM('- 33 -'!B28,'- 33 -'!D28)</f>
        <v>460600</v>
      </c>
      <c r="I28" s="267">
        <f>H28/'- 3 -'!D28*100</f>
        <v>1.5997055930444828</v>
      </c>
      <c r="J28" s="16">
        <f>H28/'- 7 -'!E28</f>
        <v>235.36024527337761</v>
      </c>
    </row>
    <row r="29" spans="1:10" ht="14.1" customHeight="1" x14ac:dyDescent="0.2">
      <c r="A29" s="271" t="s">
        <v>125</v>
      </c>
      <c r="B29" s="272">
        <f>SUM('- 30 -'!D29,'- 30 -'!B29,'- 29 -'!F29,'- 29 -'!D29,'- 29 -'!B29)</f>
        <v>3545920</v>
      </c>
      <c r="C29" s="273">
        <f>B29/'- 3 -'!D29*100</f>
        <v>2.0876507889254889</v>
      </c>
      <c r="D29" s="272">
        <f>B29/'- 7 -'!E29</f>
        <v>262.44883760519286</v>
      </c>
      <c r="E29" s="272">
        <f>SUM('- 32 -'!D29,'- 32 -'!B29,'- 31 -'!F29,'- 31 -'!D29,'- 31 -'!B29)</f>
        <v>20982781</v>
      </c>
      <c r="F29" s="273">
        <f>E29/'- 3 -'!D29*100</f>
        <v>12.353555440760301</v>
      </c>
      <c r="G29" s="272">
        <f>E29/'- 7 -'!E29</f>
        <v>1553.0261492572663</v>
      </c>
      <c r="H29" s="272">
        <f>SUM('- 33 -'!B29,'- 33 -'!D29)</f>
        <v>2925000</v>
      </c>
      <c r="I29" s="273">
        <f>H29/'- 3 -'!D29*100</f>
        <v>1.7220858219043451</v>
      </c>
      <c r="J29" s="272">
        <f>H29/'- 7 -'!E29</f>
        <v>216.49186952756665</v>
      </c>
    </row>
    <row r="30" spans="1:10" ht="14.1" customHeight="1" x14ac:dyDescent="0.2">
      <c r="A30" s="15" t="s">
        <v>126</v>
      </c>
      <c r="B30" s="16">
        <f>SUM('- 30 -'!D30,'- 30 -'!B30,'- 29 -'!F30,'- 29 -'!D30,'- 29 -'!B30)</f>
        <v>1258568</v>
      </c>
      <c r="C30" s="267">
        <f>B30/'- 3 -'!D30*100</f>
        <v>8.2377296695340192</v>
      </c>
      <c r="D30" s="16">
        <f>B30/'- 7 -'!E30</f>
        <v>1246.1069306930692</v>
      </c>
      <c r="E30" s="16">
        <f>SUM('- 32 -'!D30,'- 32 -'!B30,'- 31 -'!F30,'- 31 -'!D30,'- 31 -'!B30)</f>
        <v>1631246</v>
      </c>
      <c r="F30" s="267">
        <f>E30/'- 3 -'!D30*100</f>
        <v>10.677026249283861</v>
      </c>
      <c r="G30" s="16">
        <f>E30/'- 7 -'!E30</f>
        <v>1615.0950495049506</v>
      </c>
      <c r="H30" s="16">
        <f>SUM('- 33 -'!B30,'- 33 -'!D30)</f>
        <v>251563</v>
      </c>
      <c r="I30" s="267">
        <f>H30/'- 3 -'!D30*100</f>
        <v>1.6465602087904558</v>
      </c>
      <c r="J30" s="16">
        <f>H30/'- 7 -'!E30</f>
        <v>249.07227722772276</v>
      </c>
    </row>
    <row r="31" spans="1:10" ht="14.1" customHeight="1" x14ac:dyDescent="0.2">
      <c r="A31" s="271" t="s">
        <v>127</v>
      </c>
      <c r="B31" s="272">
        <f>SUM('- 30 -'!D31,'- 30 -'!B31,'- 29 -'!F31,'- 29 -'!D31,'- 29 -'!B31)</f>
        <v>1091973</v>
      </c>
      <c r="C31" s="273">
        <f>B31/'- 3 -'!D31*100</f>
        <v>2.8062670323675953</v>
      </c>
      <c r="D31" s="272">
        <f>B31/'- 7 -'!E31</f>
        <v>336.31248267578303</v>
      </c>
      <c r="E31" s="272">
        <f>SUM('- 32 -'!D31,'- 32 -'!B31,'- 31 -'!F31,'- 31 -'!D31,'- 31 -'!B31)</f>
        <v>3879156</v>
      </c>
      <c r="F31" s="273">
        <f>E31/'- 3 -'!D31*100</f>
        <v>9.9690629678672948</v>
      </c>
      <c r="G31" s="272">
        <f>E31/'- 7 -'!E31</f>
        <v>1194.7260463827035</v>
      </c>
      <c r="H31" s="272">
        <f>SUM('- 33 -'!B31,'- 33 -'!D31)</f>
        <v>667680</v>
      </c>
      <c r="I31" s="273">
        <f>H31/'- 3 -'!D31*100</f>
        <v>1.7158742681102888</v>
      </c>
      <c r="J31" s="272">
        <f>H31/'- 7 -'!E31</f>
        <v>205.63614524623486</v>
      </c>
    </row>
    <row r="32" spans="1:10" ht="14.1" customHeight="1" x14ac:dyDescent="0.2">
      <c r="A32" s="15" t="s">
        <v>128</v>
      </c>
      <c r="B32" s="16">
        <f>SUM('- 30 -'!D32,'- 30 -'!B32,'- 29 -'!F32,'- 29 -'!D32,'- 29 -'!B32)</f>
        <v>2350685</v>
      </c>
      <c r="C32" s="267">
        <f>B32/'- 3 -'!D32*100</f>
        <v>7.5756486861787726</v>
      </c>
      <c r="D32" s="16">
        <f>B32/'- 7 -'!E32</f>
        <v>1038.5177821957145</v>
      </c>
      <c r="E32" s="16">
        <f>SUM('- 32 -'!D32,'- 32 -'!B32,'- 31 -'!F32,'- 31 -'!D32,'- 31 -'!B32)</f>
        <v>3350827</v>
      </c>
      <c r="F32" s="267">
        <f>E32/'- 3 -'!D32*100</f>
        <v>10.798847212690072</v>
      </c>
      <c r="G32" s="16">
        <f>E32/'- 7 -'!E32</f>
        <v>1480.3741992489508</v>
      </c>
      <c r="H32" s="16">
        <f>SUM('- 33 -'!B32,'- 33 -'!D32)</f>
        <v>558200</v>
      </c>
      <c r="I32" s="267">
        <f>H32/'- 3 -'!D32*100</f>
        <v>1.7989339688750261</v>
      </c>
      <c r="J32" s="16">
        <f>H32/'- 7 -'!E32</f>
        <v>246.60923348796112</v>
      </c>
    </row>
    <row r="33" spans="1:11" ht="14.1" customHeight="1" x14ac:dyDescent="0.2">
      <c r="A33" s="271" t="s">
        <v>129</v>
      </c>
      <c r="B33" s="272">
        <f>SUM('- 30 -'!D33,'- 30 -'!B33,'- 29 -'!F33,'- 29 -'!D33,'- 29 -'!B33)</f>
        <v>2423375</v>
      </c>
      <c r="C33" s="273">
        <f>B33/'- 3 -'!D33*100</f>
        <v>8.4964727388873129</v>
      </c>
      <c r="D33" s="272">
        <f>B33/'- 7 -'!E33</f>
        <v>1180.6942752740561</v>
      </c>
      <c r="E33" s="272">
        <f>SUM('- 32 -'!D33,'- 32 -'!B33,'- 31 -'!F33,'- 31 -'!D33,'- 31 -'!B33)</f>
        <v>3449420</v>
      </c>
      <c r="F33" s="273">
        <f>E33/'- 3 -'!D33*100</f>
        <v>12.093837311589281</v>
      </c>
      <c r="G33" s="272">
        <f>E33/'- 7 -'!E33</f>
        <v>1680.5943970767357</v>
      </c>
      <c r="H33" s="272">
        <f>SUM('- 33 -'!B33,'- 33 -'!D33)</f>
        <v>456056</v>
      </c>
      <c r="I33" s="273">
        <f>H33/'- 3 -'!D33*100</f>
        <v>1.5989549167611254</v>
      </c>
      <c r="J33" s="272">
        <f>H33/'- 7 -'!E33</f>
        <v>222.19537149817296</v>
      </c>
    </row>
    <row r="34" spans="1:11" ht="14.1" customHeight="1" x14ac:dyDescent="0.2">
      <c r="A34" s="15" t="s">
        <v>130</v>
      </c>
      <c r="B34" s="16">
        <f>SUM('- 30 -'!D34,'- 30 -'!B34,'- 29 -'!F34,'- 29 -'!D34,'- 29 -'!B34)</f>
        <v>2905642</v>
      </c>
      <c r="C34" s="267">
        <f>B34/'- 3 -'!D34*100</f>
        <v>9.3284322530634576</v>
      </c>
      <c r="D34" s="16">
        <f>B34/'- 7 -'!E34</f>
        <v>1339.4376066012076</v>
      </c>
      <c r="E34" s="16">
        <f>SUM('- 32 -'!D34,'- 32 -'!B34,'- 31 -'!F34,'- 31 -'!D34,'- 31 -'!B34)</f>
        <v>2909462</v>
      </c>
      <c r="F34" s="267">
        <f>E34/'- 3 -'!D34*100</f>
        <v>9.3406961903298846</v>
      </c>
      <c r="G34" s="16">
        <f>E34/'- 7 -'!E34</f>
        <v>1341.1985433089014</v>
      </c>
      <c r="H34" s="16">
        <f>SUM('- 33 -'!B34,'- 33 -'!D34)</f>
        <v>625740</v>
      </c>
      <c r="I34" s="267">
        <f>H34/'- 3 -'!D34*100</f>
        <v>2.0089099751558956</v>
      </c>
      <c r="J34" s="16">
        <f>H34/'- 7 -'!E34</f>
        <v>288.45249619692987</v>
      </c>
    </row>
    <row r="35" spans="1:11" ht="14.1" customHeight="1" x14ac:dyDescent="0.2">
      <c r="A35" s="271" t="s">
        <v>131</v>
      </c>
      <c r="B35" s="272">
        <f>SUM('- 30 -'!D35,'- 30 -'!B35,'- 29 -'!F35,'- 29 -'!D35,'- 29 -'!B35)</f>
        <v>4893006</v>
      </c>
      <c r="C35" s="273">
        <f>B35/'- 3 -'!D35*100</f>
        <v>2.5630245148201327</v>
      </c>
      <c r="D35" s="272">
        <f>B35/'- 7 -'!E35</f>
        <v>303.08510901883051</v>
      </c>
      <c r="E35" s="272">
        <f>SUM('- 32 -'!D35,'- 32 -'!B35,'- 31 -'!F35,'- 31 -'!D35,'- 31 -'!B35)</f>
        <v>22231981</v>
      </c>
      <c r="F35" s="273">
        <f>E35/'- 3 -'!D35*100</f>
        <v>11.645420487122928</v>
      </c>
      <c r="G35" s="272">
        <f>E35/'- 7 -'!E35</f>
        <v>1377.1048686818633</v>
      </c>
      <c r="H35" s="272">
        <f>SUM('- 33 -'!B35,'- 33 -'!D35)</f>
        <v>3409000</v>
      </c>
      <c r="I35" s="273">
        <f>H35/'- 3 -'!D35*100</f>
        <v>1.7856815566998758</v>
      </c>
      <c r="J35" s="272">
        <f>H35/'- 7 -'!E35</f>
        <v>211.16204162537164</v>
      </c>
    </row>
    <row r="36" spans="1:11" ht="14.1" customHeight="1" x14ac:dyDescent="0.2">
      <c r="A36" s="15" t="s">
        <v>132</v>
      </c>
      <c r="B36" s="16">
        <f>SUM('- 30 -'!D36,'- 30 -'!B36,'- 29 -'!F36,'- 29 -'!D36,'- 29 -'!B36)</f>
        <v>1716455</v>
      </c>
      <c r="C36" s="267">
        <f>B36/'- 3 -'!D36*100</f>
        <v>7.1201518231219145</v>
      </c>
      <c r="D36" s="16">
        <f>B36/'- 7 -'!E36</f>
        <v>1008.1967694566813</v>
      </c>
      <c r="E36" s="16">
        <f>SUM('- 32 -'!D36,'- 32 -'!B36,'- 31 -'!F36,'- 31 -'!D36,'- 31 -'!B36)</f>
        <v>2912245</v>
      </c>
      <c r="F36" s="267">
        <f>E36/'- 3 -'!D36*100</f>
        <v>12.080495291823953</v>
      </c>
      <c r="G36" s="16">
        <f>E36/'- 7 -'!E36</f>
        <v>1710.5697503671072</v>
      </c>
      <c r="H36" s="16">
        <f>SUM('- 33 -'!B36,'- 33 -'!D36)</f>
        <v>445000</v>
      </c>
      <c r="I36" s="267">
        <f>H36/'- 3 -'!D36*100</f>
        <v>1.8459368648110506</v>
      </c>
      <c r="J36" s="16">
        <f>H36/'- 7 -'!E36</f>
        <v>261.38032305433188</v>
      </c>
    </row>
    <row r="37" spans="1:11" ht="14.1" customHeight="1" x14ac:dyDescent="0.2">
      <c r="A37" s="271" t="s">
        <v>133</v>
      </c>
      <c r="B37" s="272">
        <f>SUM('- 30 -'!D37,'- 30 -'!B37,'- 29 -'!F37,'- 29 -'!D37,'- 29 -'!B37)</f>
        <v>3369429</v>
      </c>
      <c r="C37" s="273">
        <f>B37/'- 3 -'!D37*100</f>
        <v>6.3517086541144181</v>
      </c>
      <c r="D37" s="272">
        <f>B37/'- 7 -'!E37</f>
        <v>790.01852286049234</v>
      </c>
      <c r="E37" s="272">
        <f>SUM('- 32 -'!D37,'- 32 -'!B37,'- 31 -'!F37,'- 31 -'!D37,'- 31 -'!B37)</f>
        <v>5211500</v>
      </c>
      <c r="F37" s="273">
        <f>E37/'- 3 -'!D37*100</f>
        <v>9.8241956280774243</v>
      </c>
      <c r="G37" s="272">
        <f>E37/'- 7 -'!E37</f>
        <v>1221.9226260257913</v>
      </c>
      <c r="H37" s="272">
        <f>SUM('- 33 -'!B37,'- 33 -'!D37)</f>
        <v>900000</v>
      </c>
      <c r="I37" s="273">
        <f>H37/'- 3 -'!D37*100</f>
        <v>1.6965894781290767</v>
      </c>
      <c r="J37" s="272">
        <f>H37/'- 7 -'!E37</f>
        <v>211.01992966002345</v>
      </c>
    </row>
    <row r="38" spans="1:11" ht="14.1" customHeight="1" x14ac:dyDescent="0.2">
      <c r="A38" s="15" t="s">
        <v>134</v>
      </c>
      <c r="B38" s="16">
        <f>SUM('- 30 -'!D38,'- 30 -'!B38,'- 29 -'!F38,'- 29 -'!D38,'- 29 -'!B38)</f>
        <v>3779400</v>
      </c>
      <c r="C38" s="267">
        <f>B38/'- 3 -'!D38*100</f>
        <v>2.6109505451673582</v>
      </c>
      <c r="D38" s="16">
        <f>B38/'- 7 -'!E38</f>
        <v>336.45508768806195</v>
      </c>
      <c r="E38" s="16">
        <f>SUM('- 32 -'!D38,'- 32 -'!B38,'- 31 -'!F38,'- 31 -'!D38,'- 31 -'!B38)</f>
        <v>14290070</v>
      </c>
      <c r="F38" s="267">
        <f>E38/'- 3 -'!D38*100</f>
        <v>9.8721135780758082</v>
      </c>
      <c r="G38" s="16">
        <f>E38/'- 7 -'!E38</f>
        <v>1272.1508056618891</v>
      </c>
      <c r="H38" s="16">
        <f>SUM('- 33 -'!B38,'- 33 -'!D38)</f>
        <v>2622120</v>
      </c>
      <c r="I38" s="267">
        <f>H38/'- 3 -'!D38*100</f>
        <v>1.8114583382267644</v>
      </c>
      <c r="J38" s="16">
        <f>H38/'- 7 -'!E38</f>
        <v>233.43007210896465</v>
      </c>
    </row>
    <row r="39" spans="1:11" ht="14.1" customHeight="1" x14ac:dyDescent="0.2">
      <c r="A39" s="271" t="s">
        <v>135</v>
      </c>
      <c r="B39" s="272">
        <f>SUM('- 30 -'!D39,'- 30 -'!B39,'- 29 -'!F39,'- 29 -'!D39,'- 29 -'!B39)</f>
        <v>2125400</v>
      </c>
      <c r="C39" s="273">
        <f>B39/'- 3 -'!D39*100</f>
        <v>9.1210162393055292</v>
      </c>
      <c r="D39" s="272">
        <f>B39/'- 7 -'!E39</f>
        <v>1404.7587574355584</v>
      </c>
      <c r="E39" s="272">
        <f>SUM('- 32 -'!D39,'- 32 -'!B39,'- 31 -'!F39,'- 31 -'!D39,'- 31 -'!B39)</f>
        <v>2517400</v>
      </c>
      <c r="F39" s="273">
        <f>E39/'- 3 -'!D39*100</f>
        <v>10.803258812848282</v>
      </c>
      <c r="G39" s="272">
        <f>E39/'- 7 -'!E39</f>
        <v>1663.8466622604099</v>
      </c>
      <c r="H39" s="272">
        <f>SUM('- 33 -'!B39,'- 33 -'!D39)</f>
        <v>436200</v>
      </c>
      <c r="I39" s="273">
        <f>H39/'- 3 -'!D39*100</f>
        <v>1.8719240065799718</v>
      </c>
      <c r="J39" s="272">
        <f>H39/'- 7 -'!E39</f>
        <v>288.30138797091871</v>
      </c>
    </row>
    <row r="40" spans="1:11" ht="14.1" customHeight="1" x14ac:dyDescent="0.2">
      <c r="A40" s="15" t="s">
        <v>136</v>
      </c>
      <c r="B40" s="16">
        <f>SUM('- 30 -'!D40,'- 30 -'!B40,'- 29 -'!F40,'- 29 -'!D40,'- 29 -'!B40)</f>
        <v>2786283</v>
      </c>
      <c r="C40" s="267">
        <f>B40/'- 3 -'!D40*100</f>
        <v>2.5716694204239698</v>
      </c>
      <c r="D40" s="16">
        <f>B40/'- 7 -'!E40</f>
        <v>333.62665389450996</v>
      </c>
      <c r="E40" s="16">
        <f>SUM('- 32 -'!D40,'- 32 -'!B40,'- 31 -'!F40,'- 31 -'!D40,'- 31 -'!B40)</f>
        <v>11453381</v>
      </c>
      <c r="F40" s="267">
        <f>E40/'- 3 -'!D40*100</f>
        <v>10.571183787922802</v>
      </c>
      <c r="G40" s="16">
        <f>E40/'- 7 -'!E40</f>
        <v>1371.4160330479554</v>
      </c>
      <c r="H40" s="16">
        <f>SUM('- 33 -'!B40,'- 33 -'!D40)</f>
        <v>1865479</v>
      </c>
      <c r="I40" s="267">
        <f>H40/'- 3 -'!D40*100</f>
        <v>1.7217903919821091</v>
      </c>
      <c r="J40" s="16">
        <f>H40/'- 7 -'!E40</f>
        <v>223.37053223971742</v>
      </c>
    </row>
    <row r="41" spans="1:11" ht="14.1" customHeight="1" x14ac:dyDescent="0.2">
      <c r="A41" s="271" t="s">
        <v>137</v>
      </c>
      <c r="B41" s="272">
        <f>SUM('- 30 -'!D41,'- 30 -'!B41,'- 29 -'!F41,'- 29 -'!D41,'- 29 -'!B41)</f>
        <v>5465847</v>
      </c>
      <c r="C41" s="273">
        <f>B41/'- 3 -'!D41*100</f>
        <v>8.4078604528059557</v>
      </c>
      <c r="D41" s="272">
        <f>B41/'- 7 -'!E41</f>
        <v>1253.9222298692362</v>
      </c>
      <c r="E41" s="272">
        <f>SUM('- 32 -'!D41,'- 32 -'!B41,'- 31 -'!F41,'- 31 -'!D41,'- 31 -'!B41)</f>
        <v>6750981</v>
      </c>
      <c r="F41" s="273">
        <f>E41/'- 3 -'!D41*100</f>
        <v>10.38472283756651</v>
      </c>
      <c r="G41" s="272">
        <f>E41/'- 7 -'!E41</f>
        <v>1548.7453544390914</v>
      </c>
      <c r="H41" s="272">
        <f>SUM('- 33 -'!B41,'- 33 -'!D41)</f>
        <v>1173246</v>
      </c>
      <c r="I41" s="273">
        <f>H41/'- 3 -'!D41*100</f>
        <v>1.8047502326378282</v>
      </c>
      <c r="J41" s="272">
        <f>H41/'- 7 -'!E41</f>
        <v>269.1548520302822</v>
      </c>
    </row>
    <row r="42" spans="1:11" ht="14.1" customHeight="1" x14ac:dyDescent="0.2">
      <c r="A42" s="15" t="s">
        <v>138</v>
      </c>
      <c r="B42" s="16">
        <f>SUM('- 30 -'!D42,'- 30 -'!B42,'- 29 -'!F42,'- 29 -'!D42,'- 29 -'!B42)</f>
        <v>1915126</v>
      </c>
      <c r="C42" s="267">
        <f>B42/'- 3 -'!D42*100</f>
        <v>8.9941779796432169</v>
      </c>
      <c r="D42" s="16">
        <f>B42/'- 7 -'!E42</f>
        <v>1362.1095305832148</v>
      </c>
      <c r="E42" s="16">
        <f>SUM('- 32 -'!D42,'- 32 -'!B42,'- 31 -'!F42,'- 31 -'!D42,'- 31 -'!B42)</f>
        <v>2493082</v>
      </c>
      <c r="F42" s="267">
        <f>E42/'- 3 -'!D42*100</f>
        <v>11.708484572735617</v>
      </c>
      <c r="G42" s="16">
        <f>E42/'- 7 -'!E42</f>
        <v>1773.1735419630156</v>
      </c>
      <c r="H42" s="16">
        <f>SUM('- 33 -'!B42,'- 33 -'!D42)</f>
        <v>344000</v>
      </c>
      <c r="I42" s="267">
        <f>H42/'- 3 -'!D42*100</f>
        <v>1.615558049442839</v>
      </c>
      <c r="J42" s="16">
        <f>H42/'- 7 -'!E42</f>
        <v>244.66571834992888</v>
      </c>
    </row>
    <row r="43" spans="1:11" ht="14.1" customHeight="1" x14ac:dyDescent="0.2">
      <c r="A43" s="271" t="s">
        <v>139</v>
      </c>
      <c r="B43" s="272">
        <f>SUM('- 30 -'!D43,'- 30 -'!B43,'- 29 -'!F43,'- 29 -'!D43,'- 29 -'!B43)</f>
        <v>1018197</v>
      </c>
      <c r="C43" s="273">
        <f>B43/'- 3 -'!D43*100</f>
        <v>7.3890244289182396</v>
      </c>
      <c r="D43" s="272">
        <f>B43/'- 7 -'!E43</f>
        <v>1072.350710900474</v>
      </c>
      <c r="E43" s="272">
        <f>SUM('- 32 -'!D43,'- 32 -'!B43,'- 31 -'!F43,'- 31 -'!D43,'- 31 -'!B43)</f>
        <v>1088860</v>
      </c>
      <c r="F43" s="273">
        <f>E43/'- 3 -'!D43*100</f>
        <v>7.9018236546286369</v>
      </c>
      <c r="G43" s="272">
        <f>E43/'- 7 -'!E43</f>
        <v>1146.7719852553976</v>
      </c>
      <c r="H43" s="272">
        <f>SUM('- 33 -'!B43,'- 33 -'!D43)</f>
        <v>239301</v>
      </c>
      <c r="I43" s="273">
        <f>H43/'- 3 -'!D43*100</f>
        <v>1.7366000242237636</v>
      </c>
      <c r="J43" s="272">
        <f>H43/'- 7 -'!E43</f>
        <v>252.02843601895734</v>
      </c>
    </row>
    <row r="44" spans="1:11" ht="14.1" customHeight="1" x14ac:dyDescent="0.2">
      <c r="A44" s="15" t="s">
        <v>140</v>
      </c>
      <c r="B44" s="16">
        <f>SUM('- 30 -'!D44,'- 30 -'!B44,'- 29 -'!F44,'- 29 -'!D44,'- 29 -'!B44)</f>
        <v>1158253</v>
      </c>
      <c r="C44" s="267">
        <f>B44/'- 3 -'!D44*100</f>
        <v>10.26585595346311</v>
      </c>
      <c r="D44" s="16">
        <f>B44/'- 7 -'!E44</f>
        <v>1667.7508999280058</v>
      </c>
      <c r="E44" s="16">
        <f>SUM('- 32 -'!D44,'- 32 -'!B44,'- 31 -'!F44,'- 31 -'!D44,'- 31 -'!B44)</f>
        <v>1255681</v>
      </c>
      <c r="F44" s="267">
        <f>E44/'- 3 -'!D44*100</f>
        <v>11.129382155280851</v>
      </c>
      <c r="G44" s="16">
        <f>E44/'- 7 -'!E44</f>
        <v>1808.0359971202304</v>
      </c>
      <c r="H44" s="16">
        <f>SUM('- 33 -'!B44,'- 33 -'!D44)</f>
        <v>182535</v>
      </c>
      <c r="I44" s="267">
        <f>H44/'- 3 -'!D44*100</f>
        <v>1.6178486189678667</v>
      </c>
      <c r="J44" s="16">
        <f>H44/'- 7 -'!E44</f>
        <v>262.82937365010798</v>
      </c>
    </row>
    <row r="45" spans="1:11" ht="14.1" customHeight="1" x14ac:dyDescent="0.2">
      <c r="A45" s="271" t="s">
        <v>141</v>
      </c>
      <c r="B45" s="272">
        <f>SUM('- 30 -'!D45,'- 30 -'!B45,'- 29 -'!F45,'- 29 -'!D45,'- 29 -'!B45)</f>
        <v>840441</v>
      </c>
      <c r="C45" s="273">
        <f>B45/'- 3 -'!D45*100</f>
        <v>4.0561718613281608</v>
      </c>
      <c r="D45" s="272">
        <f>B45/'- 7 -'!E45</f>
        <v>467.43103448275861</v>
      </c>
      <c r="E45" s="272">
        <f>SUM('- 32 -'!D45,'- 32 -'!B45,'- 31 -'!F45,'- 31 -'!D45,'- 31 -'!B45)</f>
        <v>1869393</v>
      </c>
      <c r="F45" s="273">
        <f>E45/'- 3 -'!D45*100</f>
        <v>9.0221434751087042</v>
      </c>
      <c r="G45" s="272">
        <f>E45/'- 7 -'!E45</f>
        <v>1039.7068965517242</v>
      </c>
      <c r="H45" s="272">
        <f>SUM('- 33 -'!B45,'- 33 -'!D45)</f>
        <v>374359</v>
      </c>
      <c r="I45" s="273">
        <f>H45/'- 3 -'!D45*100</f>
        <v>1.8067472217977811</v>
      </c>
      <c r="J45" s="272">
        <f>H45/'- 7 -'!E45</f>
        <v>208.20856507230255</v>
      </c>
    </row>
    <row r="46" spans="1:11" ht="14.1" customHeight="1" x14ac:dyDescent="0.2">
      <c r="A46" s="15" t="s">
        <v>142</v>
      </c>
      <c r="B46" s="16">
        <f>SUM('- 30 -'!D46,'- 30 -'!B46,'- 29 -'!F46,'- 29 -'!D46,'- 29 -'!B46)</f>
        <v>7116900</v>
      </c>
      <c r="C46" s="267">
        <f>B46/'- 3 -'!D46*100</f>
        <v>1.7508436062866426</v>
      </c>
      <c r="D46" s="16">
        <f>B46/'- 7 -'!E46</f>
        <v>235.23054040654438</v>
      </c>
      <c r="E46" s="16">
        <f>SUM('- 32 -'!D46,'- 32 -'!B46,'- 31 -'!F46,'- 31 -'!D46,'- 31 -'!B46)</f>
        <v>54375600</v>
      </c>
      <c r="F46" s="267">
        <f>E46/'- 3 -'!D46*100</f>
        <v>13.377056246118391</v>
      </c>
      <c r="G46" s="16">
        <f>E46/'- 7 -'!E46</f>
        <v>1797.2434308378781</v>
      </c>
      <c r="H46" s="16">
        <f>SUM('- 33 -'!B46,'- 33 -'!D46)</f>
        <v>7241500</v>
      </c>
      <c r="I46" s="267">
        <f>H46/'- 3 -'!D46*100</f>
        <v>1.7814967155537837</v>
      </c>
      <c r="J46" s="16">
        <f>H46/'- 7 -'!E46</f>
        <v>239.34886795570981</v>
      </c>
    </row>
    <row r="47" spans="1:11" ht="5.0999999999999996" customHeight="1" x14ac:dyDescent="0.2">
      <c r="A47"/>
      <c r="B47"/>
      <c r="C47"/>
      <c r="D47"/>
      <c r="E47"/>
      <c r="F47"/>
      <c r="G47"/>
      <c r="H47"/>
      <c r="I47"/>
      <c r="J47"/>
      <c r="K47"/>
    </row>
    <row r="48" spans="1:11" ht="14.1" customHeight="1" x14ac:dyDescent="0.2">
      <c r="A48" s="274" t="s">
        <v>143</v>
      </c>
      <c r="B48" s="275">
        <f>SUM(B11:B46)</f>
        <v>105014234</v>
      </c>
      <c r="C48" s="276">
        <f>B48/'- 3 -'!D48*100</f>
        <v>4.3550087353366314</v>
      </c>
      <c r="D48" s="275">
        <f>B48/'- 7 -'!E48</f>
        <v>586.42598911070786</v>
      </c>
      <c r="E48" s="275">
        <f>SUM(E11:E46)</f>
        <v>277958596</v>
      </c>
      <c r="F48" s="276">
        <f>E48/'- 3 -'!D48*100</f>
        <v>11.527124157682334</v>
      </c>
      <c r="G48" s="275">
        <f>E48/'- 7 -'!E48</f>
        <v>1552.1909590953512</v>
      </c>
      <c r="H48" s="275">
        <f>SUM(H11:H46)</f>
        <v>40945210</v>
      </c>
      <c r="I48" s="276">
        <f>H48/'- 3 -'!D48*100</f>
        <v>1.6980245479883496</v>
      </c>
      <c r="J48" s="275">
        <f>H48/'- 7 -'!E48</f>
        <v>228.64838754711712</v>
      </c>
    </row>
    <row r="49" spans="1:10" ht="5.0999999999999996" customHeight="1" x14ac:dyDescent="0.2">
      <c r="A49" s="17" t="s">
        <v>1</v>
      </c>
      <c r="B49" s="18"/>
      <c r="C49" s="266"/>
      <c r="D49" s="18"/>
      <c r="E49" s="18"/>
      <c r="F49" s="266"/>
      <c r="H49" s="18"/>
      <c r="I49" s="266"/>
      <c r="J49" s="18"/>
    </row>
    <row r="50" spans="1:10" ht="14.1" customHeight="1" x14ac:dyDescent="0.2">
      <c r="A50" s="15" t="s">
        <v>144</v>
      </c>
      <c r="B50" s="16">
        <f>SUM('- 30 -'!D50,'- 30 -'!B50,'- 29 -'!F50,'- 29 -'!D50,'- 29 -'!B50)</f>
        <v>65300</v>
      </c>
      <c r="C50" s="267">
        <f>B50/'- 3 -'!D50*100</f>
        <v>1.8174824555885778</v>
      </c>
      <c r="D50" s="16">
        <f>B50/'- 7 -'!E50</f>
        <v>388.6904761904762</v>
      </c>
      <c r="E50" s="16">
        <f>SUM('- 32 -'!D50,'- 32 -'!B50,'- 31 -'!F50,'- 31 -'!D50,'- 31 -'!B50)</f>
        <v>542150</v>
      </c>
      <c r="F50" s="267">
        <f>E50/'- 3 -'!D50*100</f>
        <v>15.089557630893527</v>
      </c>
      <c r="G50" s="16">
        <f>E50/'- 7 -'!E50</f>
        <v>3227.0833333333335</v>
      </c>
      <c r="H50" s="16">
        <f>SUM('- 33 -'!B50,'- 33 -'!D50)</f>
        <v>48447</v>
      </c>
      <c r="I50" s="267">
        <f>H50/'- 3 -'!D50*100</f>
        <v>1.3484161183139329</v>
      </c>
      <c r="J50" s="16">
        <f>H50/'- 7 -'!E50</f>
        <v>288.375</v>
      </c>
    </row>
    <row r="51" spans="1:10" ht="14.1" customHeight="1" x14ac:dyDescent="0.2">
      <c r="A51" s="360" t="s">
        <v>514</v>
      </c>
      <c r="B51" s="272">
        <f>SUM('- 30 -'!D51,'- 30 -'!B51,'- 29 -'!F51,'- 29 -'!D51,'- 29 -'!B51)</f>
        <v>0</v>
      </c>
      <c r="C51" s="273">
        <f>B51/'- 3 -'!D51*100</f>
        <v>0</v>
      </c>
      <c r="D51" s="272">
        <f>B51/'- 7 -'!E51</f>
        <v>0</v>
      </c>
      <c r="E51" s="272">
        <f>SUM('- 32 -'!D51,'- 32 -'!B51,'- 31 -'!F51,'- 31 -'!D51,'- 31 -'!B51)</f>
        <v>4104762</v>
      </c>
      <c r="F51" s="273">
        <f>E51/'- 3 -'!D51*100</f>
        <v>12.493698002049024</v>
      </c>
      <c r="G51" s="272">
        <f>E51/'- 7 -'!E51</f>
        <v>2996.1766423357662</v>
      </c>
      <c r="H51" s="272">
        <f>SUM('- 33 -'!B51,'- 33 -'!D51)</f>
        <v>598786</v>
      </c>
      <c r="I51" s="273">
        <f>H51/'- 3 -'!D51*100</f>
        <v>1.8225298937806691</v>
      </c>
      <c r="J51" s="272">
        <f>H51/'- 7 -'!E51</f>
        <v>437.07007299270072</v>
      </c>
    </row>
    <row r="52" spans="1:10" ht="50.1" customHeight="1" x14ac:dyDescent="0.2">
      <c r="B52" s="396" t="str">
        <f>IF(B48='- 10 -'!K22,"","check with page 10")</f>
        <v/>
      </c>
      <c r="C52" s="396"/>
      <c r="D52" s="396"/>
      <c r="E52" s="396"/>
      <c r="F52" s="396"/>
      <c r="G52" s="396"/>
      <c r="H52" s="396" t="str">
        <f>IF($H$48='- 10 -'!K24," ","check with page 10")</f>
        <v xml:space="preserve"> </v>
      </c>
    </row>
    <row r="53" spans="1:10" ht="15" customHeight="1" x14ac:dyDescent="0.2">
      <c r="B53" s="1">
        <f>B48-'- 10 -'!K22</f>
        <v>0</v>
      </c>
    </row>
    <row r="54" spans="1:10" ht="14.45" customHeight="1" x14ac:dyDescent="0.2">
      <c r="B54" s="72"/>
      <c r="C54" s="72"/>
      <c r="E54" s="72"/>
      <c r="F54" s="72"/>
      <c r="H54" s="72"/>
    </row>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6">
    <mergeCell ref="D8:D9"/>
    <mergeCell ref="G8:G9"/>
    <mergeCell ref="J8:J9"/>
    <mergeCell ref="H6:J7"/>
    <mergeCell ref="E6:G7"/>
    <mergeCell ref="B6:D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59"/>
  <sheetViews>
    <sheetView showGridLines="0" showZeros="0" workbookViewId="0"/>
  </sheetViews>
  <sheetFormatPr defaultColWidth="15.83203125" defaultRowHeight="12" x14ac:dyDescent="0.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54" ht="6.95" customHeight="1" x14ac:dyDescent="0.2">
      <c r="A1" s="3"/>
      <c r="B1" s="32"/>
      <c r="C1" s="32"/>
      <c r="D1" s="32"/>
      <c r="E1" s="32"/>
      <c r="F1" s="32"/>
      <c r="G1" s="32"/>
    </row>
    <row r="2" spans="1:54" ht="15.95" customHeight="1" x14ac:dyDescent="0.2">
      <c r="A2" s="132"/>
      <c r="B2" s="5" t="str">
        <f>IF(Lang=1,BA2,BB2)</f>
        <v>ANALYSIS OF EXPENSE BY PROGRAM</v>
      </c>
      <c r="C2" s="155"/>
      <c r="D2" s="35"/>
      <c r="E2" s="35"/>
      <c r="F2" s="35"/>
      <c r="G2" s="502" t="s">
        <v>523</v>
      </c>
      <c r="BA2" s="456" t="s">
        <v>258</v>
      </c>
      <c r="BB2" s="456" t="s">
        <v>402</v>
      </c>
    </row>
    <row r="3" spans="1:54" ht="15.95" customHeight="1" x14ac:dyDescent="0.2">
      <c r="A3" s="135"/>
      <c r="B3" s="175" t="str">
        <f>OPYEAR</f>
        <v>OPERATING FUND 2018/2019 BUDGET</v>
      </c>
      <c r="C3" s="39"/>
      <c r="D3" s="156"/>
      <c r="E3" s="39"/>
      <c r="F3" s="39"/>
      <c r="G3" s="41"/>
    </row>
    <row r="4" spans="1:54" ht="15.95" customHeight="1" x14ac:dyDescent="0.2">
      <c r="B4" s="32"/>
      <c r="C4" s="32"/>
      <c r="D4" s="32"/>
      <c r="E4" s="32"/>
      <c r="F4" s="32"/>
      <c r="G4" s="32"/>
    </row>
    <row r="5" spans="1:54" ht="15.95" customHeight="1" x14ac:dyDescent="0.2">
      <c r="B5" s="628" t="s">
        <v>6</v>
      </c>
      <c r="C5" s="629"/>
      <c r="D5" s="629"/>
      <c r="E5" s="629"/>
      <c r="F5" s="629"/>
      <c r="G5" s="630"/>
    </row>
    <row r="6" spans="1:54" ht="15.95" customHeight="1" x14ac:dyDescent="0.2">
      <c r="B6" s="631" t="s">
        <v>14</v>
      </c>
      <c r="C6" s="632"/>
      <c r="D6" s="633"/>
      <c r="E6" s="637" t="s">
        <v>403</v>
      </c>
      <c r="F6" s="638"/>
      <c r="G6" s="639"/>
    </row>
    <row r="7" spans="1:54" ht="15.95" customHeight="1" x14ac:dyDescent="0.2">
      <c r="B7" s="634"/>
      <c r="C7" s="635"/>
      <c r="D7" s="636"/>
      <c r="E7" s="640"/>
      <c r="F7" s="641"/>
      <c r="G7" s="642"/>
    </row>
    <row r="8" spans="1:54" ht="15.95" customHeight="1" x14ac:dyDescent="0.2">
      <c r="A8" s="82"/>
      <c r="B8" s="160"/>
      <c r="C8" s="161"/>
      <c r="D8" s="529" t="s">
        <v>396</v>
      </c>
      <c r="E8" s="162"/>
      <c r="F8" s="161"/>
      <c r="G8" s="529" t="s">
        <v>396</v>
      </c>
    </row>
    <row r="9" spans="1:54" ht="15.95" customHeight="1" x14ac:dyDescent="0.2">
      <c r="A9" s="27" t="s">
        <v>37</v>
      </c>
      <c r="B9" s="43" t="s">
        <v>38</v>
      </c>
      <c r="C9" s="43" t="s">
        <v>39</v>
      </c>
      <c r="D9" s="569"/>
      <c r="E9" s="163" t="s">
        <v>38</v>
      </c>
      <c r="F9" s="43" t="s">
        <v>39</v>
      </c>
      <c r="G9" s="569"/>
    </row>
    <row r="10" spans="1:54" ht="5.0999999999999996" customHeight="1" x14ac:dyDescent="0.2">
      <c r="A10" s="29"/>
      <c r="B10" s="46"/>
      <c r="C10" s="46"/>
      <c r="D10" s="46"/>
      <c r="E10" s="46"/>
      <c r="F10" s="46"/>
      <c r="G10" s="46"/>
    </row>
    <row r="11" spans="1:54" ht="14.1" customHeight="1" x14ac:dyDescent="0.2">
      <c r="A11" s="271" t="s">
        <v>108</v>
      </c>
      <c r="B11" s="272">
        <v>1360025</v>
      </c>
      <c r="C11" s="273">
        <f>B11/'- 3 -'!$D11*100</f>
        <v>6.682489134275861</v>
      </c>
      <c r="D11" s="272">
        <f>B11/'- 7 -'!$C11</f>
        <v>754.1031327973385</v>
      </c>
      <c r="E11" s="272">
        <v>0</v>
      </c>
      <c r="F11" s="273">
        <f>E11/'- 3 -'!$D11*100</f>
        <v>0</v>
      </c>
      <c r="G11" s="272" t="str">
        <f>IF('- 7 -'!$B11=0,"",E11/'- 7 -'!$B11)</f>
        <v/>
      </c>
    </row>
    <row r="12" spans="1:54" ht="14.1" customHeight="1" x14ac:dyDescent="0.2">
      <c r="A12" s="15" t="s">
        <v>109</v>
      </c>
      <c r="B12" s="16">
        <v>2798782</v>
      </c>
      <c r="C12" s="267">
        <f>B12/'- 3 -'!$D12*100</f>
        <v>8.0157410599983567</v>
      </c>
      <c r="D12" s="16">
        <f>B12/'- 7 -'!$C12</f>
        <v>1313.6737854963624</v>
      </c>
      <c r="E12" s="16">
        <v>1394278</v>
      </c>
      <c r="F12" s="267">
        <f>E12/'- 3 -'!$D12*100</f>
        <v>3.9932268442673955</v>
      </c>
      <c r="G12" s="16">
        <f>IF('- 7 -'!$B12=0,"",E12/'- 7 -'!$B12)</f>
        <v>10177.211678832116</v>
      </c>
    </row>
    <row r="13" spans="1:54" ht="14.1" customHeight="1" x14ac:dyDescent="0.2">
      <c r="A13" s="271" t="s">
        <v>110</v>
      </c>
      <c r="B13" s="272">
        <v>7287900</v>
      </c>
      <c r="C13" s="273">
        <f>B13/'- 3 -'!$D13*100</f>
        <v>6.9999097145250113</v>
      </c>
      <c r="D13" s="272">
        <f>B13/'- 7 -'!$C13</f>
        <v>848.02187572725154</v>
      </c>
      <c r="E13" s="272">
        <v>3740200</v>
      </c>
      <c r="F13" s="273">
        <f>E13/'- 3 -'!$D13*100</f>
        <v>3.5924014207476018</v>
      </c>
      <c r="G13" s="272">
        <f>IF('- 7 -'!$B13=0,"",E13/'- 7 -'!$B13)</f>
        <v>8008.9935760171302</v>
      </c>
    </row>
    <row r="14" spans="1:54" ht="14.1" customHeight="1" x14ac:dyDescent="0.2">
      <c r="A14" s="15" t="s">
        <v>319</v>
      </c>
      <c r="B14" s="16">
        <v>6714363</v>
      </c>
      <c r="C14" s="267">
        <f>B14/'- 3 -'!$D14*100</f>
        <v>7.1944547189599737</v>
      </c>
      <c r="D14" s="16">
        <f>B14/'- 7 -'!$C14</f>
        <v>1159.6481865284975</v>
      </c>
      <c r="E14" s="16">
        <v>257031</v>
      </c>
      <c r="F14" s="267">
        <f>E14/'- 3 -'!$D14*100</f>
        <v>0.2754092816949279</v>
      </c>
      <c r="G14" s="16">
        <f>IF('- 7 -'!$B14=0,"",E14/'- 7 -'!$B14)</f>
        <v>7559.7352941176468</v>
      </c>
    </row>
    <row r="15" spans="1:54" ht="14.1" customHeight="1" x14ac:dyDescent="0.2">
      <c r="A15" s="271" t="s">
        <v>111</v>
      </c>
      <c r="B15" s="272">
        <v>1627665</v>
      </c>
      <c r="C15" s="273">
        <f>B15/'- 3 -'!$D15*100</f>
        <v>7.8327396694471387</v>
      </c>
      <c r="D15" s="272">
        <f>B15/'- 7 -'!$C15</f>
        <v>1206.5715344699777</v>
      </c>
      <c r="E15" s="272">
        <v>110500</v>
      </c>
      <c r="F15" s="273">
        <f>E15/'- 3 -'!$D15*100</f>
        <v>0.5317542206006205</v>
      </c>
      <c r="G15" s="272">
        <f>IF('- 7 -'!$B15=0,"",E15/'- 7 -'!$B15)</f>
        <v>5525</v>
      </c>
    </row>
    <row r="16" spans="1:54" ht="14.1" customHeight="1" x14ac:dyDescent="0.2">
      <c r="A16" s="15" t="s">
        <v>112</v>
      </c>
      <c r="B16" s="16">
        <v>1298854</v>
      </c>
      <c r="C16" s="267">
        <f>B16/'- 3 -'!$D16*100</f>
        <v>8.7362340083387622</v>
      </c>
      <c r="D16" s="16">
        <f>B16/'- 7 -'!$C16</f>
        <v>1407.2091007583965</v>
      </c>
      <c r="E16" s="16">
        <v>0</v>
      </c>
      <c r="F16" s="267">
        <f>E16/'- 3 -'!$D16*100</f>
        <v>0</v>
      </c>
      <c r="G16" s="16" t="str">
        <f>IF('- 7 -'!$B16=0,"",E16/'- 7 -'!$B16)</f>
        <v/>
      </c>
    </row>
    <row r="17" spans="1:7" ht="14.1" customHeight="1" x14ac:dyDescent="0.2">
      <c r="A17" s="271" t="s">
        <v>113</v>
      </c>
      <c r="B17" s="272">
        <v>1380114</v>
      </c>
      <c r="C17" s="273">
        <f>B17/'- 3 -'!$D17*100</f>
        <v>7.379980152701636</v>
      </c>
      <c r="D17" s="272">
        <f>B17/'- 7 -'!$C17</f>
        <v>990.03873744619796</v>
      </c>
      <c r="E17" s="272">
        <v>205600</v>
      </c>
      <c r="F17" s="273">
        <f>E17/'- 3 -'!$D17*100</f>
        <v>1.099419264926996</v>
      </c>
      <c r="G17" s="272">
        <f>IF('- 7 -'!$B17=0,"",E17/'- 7 -'!$B17)</f>
        <v>10280</v>
      </c>
    </row>
    <row r="18" spans="1:7" ht="14.1" customHeight="1" x14ac:dyDescent="0.2">
      <c r="A18" s="15" t="s">
        <v>114</v>
      </c>
      <c r="B18" s="16">
        <v>7390339</v>
      </c>
      <c r="C18" s="267">
        <f>B18/'- 3 -'!$D18*100</f>
        <v>5.4876344058834903</v>
      </c>
      <c r="D18" s="16">
        <f>B18/'- 7 -'!$C18</f>
        <v>1204.5799647933238</v>
      </c>
      <c r="E18" s="16">
        <v>658648</v>
      </c>
      <c r="F18" s="267">
        <f>E18/'- 3 -'!$D18*100</f>
        <v>0.48907356295378995</v>
      </c>
      <c r="G18" s="16">
        <f>IF('- 7 -'!$B18=0,"",E18/'- 7 -'!$B18)</f>
        <v>11975.418181818182</v>
      </c>
    </row>
    <row r="19" spans="1:7" ht="14.1" customHeight="1" x14ac:dyDescent="0.2">
      <c r="A19" s="271" t="s">
        <v>115</v>
      </c>
      <c r="B19" s="272">
        <v>3173000</v>
      </c>
      <c r="C19" s="273">
        <f>B19/'- 3 -'!$D19*100</f>
        <v>6.3054433881275624</v>
      </c>
      <c r="D19" s="272">
        <f>B19/'- 7 -'!$C19</f>
        <v>727.50200619053078</v>
      </c>
      <c r="E19" s="272">
        <v>1389900</v>
      </c>
      <c r="F19" s="273">
        <f>E19/'- 3 -'!$D19*100</f>
        <v>2.7620345934946422</v>
      </c>
      <c r="G19" s="272">
        <f>IF('- 7 -'!$B19=0,"",E19/'- 7 -'!$B19)</f>
        <v>11582.5</v>
      </c>
    </row>
    <row r="20" spans="1:7" ht="14.1" customHeight="1" x14ac:dyDescent="0.2">
      <c r="A20" s="15" t="s">
        <v>116</v>
      </c>
      <c r="B20" s="16">
        <v>6474600</v>
      </c>
      <c r="C20" s="267">
        <f>B20/'- 3 -'!$D20*100</f>
        <v>7.4205493723374625</v>
      </c>
      <c r="D20" s="16">
        <f>B20/'- 7 -'!$C20</f>
        <v>823.32146490335708</v>
      </c>
      <c r="E20" s="16">
        <v>3329200</v>
      </c>
      <c r="F20" s="267">
        <f>E20/'- 3 -'!$D20*100</f>
        <v>3.8156014225412966</v>
      </c>
      <c r="G20" s="16">
        <f>IF('- 7 -'!$B20=0,"",E20/'- 7 -'!$B20)</f>
        <v>7471.2746858168757</v>
      </c>
    </row>
    <row r="21" spans="1:7" ht="14.1" customHeight="1" x14ac:dyDescent="0.2">
      <c r="A21" s="271" t="s">
        <v>117</v>
      </c>
      <c r="B21" s="272">
        <v>3162517</v>
      </c>
      <c r="C21" s="273">
        <f>B21/'- 3 -'!$D21*100</f>
        <v>8.4199920020490087</v>
      </c>
      <c r="D21" s="272">
        <f>B21/'- 7 -'!$C21</f>
        <v>1127.2561040812689</v>
      </c>
      <c r="E21" s="272">
        <v>0</v>
      </c>
      <c r="F21" s="273">
        <f>E21/'- 3 -'!$D21*100</f>
        <v>0</v>
      </c>
      <c r="G21" s="272" t="str">
        <f>IF('- 7 -'!$B21=0,"",E21/'- 7 -'!$B21)</f>
        <v/>
      </c>
    </row>
    <row r="22" spans="1:7" ht="14.1" customHeight="1" x14ac:dyDescent="0.2">
      <c r="A22" s="15" t="s">
        <v>118</v>
      </c>
      <c r="B22" s="16">
        <v>1492588</v>
      </c>
      <c r="C22" s="267">
        <f>B22/'- 3 -'!$D22*100</f>
        <v>7.147458336485851</v>
      </c>
      <c r="D22" s="16">
        <f>B22/'- 7 -'!$C22</f>
        <v>1024.2849300027449</v>
      </c>
      <c r="E22" s="16">
        <v>0</v>
      </c>
      <c r="F22" s="267">
        <f>E22/'- 3 -'!$D22*100</f>
        <v>0</v>
      </c>
      <c r="G22" s="16" t="str">
        <f>IF('- 7 -'!$B22=0,"",E22/'- 7 -'!$B22)</f>
        <v/>
      </c>
    </row>
    <row r="23" spans="1:7" ht="14.1" customHeight="1" x14ac:dyDescent="0.2">
      <c r="A23" s="271" t="s">
        <v>119</v>
      </c>
      <c r="B23" s="272">
        <v>1127800</v>
      </c>
      <c r="C23" s="273">
        <f>B23/'- 3 -'!$D23*100</f>
        <v>6.6459192358760371</v>
      </c>
      <c r="D23" s="272">
        <f>B23/'- 7 -'!$C23</f>
        <v>1084.4230769230769</v>
      </c>
      <c r="E23" s="272">
        <v>136500</v>
      </c>
      <c r="F23" s="273">
        <f>E23/'- 3 -'!$D23*100</f>
        <v>0.80436954752356715</v>
      </c>
      <c r="G23" s="272">
        <f>IF('- 7 -'!$B23=0,"",E23/'- 7 -'!$B23)</f>
        <v>9750</v>
      </c>
    </row>
    <row r="24" spans="1:7" ht="14.1" customHeight="1" x14ac:dyDescent="0.2">
      <c r="A24" s="15" t="s">
        <v>120</v>
      </c>
      <c r="B24" s="16">
        <v>4699135</v>
      </c>
      <c r="C24" s="267">
        <f>B24/'- 3 -'!$D24*100</f>
        <v>8.0439271737896085</v>
      </c>
      <c r="D24" s="16">
        <f>B24/'- 7 -'!$C24</f>
        <v>1244.4743114406779</v>
      </c>
      <c r="E24" s="16">
        <v>1942810</v>
      </c>
      <c r="F24" s="267">
        <f>E24/'- 3 -'!$D24*100</f>
        <v>3.3256806098378084</v>
      </c>
      <c r="G24" s="16">
        <f>IF('- 7 -'!$B24=0,"",E24/'- 7 -'!$B24)</f>
        <v>7865.6275303643724</v>
      </c>
    </row>
    <row r="25" spans="1:7" ht="14.1" customHeight="1" x14ac:dyDescent="0.2">
      <c r="A25" s="271" t="s">
        <v>121</v>
      </c>
      <c r="B25" s="272">
        <v>14646035</v>
      </c>
      <c r="C25" s="273">
        <f>B25/'- 3 -'!$D25*100</f>
        <v>7.7947017560033096</v>
      </c>
      <c r="D25" s="272">
        <f>B25/'- 7 -'!$C25</f>
        <v>983.94591871011085</v>
      </c>
      <c r="E25" s="272">
        <v>1670141</v>
      </c>
      <c r="F25" s="273">
        <f>E25/'- 3 -'!$D25*100</f>
        <v>0.88885838286424435</v>
      </c>
      <c r="G25" s="272">
        <f>IF('- 7 -'!$B25=0,"",E25/'- 7 -'!$B25)</f>
        <v>13999.505448449288</v>
      </c>
    </row>
    <row r="26" spans="1:7" ht="14.1" customHeight="1" x14ac:dyDescent="0.2">
      <c r="A26" s="15" t="s">
        <v>122</v>
      </c>
      <c r="B26" s="16">
        <v>3520168</v>
      </c>
      <c r="C26" s="267">
        <f>B26/'- 3 -'!$D26*100</f>
        <v>8.5810474526097096</v>
      </c>
      <c r="D26" s="16">
        <f>B26/'- 7 -'!$C26</f>
        <v>1240.1507838647174</v>
      </c>
      <c r="E26" s="16">
        <v>821776</v>
      </c>
      <c r="F26" s="267">
        <f>E26/'- 3 -'!$D26*100</f>
        <v>2.0032279287283439</v>
      </c>
      <c r="G26" s="16">
        <f>IF('- 7 -'!$B26=0,"",E26/'- 7 -'!$B26)</f>
        <v>4968.4159613059246</v>
      </c>
    </row>
    <row r="27" spans="1:7" ht="14.1" customHeight="1" x14ac:dyDescent="0.2">
      <c r="A27" s="271" t="s">
        <v>123</v>
      </c>
      <c r="B27" s="272">
        <v>2753692</v>
      </c>
      <c r="C27" s="273">
        <f>B27/'- 3 -'!$D27*100</f>
        <v>6.4452406322612887</v>
      </c>
      <c r="D27" s="272">
        <f>B27/'- 7 -'!$C27</f>
        <v>903.73875943551036</v>
      </c>
      <c r="E27" s="272">
        <v>1152951</v>
      </c>
      <c r="F27" s="273">
        <f>E27/'- 3 -'!$D27*100</f>
        <v>2.69857581465403</v>
      </c>
      <c r="G27" s="272">
        <f>IF('- 7 -'!$B27=0,"",E27/'- 7 -'!$B27)</f>
        <v>6208.6752827140554</v>
      </c>
    </row>
    <row r="28" spans="1:7" ht="14.1" customHeight="1" x14ac:dyDescent="0.2">
      <c r="A28" s="15" t="s">
        <v>124</v>
      </c>
      <c r="B28" s="16">
        <v>2172034</v>
      </c>
      <c r="C28" s="267">
        <f>B28/'- 3 -'!$D28*100</f>
        <v>7.5436711638792451</v>
      </c>
      <c r="D28" s="16">
        <f>B28/'- 7 -'!$C28</f>
        <v>1109.879407256004</v>
      </c>
      <c r="E28" s="16">
        <v>0</v>
      </c>
      <c r="F28" s="267">
        <f>E28/'- 3 -'!$D28*100</f>
        <v>0</v>
      </c>
      <c r="G28" s="16" t="str">
        <f>IF('- 7 -'!$B28=0,"",E28/'- 7 -'!$B28)</f>
        <v/>
      </c>
    </row>
    <row r="29" spans="1:7" ht="14.1" customHeight="1" x14ac:dyDescent="0.2">
      <c r="A29" s="271" t="s">
        <v>125</v>
      </c>
      <c r="B29" s="272">
        <v>12561267</v>
      </c>
      <c r="C29" s="273">
        <f>B29/'- 3 -'!$D29*100</f>
        <v>7.3954118994375833</v>
      </c>
      <c r="D29" s="272">
        <f>B29/'- 7 -'!$C29</f>
        <v>929.71356460339427</v>
      </c>
      <c r="E29" s="272">
        <v>0</v>
      </c>
      <c r="F29" s="273">
        <f>E29/'- 3 -'!$D29*100</f>
        <v>0</v>
      </c>
      <c r="G29" s="272" t="str">
        <f>IF('- 7 -'!$B29=0,"",E29/'- 7 -'!$B29)</f>
        <v/>
      </c>
    </row>
    <row r="30" spans="1:7" ht="14.1" customHeight="1" x14ac:dyDescent="0.2">
      <c r="A30" s="15" t="s">
        <v>126</v>
      </c>
      <c r="B30" s="16">
        <v>1134443</v>
      </c>
      <c r="C30" s="267">
        <f>B30/'- 3 -'!$D30*100</f>
        <v>7.4252918868866686</v>
      </c>
      <c r="D30" s="16">
        <f>B30/'- 7 -'!$C30</f>
        <v>1123.2108910891088</v>
      </c>
      <c r="E30" s="16">
        <v>96500</v>
      </c>
      <c r="F30" s="267">
        <f>E30/'- 3 -'!$D30*100</f>
        <v>0.63162333152442518</v>
      </c>
      <c r="G30" s="16">
        <f>IF('- 7 -'!$B30=0,"",E30/'- 7 -'!$B30)</f>
        <v>8041.666666666667</v>
      </c>
    </row>
    <row r="31" spans="1:7" ht="14.1" customHeight="1" x14ac:dyDescent="0.2">
      <c r="A31" s="271" t="s">
        <v>127</v>
      </c>
      <c r="B31" s="272">
        <v>3020869</v>
      </c>
      <c r="C31" s="273">
        <f>B31/'- 3 -'!$D31*100</f>
        <v>7.7633467895280068</v>
      </c>
      <c r="D31" s="272">
        <f>B31/'- 7 -'!$C31</f>
        <v>930.38559857094458</v>
      </c>
      <c r="E31" s="272">
        <v>846519</v>
      </c>
      <c r="F31" s="273">
        <f>E31/'- 3 -'!$D31*100</f>
        <v>2.1754735345771228</v>
      </c>
      <c r="G31" s="272">
        <f>IF('- 7 -'!$B31=0,"",E31/'- 7 -'!$B31)</f>
        <v>6613.4296875</v>
      </c>
    </row>
    <row r="32" spans="1:7" ht="14.1" customHeight="1" x14ac:dyDescent="0.2">
      <c r="A32" s="15" t="s">
        <v>128</v>
      </c>
      <c r="B32" s="16">
        <v>2386072</v>
      </c>
      <c r="C32" s="267">
        <f>B32/'- 3 -'!$D32*100</f>
        <v>7.6896918183116654</v>
      </c>
      <c r="D32" s="16">
        <f>B32/'- 7 -'!$C32</f>
        <v>1054.1515352330462</v>
      </c>
      <c r="E32" s="16">
        <v>0</v>
      </c>
      <c r="F32" s="267">
        <f>E32/'- 3 -'!$D32*100</f>
        <v>0</v>
      </c>
      <c r="G32" s="16" t="str">
        <f>IF('- 7 -'!$B32=0,"",E32/'- 7 -'!$B32)</f>
        <v/>
      </c>
    </row>
    <row r="33" spans="1:7" ht="14.1" customHeight="1" x14ac:dyDescent="0.2">
      <c r="A33" s="271" t="s">
        <v>129</v>
      </c>
      <c r="B33" s="272">
        <v>2896765</v>
      </c>
      <c r="C33" s="273">
        <f>B33/'- 3 -'!$D33*100</f>
        <v>10.156201517909077</v>
      </c>
      <c r="D33" s="272">
        <f>B33/'- 7 -'!$C33</f>
        <v>1411.3349573690621</v>
      </c>
      <c r="E33" s="272">
        <v>0</v>
      </c>
      <c r="F33" s="273">
        <f>E33/'- 3 -'!$D33*100</f>
        <v>0</v>
      </c>
      <c r="G33" s="272" t="str">
        <f>IF('- 7 -'!$B33=0,"",E33/'- 7 -'!$B33)</f>
        <v/>
      </c>
    </row>
    <row r="34" spans="1:7" ht="14.1" customHeight="1" x14ac:dyDescent="0.2">
      <c r="A34" s="15" t="s">
        <v>130</v>
      </c>
      <c r="B34" s="16">
        <v>2503036</v>
      </c>
      <c r="C34" s="267">
        <f>B34/'- 3 -'!$D34*100</f>
        <v>8.0358838951869984</v>
      </c>
      <c r="D34" s="16">
        <f>B34/'- 7 -'!$C34</f>
        <v>1153.8450191305951</v>
      </c>
      <c r="E34" s="16">
        <v>337823</v>
      </c>
      <c r="F34" s="267">
        <f>E34/'- 3 -'!$D34*100</f>
        <v>1.0845654657478987</v>
      </c>
      <c r="G34" s="16">
        <f>IF('- 7 -'!$B34=0,"",E34/'- 7 -'!$B34)</f>
        <v>14816.798245614034</v>
      </c>
    </row>
    <row r="35" spans="1:7" ht="14.1" customHeight="1" x14ac:dyDescent="0.2">
      <c r="A35" s="271" t="s">
        <v>131</v>
      </c>
      <c r="B35" s="272">
        <v>13963028</v>
      </c>
      <c r="C35" s="273">
        <f>B35/'- 3 -'!$D35*100</f>
        <v>7.3140280361642578</v>
      </c>
      <c r="D35" s="272">
        <f>B35/'- 7 -'!$C35</f>
        <v>864.90510406342912</v>
      </c>
      <c r="E35" s="272">
        <v>3756492</v>
      </c>
      <c r="F35" s="273">
        <f>E35/'- 3 -'!$D35*100</f>
        <v>1.9677026935437461</v>
      </c>
      <c r="G35" s="272">
        <f>IF('- 7 -'!$B35=0,"",E35/'- 7 -'!$B35)</f>
        <v>5366.4171428571426</v>
      </c>
    </row>
    <row r="36" spans="1:7" ht="14.1" customHeight="1" x14ac:dyDescent="0.2">
      <c r="A36" s="15" t="s">
        <v>132</v>
      </c>
      <c r="B36" s="16">
        <v>2008500</v>
      </c>
      <c r="C36" s="267">
        <f>B36/'- 3 -'!$D36*100</f>
        <v>8.3316049280292024</v>
      </c>
      <c r="D36" s="16">
        <f>B36/'- 7 -'!$C36</f>
        <v>1179.7356828193833</v>
      </c>
      <c r="E36" s="16">
        <v>136045</v>
      </c>
      <c r="F36" s="267">
        <f>E36/'- 3 -'!$D36*100</f>
        <v>0.56433815904094242</v>
      </c>
      <c r="G36" s="16">
        <f>IF('- 7 -'!$B36=0,"",E36/'- 7 -'!$B36)</f>
        <v>21594.444444444445</v>
      </c>
    </row>
    <row r="37" spans="1:7" ht="14.1" customHeight="1" x14ac:dyDescent="0.2">
      <c r="A37" s="271" t="s">
        <v>133</v>
      </c>
      <c r="B37" s="272">
        <v>4471641</v>
      </c>
      <c r="C37" s="273">
        <f>B37/'- 3 -'!$D37*100</f>
        <v>8.4294878561895352</v>
      </c>
      <c r="D37" s="272">
        <f>B37/'- 7 -'!$C37</f>
        <v>1048.45041031653</v>
      </c>
      <c r="E37" s="272">
        <v>0</v>
      </c>
      <c r="F37" s="273">
        <f>E37/'- 3 -'!$D37*100</f>
        <v>0</v>
      </c>
      <c r="G37" s="272" t="str">
        <f>IF('- 7 -'!$B37=0,"",E37/'- 7 -'!$B37)</f>
        <v/>
      </c>
    </row>
    <row r="38" spans="1:7" ht="14.1" customHeight="1" x14ac:dyDescent="0.2">
      <c r="A38" s="15" t="s">
        <v>134</v>
      </c>
      <c r="B38" s="16">
        <v>11045920</v>
      </c>
      <c r="C38" s="267">
        <f>B38/'- 3 -'!$D38*100</f>
        <v>7.6309337053169877</v>
      </c>
      <c r="D38" s="16">
        <f>B38/'- 7 -'!$C38</f>
        <v>983.34549986646493</v>
      </c>
      <c r="E38" s="16">
        <v>1445240</v>
      </c>
      <c r="F38" s="267">
        <f>E38/'- 3 -'!$D38*100</f>
        <v>0.9984257199284734</v>
      </c>
      <c r="G38" s="16">
        <f>IF('- 7 -'!$B38=0,"",E38/'- 7 -'!$B38)</f>
        <v>7854.565217391304</v>
      </c>
    </row>
    <row r="39" spans="1:7" ht="14.1" customHeight="1" x14ac:dyDescent="0.2">
      <c r="A39" s="271" t="s">
        <v>135</v>
      </c>
      <c r="B39" s="272">
        <v>1553578</v>
      </c>
      <c r="C39" s="273">
        <f>B39/'- 3 -'!$D39*100</f>
        <v>6.6670792166311301</v>
      </c>
      <c r="D39" s="272">
        <f>B39/'- 7 -'!$C39</f>
        <v>1026.8195637805684</v>
      </c>
      <c r="E39" s="272">
        <v>0</v>
      </c>
      <c r="F39" s="273">
        <f>E39/'- 3 -'!$D39*100</f>
        <v>0</v>
      </c>
      <c r="G39" s="272" t="str">
        <f>IF('- 7 -'!$B39=0,"",E39/'- 7 -'!$B39)</f>
        <v/>
      </c>
    </row>
    <row r="40" spans="1:7" ht="14.1" customHeight="1" x14ac:dyDescent="0.2">
      <c r="A40" s="15" t="s">
        <v>136</v>
      </c>
      <c r="B40" s="16">
        <v>8874128</v>
      </c>
      <c r="C40" s="267">
        <f>B40/'- 3 -'!$D40*100</f>
        <v>8.1905978719778734</v>
      </c>
      <c r="D40" s="16">
        <f>B40/'- 7 -'!$C40</f>
        <v>1062.5789379153446</v>
      </c>
      <c r="E40" s="16">
        <v>1779828</v>
      </c>
      <c r="F40" s="267">
        <f>E40/'- 3 -'!$D40*100</f>
        <v>1.6427366642994818</v>
      </c>
      <c r="G40" s="16">
        <f>IF('- 7 -'!$B40=0,"",E40/'- 7 -'!$B40)</f>
        <v>6541.8017421986988</v>
      </c>
    </row>
    <row r="41" spans="1:7" ht="14.1" customHeight="1" x14ac:dyDescent="0.2">
      <c r="A41" s="271" t="s">
        <v>137</v>
      </c>
      <c r="B41" s="272">
        <v>4545483</v>
      </c>
      <c r="C41" s="273">
        <f>B41/'- 3 -'!$D41*100</f>
        <v>6.9921069423644262</v>
      </c>
      <c r="D41" s="272">
        <f>B41/'- 7 -'!$C41</f>
        <v>1042.7811424638678</v>
      </c>
      <c r="E41" s="272">
        <v>60027</v>
      </c>
      <c r="F41" s="273">
        <f>E41/'- 3 -'!$D41*100</f>
        <v>9.2336766726288363E-2</v>
      </c>
      <c r="G41" s="272">
        <f>IF('- 7 -'!$B41=0,"",E41/'- 7 -'!$B41)</f>
        <v>8575.2857142857138</v>
      </c>
    </row>
    <row r="42" spans="1:7" ht="14.1" customHeight="1" x14ac:dyDescent="0.2">
      <c r="A42" s="15" t="s">
        <v>138</v>
      </c>
      <c r="B42" s="16">
        <v>1789059</v>
      </c>
      <c r="C42" s="267">
        <f>B42/'- 3 -'!$D42*100</f>
        <v>8.4021182220295234</v>
      </c>
      <c r="D42" s="16">
        <f>B42/'- 7 -'!$C42</f>
        <v>1272.4459459459461</v>
      </c>
      <c r="E42" s="16">
        <v>1140907</v>
      </c>
      <c r="F42" s="267">
        <f>E42/'- 3 -'!$D42*100</f>
        <v>5.358143859057213</v>
      </c>
      <c r="G42" s="16">
        <f>IF('- 7 -'!$B42=0,"",E42/'- 7 -'!$B42)</f>
        <v>8983.5196850393695</v>
      </c>
    </row>
    <row r="43" spans="1:7" ht="14.1" customHeight="1" x14ac:dyDescent="0.2">
      <c r="A43" s="271" t="s">
        <v>139</v>
      </c>
      <c r="B43" s="272">
        <v>824520</v>
      </c>
      <c r="C43" s="273">
        <f>B43/'- 3 -'!$D43*100</f>
        <v>5.9835163746619431</v>
      </c>
      <c r="D43" s="272">
        <f>B43/'- 7 -'!$C43</f>
        <v>868.37282780410737</v>
      </c>
      <c r="E43" s="272">
        <v>128440</v>
      </c>
      <c r="F43" s="273">
        <f>E43/'- 3 -'!$D43*100</f>
        <v>0.93208514427979905</v>
      </c>
      <c r="G43" s="272">
        <f>IF('- 7 -'!$B43=0,"",E43/'- 7 -'!$B43)</f>
        <v>4587.1428571428569</v>
      </c>
    </row>
    <row r="44" spans="1:7" ht="14.1" customHeight="1" x14ac:dyDescent="0.2">
      <c r="A44" s="15" t="s">
        <v>140</v>
      </c>
      <c r="B44" s="16">
        <v>711904</v>
      </c>
      <c r="C44" s="267">
        <f>B44/'- 3 -'!$D44*100</f>
        <v>6.3097647203971858</v>
      </c>
      <c r="D44" s="16">
        <f>B44/'- 7 -'!$C44</f>
        <v>1025.0597552195825</v>
      </c>
      <c r="E44" s="16">
        <v>0</v>
      </c>
      <c r="F44" s="267">
        <f>E44/'- 3 -'!$D44*100</f>
        <v>0</v>
      </c>
      <c r="G44" s="16" t="str">
        <f>IF('- 7 -'!$B44=0,"",E44/'- 7 -'!$B44)</f>
        <v/>
      </c>
    </row>
    <row r="45" spans="1:7" ht="14.1" customHeight="1" x14ac:dyDescent="0.2">
      <c r="A45" s="271" t="s">
        <v>141</v>
      </c>
      <c r="B45" s="272">
        <v>1514323</v>
      </c>
      <c r="C45" s="273">
        <f>B45/'- 3 -'!$D45*100</f>
        <v>7.3084896400366528</v>
      </c>
      <c r="D45" s="272">
        <f>B45/'- 7 -'!$C45</f>
        <v>842.22636262513902</v>
      </c>
      <c r="E45" s="272">
        <v>361110</v>
      </c>
      <c r="F45" s="273">
        <f>E45/'- 3 -'!$D45*100</f>
        <v>1.7428043382512421</v>
      </c>
      <c r="G45" s="272">
        <f>IF('- 7 -'!$B45=0,"",E45/'- 7 -'!$B45)</f>
        <v>10030.833333333334</v>
      </c>
    </row>
    <row r="46" spans="1:7" ht="14.1" customHeight="1" x14ac:dyDescent="0.2">
      <c r="A46" s="15" t="s">
        <v>142</v>
      </c>
      <c r="B46" s="16">
        <v>29394000</v>
      </c>
      <c r="C46" s="267">
        <f>B46/'- 3 -'!$D46*100</f>
        <v>7.2312800465356517</v>
      </c>
      <c r="D46" s="16">
        <f>B46/'- 7 -'!$C46</f>
        <v>971.54189390183444</v>
      </c>
      <c r="E46" s="16">
        <v>6322200</v>
      </c>
      <c r="F46" s="267">
        <f>E46/'- 3 -'!$D46*100</f>
        <v>1.555337780166282</v>
      </c>
      <c r="G46" s="16">
        <f>IF('- 7 -'!$B46=0,"",E46/'- 7 -'!$B46)</f>
        <v>9710.0291813853473</v>
      </c>
    </row>
    <row r="47" spans="1:7" ht="5.0999999999999996" customHeight="1" x14ac:dyDescent="0.2">
      <c r="A47"/>
      <c r="B47"/>
      <c r="C47"/>
      <c r="D47"/>
      <c r="E47"/>
      <c r="F47"/>
      <c r="G47"/>
    </row>
    <row r="48" spans="1:7" ht="14.1" customHeight="1" x14ac:dyDescent="0.2">
      <c r="A48" s="274" t="s">
        <v>143</v>
      </c>
      <c r="B48" s="275">
        <f>SUM(B11:B46)</f>
        <v>178278147</v>
      </c>
      <c r="C48" s="276">
        <f>B48/'- 3 -'!$D48*100</f>
        <v>7.3933109630131471</v>
      </c>
      <c r="D48" s="275">
        <f>B48/'- 7 -'!$C48</f>
        <v>995.55017171576151</v>
      </c>
      <c r="E48" s="275">
        <f>SUM(E11:E46)</f>
        <v>33220666</v>
      </c>
      <c r="F48" s="276">
        <f>E48/'- 3 -'!$D48*100</f>
        <v>1.3776826732240945</v>
      </c>
      <c r="G48" s="275">
        <f>E48/'- 7 -'!$B48</f>
        <v>7901.6490377639866</v>
      </c>
    </row>
    <row r="49" spans="1:7" ht="5.0999999999999996" customHeight="1" x14ac:dyDescent="0.2">
      <c r="A49" s="17" t="s">
        <v>1</v>
      </c>
      <c r="B49" s="18"/>
      <c r="C49" s="266"/>
      <c r="D49" s="18"/>
      <c r="E49" s="18"/>
      <c r="F49" s="266"/>
    </row>
    <row r="50" spans="1:7" ht="14.1" customHeight="1" x14ac:dyDescent="0.2">
      <c r="A50" s="15" t="s">
        <v>144</v>
      </c>
      <c r="B50" s="16">
        <v>238384</v>
      </c>
      <c r="C50" s="267">
        <f>B50/'- 3 -'!$D50*100</f>
        <v>6.6348964424659655</v>
      </c>
      <c r="D50" s="16">
        <f>B50/'- 7 -'!$C50</f>
        <v>1418.952380952381</v>
      </c>
      <c r="E50" s="16">
        <v>0</v>
      </c>
      <c r="F50" s="267">
        <f>E50/'- 3 -'!$D50*100</f>
        <v>0</v>
      </c>
      <c r="G50" s="16" t="str">
        <f>IF('- 7 -'!$B50=0,"",E50/'- 7 -'!$B50)</f>
        <v/>
      </c>
    </row>
    <row r="51" spans="1:7" ht="14.1" customHeight="1" x14ac:dyDescent="0.2">
      <c r="A51" s="360" t="s">
        <v>514</v>
      </c>
      <c r="B51" s="272">
        <v>1392250</v>
      </c>
      <c r="C51" s="273">
        <f>B51/'- 3 -'!$D51*100</f>
        <v>4.2376028240742709</v>
      </c>
      <c r="D51" s="272">
        <f>B51/'- 7 -'!$C51</f>
        <v>1016.2408759124088</v>
      </c>
      <c r="E51" s="272">
        <v>5028820</v>
      </c>
      <c r="F51" s="273">
        <f>E51/'- 3 -'!$D51*100</f>
        <v>15.306260968763642</v>
      </c>
      <c r="G51" s="272">
        <f>IF('- 7 -'!$B51=0,"",E51/'- 7 -'!$B51)</f>
        <v>4035.9711075441414</v>
      </c>
    </row>
    <row r="52" spans="1:7" ht="50.1" customHeight="1" x14ac:dyDescent="0.2">
      <c r="B52" s="46"/>
      <c r="C52" s="46"/>
      <c r="D52" s="46"/>
      <c r="E52" s="46"/>
      <c r="F52" s="46"/>
      <c r="G52" s="46"/>
    </row>
    <row r="53" spans="1:7" ht="15" customHeight="1" x14ac:dyDescent="0.2">
      <c r="C53" s="46"/>
      <c r="D53" s="46"/>
      <c r="E53" s="46"/>
      <c r="F53" s="46"/>
      <c r="G53" s="46"/>
    </row>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5:G5"/>
    <mergeCell ref="B6:D7"/>
    <mergeCell ref="E6:G7"/>
    <mergeCell ref="D8:D9"/>
    <mergeCell ref="G8:G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9"/>
  <sheetViews>
    <sheetView showGridLines="0" showZeros="0" workbookViewId="0"/>
  </sheetViews>
  <sheetFormatPr defaultColWidth="15.83203125" defaultRowHeight="12" x14ac:dyDescent="0.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x14ac:dyDescent="0.2">
      <c r="A1" s="3"/>
      <c r="B1" s="3"/>
      <c r="C1" s="3"/>
      <c r="D1" s="3"/>
      <c r="E1" s="3"/>
      <c r="F1" s="3"/>
      <c r="G1" s="3"/>
      <c r="H1" s="32"/>
      <c r="I1" s="32"/>
      <c r="J1" s="32"/>
    </row>
    <row r="2" spans="1:10" ht="15.95" customHeight="1" x14ac:dyDescent="0.2">
      <c r="A2" s="132"/>
      <c r="B2" s="5" t="str">
        <f>AEXP_BP</f>
        <v>ANALYSIS OF EXPENSE BY PROGRAM</v>
      </c>
      <c r="C2" s="35"/>
      <c r="D2" s="35"/>
      <c r="E2" s="152"/>
      <c r="F2" s="152"/>
      <c r="G2" s="152"/>
      <c r="H2" s="152"/>
      <c r="I2" s="33"/>
      <c r="J2" s="502" t="s">
        <v>524</v>
      </c>
    </row>
    <row r="3" spans="1:10" ht="15.95" customHeight="1" x14ac:dyDescent="0.2">
      <c r="A3" s="135"/>
      <c r="B3" s="86" t="str">
        <f>OPYEAR</f>
        <v>OPERATING FUND 2018/2019 BUDGET</v>
      </c>
      <c r="C3" s="39"/>
      <c r="D3" s="39"/>
      <c r="E3" s="153"/>
      <c r="F3" s="153"/>
      <c r="G3" s="153"/>
      <c r="H3" s="153"/>
      <c r="I3" s="37"/>
      <c r="J3" s="167"/>
    </row>
    <row r="4" spans="1:10" ht="15.95" customHeight="1" x14ac:dyDescent="0.2">
      <c r="H4" s="32"/>
      <c r="I4" s="32"/>
      <c r="J4" s="32"/>
    </row>
    <row r="5" spans="1:10" ht="15.95" customHeight="1" x14ac:dyDescent="0.2">
      <c r="B5" s="466" t="s">
        <v>239</v>
      </c>
      <c r="C5" s="191"/>
      <c r="D5" s="191"/>
      <c r="E5" s="191"/>
      <c r="F5" s="191"/>
      <c r="G5" s="191"/>
      <c r="H5" s="191"/>
      <c r="I5" s="467"/>
      <c r="J5" s="468"/>
    </row>
    <row r="6" spans="1:10" ht="15.95" customHeight="1" x14ac:dyDescent="0.2">
      <c r="B6" s="643" t="s">
        <v>241</v>
      </c>
      <c r="C6" s="644"/>
      <c r="D6" s="644"/>
      <c r="E6" s="644"/>
      <c r="F6" s="644"/>
      <c r="G6" s="644"/>
      <c r="H6" s="644"/>
      <c r="I6" s="644"/>
      <c r="J6" s="645"/>
    </row>
    <row r="7" spans="1:10" ht="15.95" customHeight="1" x14ac:dyDescent="0.2">
      <c r="B7" s="646" t="s">
        <v>15</v>
      </c>
      <c r="C7" s="644"/>
      <c r="D7" s="645"/>
      <c r="E7" s="646" t="s">
        <v>16</v>
      </c>
      <c r="F7" s="644"/>
      <c r="G7" s="645"/>
      <c r="H7" s="646" t="s">
        <v>17</v>
      </c>
      <c r="I7" s="644"/>
      <c r="J7" s="645"/>
    </row>
    <row r="8" spans="1:10" ht="15.95" customHeight="1" x14ac:dyDescent="0.2">
      <c r="A8" s="82"/>
      <c r="B8" s="174"/>
      <c r="C8" s="169"/>
      <c r="D8" s="529" t="s">
        <v>396</v>
      </c>
      <c r="E8" s="174"/>
      <c r="F8" s="169"/>
      <c r="G8" s="529" t="s">
        <v>396</v>
      </c>
      <c r="H8" s="162"/>
      <c r="I8" s="161"/>
      <c r="J8" s="529" t="s">
        <v>396</v>
      </c>
    </row>
    <row r="9" spans="1:10" ht="15.95" customHeight="1" x14ac:dyDescent="0.2">
      <c r="A9" s="27" t="s">
        <v>37</v>
      </c>
      <c r="B9" s="43" t="s">
        <v>38</v>
      </c>
      <c r="C9" s="43" t="s">
        <v>39</v>
      </c>
      <c r="D9" s="569"/>
      <c r="E9" s="43" t="s">
        <v>38</v>
      </c>
      <c r="F9" s="43" t="s">
        <v>39</v>
      </c>
      <c r="G9" s="569"/>
      <c r="H9" s="163" t="s">
        <v>38</v>
      </c>
      <c r="I9" s="43" t="s">
        <v>39</v>
      </c>
      <c r="J9" s="569"/>
    </row>
    <row r="10" spans="1:10" ht="5.0999999999999996" customHeight="1" x14ac:dyDescent="0.2">
      <c r="A10" s="29"/>
      <c r="B10" s="46"/>
      <c r="C10" s="46"/>
      <c r="D10" s="46"/>
      <c r="E10" s="46"/>
      <c r="F10" s="46"/>
      <c r="G10" s="46"/>
      <c r="H10" s="46"/>
      <c r="I10" s="46"/>
      <c r="J10" s="46"/>
    </row>
    <row r="11" spans="1:10" ht="14.1" customHeight="1" x14ac:dyDescent="0.2">
      <c r="A11" s="271" t="s">
        <v>108</v>
      </c>
      <c r="B11" s="272">
        <v>11510166</v>
      </c>
      <c r="C11" s="273">
        <f>B11/'- 3 -'!$D11*100</f>
        <v>56.555253931884678</v>
      </c>
      <c r="D11" s="272">
        <f>B11/'- 6 -'!$B11</f>
        <v>6382.1269753257557</v>
      </c>
      <c r="E11" s="272">
        <v>0</v>
      </c>
      <c r="F11" s="273">
        <f>E11/'- 3 -'!$D11*100</f>
        <v>0</v>
      </c>
      <c r="G11" s="272" t="str">
        <f>IF('- 6 -'!$C11=0,"",E11/'- 6 -'!$C11)</f>
        <v/>
      </c>
      <c r="H11" s="272">
        <v>0</v>
      </c>
      <c r="I11" s="273">
        <f>H11/'- 3 -'!$D11*100</f>
        <v>0</v>
      </c>
      <c r="J11" s="272" t="str">
        <f>IF('- 6 -'!$D11=0,"",H11/'- 6 -'!$D11)</f>
        <v/>
      </c>
    </row>
    <row r="12" spans="1:10" ht="14.1" customHeight="1" x14ac:dyDescent="0.2">
      <c r="A12" s="15" t="s">
        <v>109</v>
      </c>
      <c r="B12" s="16">
        <v>15657027</v>
      </c>
      <c r="C12" s="267">
        <f>B12/'- 3 -'!$D12*100</f>
        <v>44.841889865449645</v>
      </c>
      <c r="D12" s="16">
        <f>B12/'- 6 -'!$B12</f>
        <v>7854.0391271632807</v>
      </c>
      <c r="E12" s="16">
        <v>0</v>
      </c>
      <c r="F12" s="267">
        <f>E12/'- 3 -'!$D12*100</f>
        <v>0</v>
      </c>
      <c r="G12" s="16" t="str">
        <f>IF('- 6 -'!$C12=0,"",E12/'- 6 -'!$C12)</f>
        <v/>
      </c>
      <c r="H12" s="16">
        <v>0</v>
      </c>
      <c r="I12" s="267">
        <f>H12/'- 3 -'!$D12*100</f>
        <v>0</v>
      </c>
      <c r="J12" s="16" t="str">
        <f>IF('- 6 -'!$D12=0,"",H12/'- 6 -'!$D12)</f>
        <v/>
      </c>
    </row>
    <row r="13" spans="1:10" ht="14.1" customHeight="1" x14ac:dyDescent="0.2">
      <c r="A13" s="271" t="s">
        <v>110</v>
      </c>
      <c r="B13" s="272">
        <v>41699200</v>
      </c>
      <c r="C13" s="273">
        <f>B13/'- 3 -'!$D13*100</f>
        <v>40.051405091716596</v>
      </c>
      <c r="D13" s="272">
        <f>B13/'- 6 -'!$B13</f>
        <v>6565.7691702094162</v>
      </c>
      <c r="E13" s="272">
        <v>0</v>
      </c>
      <c r="F13" s="273">
        <f>E13/'- 3 -'!$D13*100</f>
        <v>0</v>
      </c>
      <c r="G13" s="272" t="str">
        <f>IF('- 6 -'!$C13=0,"",E13/'- 6 -'!$C13)</f>
        <v/>
      </c>
      <c r="H13" s="272">
        <v>1955600</v>
      </c>
      <c r="I13" s="273">
        <f>H13/'- 3 -'!$D13*100</f>
        <v>1.8783220732618604</v>
      </c>
      <c r="J13" s="272">
        <f>IF('- 6 -'!$D13=0,"",H13/'- 6 -'!$D13)</f>
        <v>5743.3186490455209</v>
      </c>
    </row>
    <row r="14" spans="1:10" ht="14.1" customHeight="1" x14ac:dyDescent="0.2">
      <c r="A14" s="15" t="s">
        <v>319</v>
      </c>
      <c r="B14" s="16">
        <v>0</v>
      </c>
      <c r="C14" s="267">
        <f>B14/'- 3 -'!$D14*100</f>
        <v>0</v>
      </c>
      <c r="D14" s="16"/>
      <c r="E14" s="16">
        <v>45476495</v>
      </c>
      <c r="F14" s="267">
        <f>E14/'- 3 -'!$D14*100</f>
        <v>48.72816439243897</v>
      </c>
      <c r="G14" s="16">
        <f>IF('- 6 -'!$C14=0,"",E14/'- 6 -'!$C14)</f>
        <v>7900.7114315496874</v>
      </c>
      <c r="H14" s="16">
        <v>0</v>
      </c>
      <c r="I14" s="267">
        <f>H14/'- 3 -'!$D14*100</f>
        <v>0</v>
      </c>
      <c r="J14" s="16" t="str">
        <f>IF('- 6 -'!$D14=0,"",H14/'- 6 -'!$D14)</f>
        <v/>
      </c>
    </row>
    <row r="15" spans="1:10" ht="14.1" customHeight="1" x14ac:dyDescent="0.2">
      <c r="A15" s="271" t="s">
        <v>111</v>
      </c>
      <c r="B15" s="272">
        <v>9354447</v>
      </c>
      <c r="C15" s="273">
        <f>B15/'- 3 -'!$D15*100</f>
        <v>45.015987996695131</v>
      </c>
      <c r="D15" s="272">
        <f>B15/'- 6 -'!$B15</f>
        <v>7038.7110609480815</v>
      </c>
      <c r="E15" s="272">
        <v>0</v>
      </c>
      <c r="F15" s="273">
        <f>E15/'- 3 -'!$D15*100</f>
        <v>0</v>
      </c>
      <c r="G15" s="272" t="str">
        <f>IF('- 6 -'!$C15=0,"",E15/'- 6 -'!$C15)</f>
        <v/>
      </c>
      <c r="H15" s="272">
        <v>0</v>
      </c>
      <c r="I15" s="273">
        <f>H15/'- 3 -'!$D15*100</f>
        <v>0</v>
      </c>
      <c r="J15" s="272" t="str">
        <f>IF('- 6 -'!$D15=0,"",H15/'- 6 -'!$D15)</f>
        <v/>
      </c>
    </row>
    <row r="16" spans="1:10" ht="14.1" customHeight="1" x14ac:dyDescent="0.2">
      <c r="A16" s="15" t="s">
        <v>112</v>
      </c>
      <c r="B16" s="16">
        <v>4437680</v>
      </c>
      <c r="C16" s="267">
        <f>B16/'- 3 -'!$D16*100</f>
        <v>29.848320853710081</v>
      </c>
      <c r="D16" s="16">
        <f>B16/'- 6 -'!$B16</f>
        <v>8024.7377938517175</v>
      </c>
      <c r="E16" s="16">
        <v>0</v>
      </c>
      <c r="F16" s="267">
        <f>E16/'- 3 -'!$D16*100</f>
        <v>0</v>
      </c>
      <c r="G16" s="16" t="str">
        <f>IF('- 6 -'!$C16=0,"",E16/'- 6 -'!$C16)</f>
        <v/>
      </c>
      <c r="H16" s="16">
        <v>0</v>
      </c>
      <c r="I16" s="267">
        <f>H16/'- 3 -'!$D16*100</f>
        <v>0</v>
      </c>
      <c r="J16" s="16" t="str">
        <f>IF('- 6 -'!$D16=0,"",H16/'- 6 -'!$D16)</f>
        <v/>
      </c>
    </row>
    <row r="17" spans="1:10" ht="14.1" customHeight="1" x14ac:dyDescent="0.2">
      <c r="A17" s="271" t="s">
        <v>113</v>
      </c>
      <c r="B17" s="272">
        <v>9504688</v>
      </c>
      <c r="C17" s="273">
        <f>B17/'- 3 -'!$D17*100</f>
        <v>50.825083143581907</v>
      </c>
      <c r="D17" s="272">
        <f>B17/'- 6 -'!$B17</f>
        <v>6917.5312954876272</v>
      </c>
      <c r="E17" s="272">
        <v>0</v>
      </c>
      <c r="F17" s="273">
        <f>E17/'- 3 -'!$D17*100</f>
        <v>0</v>
      </c>
      <c r="G17" s="272" t="str">
        <f>IF('- 6 -'!$C17=0,"",E17/'- 6 -'!$C17)</f>
        <v/>
      </c>
      <c r="H17" s="272">
        <v>0</v>
      </c>
      <c r="I17" s="273">
        <f>H17/'- 3 -'!$D17*100</f>
        <v>0</v>
      </c>
      <c r="J17" s="272" t="str">
        <f>IF('- 6 -'!$D17=0,"",H17/'- 6 -'!$D17)</f>
        <v/>
      </c>
    </row>
    <row r="18" spans="1:10" ht="14.1" customHeight="1" x14ac:dyDescent="0.2">
      <c r="A18" s="15" t="s">
        <v>114</v>
      </c>
      <c r="B18" s="16">
        <v>48522354</v>
      </c>
      <c r="C18" s="267">
        <f>B18/'- 3 -'!$D18*100</f>
        <v>36.02986808384005</v>
      </c>
      <c r="D18" s="16">
        <f>B18/'- 6 -'!$B18</f>
        <v>7980.3878161902576</v>
      </c>
      <c r="E18" s="16">
        <v>0</v>
      </c>
      <c r="F18" s="267">
        <f>E18/'- 3 -'!$D18*100</f>
        <v>0</v>
      </c>
      <c r="G18" s="16" t="str">
        <f>IF('- 6 -'!$C18=0,"",E18/'- 6 -'!$C18)</f>
        <v/>
      </c>
      <c r="H18" s="16">
        <v>0</v>
      </c>
      <c r="I18" s="267">
        <f>H18/'- 3 -'!$D18*100</f>
        <v>0</v>
      </c>
      <c r="J18" s="16" t="str">
        <f>IF('- 6 -'!$D18=0,"",H18/'- 6 -'!$D18)</f>
        <v/>
      </c>
    </row>
    <row r="19" spans="1:10" ht="14.1" customHeight="1" x14ac:dyDescent="0.2">
      <c r="A19" s="271" t="s">
        <v>115</v>
      </c>
      <c r="B19" s="272">
        <v>23875500</v>
      </c>
      <c r="C19" s="273">
        <f>B19/'- 3 -'!$D19*100</f>
        <v>47.445828431528412</v>
      </c>
      <c r="D19" s="272">
        <f>B19/'- 6 -'!$B19</f>
        <v>5629.0227513851232</v>
      </c>
      <c r="E19" s="272">
        <v>0</v>
      </c>
      <c r="F19" s="273">
        <f>E19/'- 3 -'!$D19*100</f>
        <v>0</v>
      </c>
      <c r="G19" s="272" t="str">
        <f>IF('- 6 -'!$C19=0,"",E19/'- 6 -'!$C19)</f>
        <v/>
      </c>
      <c r="H19" s="272">
        <v>0</v>
      </c>
      <c r="I19" s="273">
        <f>H19/'- 3 -'!$D19*100</f>
        <v>0</v>
      </c>
      <c r="J19" s="272" t="str">
        <f>IF('- 6 -'!$D19=0,"",H19/'- 6 -'!$D19)</f>
        <v/>
      </c>
    </row>
    <row r="20" spans="1:10" ht="14.1" customHeight="1" x14ac:dyDescent="0.2">
      <c r="A20" s="15" t="s">
        <v>116</v>
      </c>
      <c r="B20" s="16">
        <v>44036800</v>
      </c>
      <c r="C20" s="267">
        <f>B20/'- 3 -'!$D20*100</f>
        <v>50.470646619057604</v>
      </c>
      <c r="D20" s="16">
        <f>B20/'- 6 -'!$B20</f>
        <v>5936.1587404292031</v>
      </c>
      <c r="E20" s="16">
        <v>0</v>
      </c>
      <c r="F20" s="267">
        <f>E20/'- 3 -'!$D20*100</f>
        <v>0</v>
      </c>
      <c r="G20" s="16" t="str">
        <f>IF('- 6 -'!$C20=0,"",E20/'- 6 -'!$C20)</f>
        <v/>
      </c>
      <c r="H20" s="16">
        <v>0</v>
      </c>
      <c r="I20" s="267">
        <f>H20/'- 3 -'!$D20*100</f>
        <v>0</v>
      </c>
      <c r="J20" s="16" t="str">
        <f>IF('- 6 -'!$D20=0,"",H20/'- 6 -'!$D20)</f>
        <v/>
      </c>
    </row>
    <row r="21" spans="1:10" ht="14.1" customHeight="1" x14ac:dyDescent="0.2">
      <c r="A21" s="271" t="s">
        <v>117</v>
      </c>
      <c r="B21" s="272">
        <v>14628297</v>
      </c>
      <c r="C21" s="273">
        <f>B21/'- 3 -'!$D21*100</f>
        <v>38.946871666965748</v>
      </c>
      <c r="D21" s="272">
        <f>B21/'- 6 -'!$B21</f>
        <v>7010.9259525521211</v>
      </c>
      <c r="E21" s="272">
        <v>0</v>
      </c>
      <c r="F21" s="273">
        <f>E21/'- 3 -'!$D21*100</f>
        <v>0</v>
      </c>
      <c r="G21" s="272" t="str">
        <f>IF('- 6 -'!$C21=0,"",E21/'- 6 -'!$C21)</f>
        <v/>
      </c>
      <c r="H21" s="272">
        <v>0</v>
      </c>
      <c r="I21" s="273">
        <f>H21/'- 3 -'!$D21*100</f>
        <v>0</v>
      </c>
      <c r="J21" s="272" t="str">
        <f>IF('- 6 -'!$D21=0,"",H21/'- 6 -'!$D21)</f>
        <v/>
      </c>
    </row>
    <row r="22" spans="1:10" ht="14.1" customHeight="1" x14ac:dyDescent="0.2">
      <c r="A22" s="15" t="s">
        <v>118</v>
      </c>
      <c r="B22" s="16">
        <v>4721342</v>
      </c>
      <c r="C22" s="267">
        <f>B22/'- 3 -'!$D22*100</f>
        <v>22.608781014788264</v>
      </c>
      <c r="D22" s="16">
        <f>B22/'- 6 -'!$B22</f>
        <v>5602.6367627862819</v>
      </c>
      <c r="E22" s="16">
        <v>0</v>
      </c>
      <c r="F22" s="267">
        <f>E22/'- 3 -'!$D22*100</f>
        <v>0</v>
      </c>
      <c r="G22" s="16" t="str">
        <f>IF('- 6 -'!$C22=0,"",E22/'- 6 -'!$C22)</f>
        <v/>
      </c>
      <c r="H22" s="16">
        <v>0</v>
      </c>
      <c r="I22" s="267">
        <f>H22/'- 3 -'!$D22*100</f>
        <v>0</v>
      </c>
      <c r="J22" s="16" t="str">
        <f>IF('- 6 -'!$D22=0,"",H22/'- 6 -'!$D22)</f>
        <v/>
      </c>
    </row>
    <row r="23" spans="1:10" ht="14.1" customHeight="1" x14ac:dyDescent="0.2">
      <c r="A23" s="271" t="s">
        <v>119</v>
      </c>
      <c r="B23" s="272">
        <v>7469641</v>
      </c>
      <c r="C23" s="273">
        <f>B23/'- 3 -'!$D23*100</f>
        <v>44.017228947498062</v>
      </c>
      <c r="D23" s="272">
        <f>B23/'- 6 -'!$B23</f>
        <v>7280.3518518518522</v>
      </c>
      <c r="E23" s="272">
        <v>0</v>
      </c>
      <c r="F23" s="273">
        <f>E23/'- 3 -'!$D23*100</f>
        <v>0</v>
      </c>
      <c r="G23" s="272" t="str">
        <f>IF('- 6 -'!$C23=0,"",E23/'- 6 -'!$C23)</f>
        <v/>
      </c>
      <c r="H23" s="272">
        <v>0</v>
      </c>
      <c r="I23" s="273">
        <f>H23/'- 3 -'!$D23*100</f>
        <v>0</v>
      </c>
      <c r="J23" s="272" t="str">
        <f>IF('- 6 -'!$D23=0,"",H23/'- 6 -'!$D23)</f>
        <v/>
      </c>
    </row>
    <row r="24" spans="1:10" ht="14.1" customHeight="1" x14ac:dyDescent="0.2">
      <c r="A24" s="15" t="s">
        <v>120</v>
      </c>
      <c r="B24" s="16">
        <v>20840373</v>
      </c>
      <c r="C24" s="267">
        <f>B24/'- 3 -'!$D24*100</f>
        <v>35.674319355926414</v>
      </c>
      <c r="D24" s="16">
        <f>B24/'- 6 -'!$B24</f>
        <v>7918.0748480243165</v>
      </c>
      <c r="E24" s="16">
        <v>0</v>
      </c>
      <c r="F24" s="267">
        <f>E24/'- 3 -'!$D24*100</f>
        <v>0</v>
      </c>
      <c r="G24" s="16" t="str">
        <f>IF('- 6 -'!$C24=0,"",E24/'- 6 -'!$C24)</f>
        <v/>
      </c>
      <c r="H24" s="16">
        <v>1513160</v>
      </c>
      <c r="I24" s="267">
        <f>H24/'- 3 -'!$D24*100</f>
        <v>2.5902105051869087</v>
      </c>
      <c r="J24" s="16">
        <f>IF('- 6 -'!$D24=0,"",H24/'- 6 -'!$D24)</f>
        <v>7005.3703703703704</v>
      </c>
    </row>
    <row r="25" spans="1:10" ht="14.1" customHeight="1" x14ac:dyDescent="0.2">
      <c r="A25" s="271" t="s">
        <v>121</v>
      </c>
      <c r="B25" s="272">
        <v>63002016</v>
      </c>
      <c r="C25" s="273">
        <f>B25/'- 3 -'!$D25*100</f>
        <v>33.530025344535133</v>
      </c>
      <c r="D25" s="272">
        <f>B25/'- 6 -'!$B25</f>
        <v>6611.8165122209739</v>
      </c>
      <c r="E25" s="272">
        <v>0</v>
      </c>
      <c r="F25" s="273">
        <f>E25/'- 3 -'!$D25*100</f>
        <v>0</v>
      </c>
      <c r="G25" s="272" t="str">
        <f>IF('- 6 -'!$C25=0,"",E25/'- 6 -'!$C25)</f>
        <v/>
      </c>
      <c r="H25" s="272">
        <v>24561979</v>
      </c>
      <c r="I25" s="273">
        <f>H25/'- 3 -'!$D25*100</f>
        <v>13.072022621973552</v>
      </c>
      <c r="J25" s="272">
        <f>IF('- 6 -'!$D25=0,"",H25/'- 6 -'!$D25)</f>
        <v>5397.0509778070755</v>
      </c>
    </row>
    <row r="26" spans="1:10" ht="14.1" customHeight="1" x14ac:dyDescent="0.2">
      <c r="A26" s="15" t="s">
        <v>122</v>
      </c>
      <c r="B26" s="16">
        <v>15092434</v>
      </c>
      <c r="C26" s="267">
        <f>B26/'- 3 -'!$D26*100</f>
        <v>36.790543044928583</v>
      </c>
      <c r="D26" s="16">
        <f>B26/'- 6 -'!$B26</f>
        <v>7374.3936284569536</v>
      </c>
      <c r="E26" s="16">
        <v>0</v>
      </c>
      <c r="F26" s="267">
        <f>E26/'- 3 -'!$D26*100</f>
        <v>0</v>
      </c>
      <c r="G26" s="16" t="str">
        <f>IF('- 6 -'!$C26=0,"",E26/'- 6 -'!$C26)</f>
        <v/>
      </c>
      <c r="H26" s="16">
        <v>1052119</v>
      </c>
      <c r="I26" s="267">
        <f>H26/'- 3 -'!$D26*100</f>
        <v>2.5647307358035967</v>
      </c>
      <c r="J26" s="16">
        <f>IF('- 6 -'!$D26=0,"",H26/'- 6 -'!$D26)</f>
        <v>6338.0662650602408</v>
      </c>
    </row>
    <row r="27" spans="1:10" ht="14.1" customHeight="1" x14ac:dyDescent="0.2">
      <c r="A27" s="271" t="s">
        <v>123</v>
      </c>
      <c r="B27" s="272">
        <v>17293371</v>
      </c>
      <c r="C27" s="273">
        <f>B27/'- 3 -'!$D27*100</f>
        <v>40.476544739923362</v>
      </c>
      <c r="D27" s="272">
        <f>B27/'- 6 -'!$B27</f>
        <v>6910.9902889341802</v>
      </c>
      <c r="E27" s="272">
        <v>0</v>
      </c>
      <c r="F27" s="273">
        <f>E27/'- 3 -'!$D27*100</f>
        <v>0</v>
      </c>
      <c r="G27" s="272" t="str">
        <f>IF('- 6 -'!$C27=0,"",E27/'- 6 -'!$C27)</f>
        <v/>
      </c>
      <c r="H27" s="272">
        <v>0</v>
      </c>
      <c r="I27" s="273">
        <f>H27/'- 3 -'!$D27*100</f>
        <v>0</v>
      </c>
      <c r="J27" s="272" t="str">
        <f>IF('- 6 -'!$D27=0,"",H27/'- 6 -'!$D27)</f>
        <v/>
      </c>
    </row>
    <row r="28" spans="1:10" ht="14.1" customHeight="1" x14ac:dyDescent="0.2">
      <c r="A28" s="15" t="s">
        <v>124</v>
      </c>
      <c r="B28" s="16">
        <v>14841115</v>
      </c>
      <c r="C28" s="267">
        <f>B28/'- 3 -'!$D28*100</f>
        <v>51.544539019792381</v>
      </c>
      <c r="D28" s="16">
        <f>B28/'- 6 -'!$B28</f>
        <v>7583.6050076647934</v>
      </c>
      <c r="E28" s="16">
        <v>0</v>
      </c>
      <c r="F28" s="267">
        <f>E28/'- 3 -'!$D28*100</f>
        <v>0</v>
      </c>
      <c r="G28" s="16" t="str">
        <f>IF('- 6 -'!$C28=0,"",E28/'- 6 -'!$C28)</f>
        <v/>
      </c>
      <c r="H28" s="16">
        <v>0</v>
      </c>
      <c r="I28" s="267">
        <f>H28/'- 3 -'!$D28*100</f>
        <v>0</v>
      </c>
      <c r="J28" s="16" t="str">
        <f>IF('- 6 -'!$D28=0,"",H28/'- 6 -'!$D28)</f>
        <v/>
      </c>
    </row>
    <row r="29" spans="1:10" ht="14.1" customHeight="1" x14ac:dyDescent="0.2">
      <c r="A29" s="271" t="s">
        <v>125</v>
      </c>
      <c r="B29" s="272">
        <v>52432220</v>
      </c>
      <c r="C29" s="273">
        <f>B29/'- 3 -'!$D29*100</f>
        <v>30.869327409562203</v>
      </c>
      <c r="D29" s="272">
        <f>B29/'- 6 -'!$B29</f>
        <v>6586.1349076749148</v>
      </c>
      <c r="E29" s="272">
        <v>0</v>
      </c>
      <c r="F29" s="273">
        <f>E29/'- 3 -'!$D29*100</f>
        <v>0</v>
      </c>
      <c r="G29" s="272" t="str">
        <f>IF('- 6 -'!$C29=0,"",E29/'- 6 -'!$C29)</f>
        <v/>
      </c>
      <c r="H29" s="272">
        <v>7447263</v>
      </c>
      <c r="I29" s="273">
        <f>H29/'- 3 -'!$D29*100</f>
        <v>4.3845559057411352</v>
      </c>
      <c r="J29" s="272">
        <f>IF('- 6 -'!$D29=0,"",H29/'- 6 -'!$D29)</f>
        <v>6042.4040567951315</v>
      </c>
    </row>
    <row r="30" spans="1:10" ht="14.1" customHeight="1" x14ac:dyDescent="0.2">
      <c r="A30" s="15" t="s">
        <v>126</v>
      </c>
      <c r="B30" s="16">
        <v>7884521</v>
      </c>
      <c r="C30" s="267">
        <f>B30/'- 3 -'!$D30*100</f>
        <v>51.606709031028942</v>
      </c>
      <c r="D30" s="16">
        <f>B30/'- 6 -'!$B30</f>
        <v>7900.3216432865729</v>
      </c>
      <c r="E30" s="16">
        <v>0</v>
      </c>
      <c r="F30" s="267">
        <f>E30/'- 3 -'!$D30*100</f>
        <v>0</v>
      </c>
      <c r="G30" s="16" t="str">
        <f>IF('- 6 -'!$C30=0,"",E30/'- 6 -'!$C30)</f>
        <v/>
      </c>
      <c r="H30" s="16">
        <v>0</v>
      </c>
      <c r="I30" s="267">
        <f>H30/'- 3 -'!$D30*100</f>
        <v>0</v>
      </c>
      <c r="J30" s="16" t="str">
        <f>IF('- 6 -'!$D30=0,"",H30/'- 6 -'!$D30)</f>
        <v/>
      </c>
    </row>
    <row r="31" spans="1:10" ht="14.1" customHeight="1" x14ac:dyDescent="0.2">
      <c r="A31" s="271" t="s">
        <v>127</v>
      </c>
      <c r="B31" s="272">
        <v>15132516</v>
      </c>
      <c r="C31" s="273">
        <f>B31/'- 3 -'!$D31*100</f>
        <v>38.889130745517662</v>
      </c>
      <c r="D31" s="272">
        <f>B31/'- 6 -'!$B31</f>
        <v>6432.7988437340582</v>
      </c>
      <c r="E31" s="272">
        <v>0</v>
      </c>
      <c r="F31" s="273">
        <f>E31/'- 3 -'!$D31*100</f>
        <v>0</v>
      </c>
      <c r="G31" s="272" t="str">
        <f>IF('- 6 -'!$C31=0,"",E31/'- 6 -'!$C31)</f>
        <v/>
      </c>
      <c r="H31" s="272">
        <v>0</v>
      </c>
      <c r="I31" s="273">
        <f>H31/'- 3 -'!$D31*100</f>
        <v>0</v>
      </c>
      <c r="J31" s="272" t="str">
        <f>IF('- 6 -'!$D31=0,"",H31/'- 6 -'!$D31)</f>
        <v/>
      </c>
    </row>
    <row r="32" spans="1:10" ht="14.1" customHeight="1" x14ac:dyDescent="0.2">
      <c r="A32" s="15" t="s">
        <v>128</v>
      </c>
      <c r="B32" s="16">
        <v>13598355</v>
      </c>
      <c r="C32" s="267">
        <f>B32/'- 3 -'!$D32*100</f>
        <v>43.823974794556712</v>
      </c>
      <c r="D32" s="16">
        <f>B32/'- 6 -'!$B32</f>
        <v>6930.8639143730888</v>
      </c>
      <c r="E32" s="16">
        <v>0</v>
      </c>
      <c r="F32" s="267">
        <f>E32/'- 3 -'!$D32*100</f>
        <v>0</v>
      </c>
      <c r="G32" s="16" t="str">
        <f>IF('- 6 -'!$C32=0,"",E32/'- 6 -'!$C32)</f>
        <v/>
      </c>
      <c r="H32" s="16">
        <v>771094</v>
      </c>
      <c r="I32" s="267">
        <f>H32/'- 3 -'!$D32*100</f>
        <v>2.4850361694656384</v>
      </c>
      <c r="J32" s="16">
        <f>IF('- 6 -'!$D32=0,"",H32/'- 6 -'!$D32)</f>
        <v>6144.1752988047811</v>
      </c>
    </row>
    <row r="33" spans="1:10" ht="14.1" customHeight="1" x14ac:dyDescent="0.2">
      <c r="A33" s="271" t="s">
        <v>129</v>
      </c>
      <c r="B33" s="272">
        <v>10726835</v>
      </c>
      <c r="C33" s="273">
        <f>B33/'- 3 -'!$D33*100</f>
        <v>37.608814629201959</v>
      </c>
      <c r="D33" s="272">
        <f>B33/'- 6 -'!$B33</f>
        <v>6274.8376718338695</v>
      </c>
      <c r="E33" s="272">
        <v>0</v>
      </c>
      <c r="F33" s="273">
        <f>E33/'- 3 -'!$D33*100</f>
        <v>0</v>
      </c>
      <c r="G33" s="272" t="str">
        <f>IF('- 6 -'!$C33=0,"",E33/'- 6 -'!$C33)</f>
        <v/>
      </c>
      <c r="H33" s="272">
        <v>0</v>
      </c>
      <c r="I33" s="273">
        <f>H33/'- 3 -'!$D33*100</f>
        <v>0</v>
      </c>
      <c r="J33" s="272" t="str">
        <f>IF('- 6 -'!$D33=0,"",H33/'- 6 -'!$D33)</f>
        <v/>
      </c>
    </row>
    <row r="34" spans="1:10" ht="14.1" customHeight="1" x14ac:dyDescent="0.2">
      <c r="A34" s="15" t="s">
        <v>130</v>
      </c>
      <c r="B34" s="16">
        <v>11035873</v>
      </c>
      <c r="C34" s="267">
        <f>B34/'- 3 -'!$D34*100</f>
        <v>35.430171244052829</v>
      </c>
      <c r="D34" s="16">
        <f>B34/'- 6 -'!$B34</f>
        <v>6696.5248786407765</v>
      </c>
      <c r="E34" s="16">
        <v>0</v>
      </c>
      <c r="F34" s="267">
        <f>E34/'- 3 -'!$D34*100</f>
        <v>0</v>
      </c>
      <c r="G34" s="16" t="str">
        <f>IF('- 6 -'!$C34=0,"",E34/'- 6 -'!$C34)</f>
        <v/>
      </c>
      <c r="H34" s="16">
        <v>1967355</v>
      </c>
      <c r="I34" s="267">
        <f>H34/'- 3 -'!$D34*100</f>
        <v>6.3161042672241301</v>
      </c>
      <c r="J34" s="16">
        <f>IF('- 6 -'!$D34=0,"",H34/'- 6 -'!$D34)</f>
        <v>7286.5</v>
      </c>
    </row>
    <row r="35" spans="1:10" ht="14.1" customHeight="1" x14ac:dyDescent="0.2">
      <c r="A35" s="271" t="s">
        <v>131</v>
      </c>
      <c r="B35" s="272">
        <v>57581106</v>
      </c>
      <c r="C35" s="273">
        <f>B35/'- 3 -'!$D35*100</f>
        <v>30.161783220469513</v>
      </c>
      <c r="D35" s="272">
        <f>B35/'- 6 -'!$B35</f>
        <v>6188.18979043525</v>
      </c>
      <c r="E35" s="272">
        <v>0</v>
      </c>
      <c r="F35" s="273">
        <f>E35/'- 3 -'!$D35*100</f>
        <v>0</v>
      </c>
      <c r="G35" s="272" t="str">
        <f>IF('- 6 -'!$C35=0,"",E35/'- 6 -'!$C35)</f>
        <v/>
      </c>
      <c r="H35" s="272">
        <v>7055799</v>
      </c>
      <c r="I35" s="273">
        <f>H35/'- 3 -'!$D35*100</f>
        <v>3.695925533024766</v>
      </c>
      <c r="J35" s="272">
        <f>IF('- 6 -'!$D35=0,"",H35/'- 6 -'!$D35)</f>
        <v>5444.2893518518522</v>
      </c>
    </row>
    <row r="36" spans="1:10" ht="14.1" customHeight="1" x14ac:dyDescent="0.2">
      <c r="A36" s="15" t="s">
        <v>132</v>
      </c>
      <c r="B36" s="16">
        <v>12220210</v>
      </c>
      <c r="C36" s="267">
        <f>B36/'- 3 -'!$D36*100</f>
        <v>50.691541875803715</v>
      </c>
      <c r="D36" s="16">
        <f>B36/'- 6 -'!$B36</f>
        <v>7204.4629171088309</v>
      </c>
      <c r="E36" s="16">
        <v>0</v>
      </c>
      <c r="F36" s="267">
        <f>E36/'- 3 -'!$D36*100</f>
        <v>0</v>
      </c>
      <c r="G36" s="16" t="str">
        <f>IF('- 6 -'!$C36=0,"",E36/'- 6 -'!$C36)</f>
        <v/>
      </c>
      <c r="H36" s="16">
        <v>0</v>
      </c>
      <c r="I36" s="267">
        <f>H36/'- 3 -'!$D36*100</f>
        <v>0</v>
      </c>
      <c r="J36" s="16" t="str">
        <f>IF('- 6 -'!$D36=0,"",H36/'- 6 -'!$D36)</f>
        <v/>
      </c>
    </row>
    <row r="37" spans="1:10" ht="14.1" customHeight="1" x14ac:dyDescent="0.2">
      <c r="A37" s="271" t="s">
        <v>133</v>
      </c>
      <c r="B37" s="272">
        <v>13217623</v>
      </c>
      <c r="C37" s="273">
        <f>B37/'- 3 -'!$D37*100</f>
        <v>24.91653345297431</v>
      </c>
      <c r="D37" s="272">
        <f>B37/'- 6 -'!$B37</f>
        <v>6152.0237374912731</v>
      </c>
      <c r="E37" s="272">
        <v>0</v>
      </c>
      <c r="F37" s="273">
        <f>E37/'- 3 -'!$D37*100</f>
        <v>0</v>
      </c>
      <c r="G37" s="272" t="str">
        <f>IF('- 6 -'!$C37=0,"",E37/'- 6 -'!$C37)</f>
        <v/>
      </c>
      <c r="H37" s="272">
        <v>4719824</v>
      </c>
      <c r="I37" s="273">
        <f>H37/'- 3 -'!$D37*100</f>
        <v>8.8973374855789888</v>
      </c>
      <c r="J37" s="272">
        <f>IF('- 6 -'!$D37=0,"",H37/'- 6 -'!$D37)</f>
        <v>5978.2444585180492</v>
      </c>
    </row>
    <row r="38" spans="1:10" ht="14.1" customHeight="1" x14ac:dyDescent="0.2">
      <c r="A38" s="15" t="s">
        <v>134</v>
      </c>
      <c r="B38" s="16">
        <v>45314666</v>
      </c>
      <c r="C38" s="267">
        <f>B38/'- 3 -'!$D38*100</f>
        <v>31.305062151869805</v>
      </c>
      <c r="D38" s="16">
        <f>B38/'- 6 -'!$B38</f>
        <v>7003.8123647604325</v>
      </c>
      <c r="E38" s="16">
        <v>0</v>
      </c>
      <c r="F38" s="267">
        <f>E38/'- 3 -'!$D38*100</f>
        <v>0</v>
      </c>
      <c r="G38" s="16" t="str">
        <f>IF('- 6 -'!$C38=0,"",E38/'- 6 -'!$C38)</f>
        <v/>
      </c>
      <c r="H38" s="16">
        <v>3587640</v>
      </c>
      <c r="I38" s="267">
        <f>H38/'- 3 -'!$D38*100</f>
        <v>2.4784755818024609</v>
      </c>
      <c r="J38" s="16">
        <f>IF('- 6 -'!$D38=0,"",H38/'- 6 -'!$D38)</f>
        <v>5749.4230769230771</v>
      </c>
    </row>
    <row r="39" spans="1:10" ht="14.1" customHeight="1" x14ac:dyDescent="0.2">
      <c r="A39" s="271" t="s">
        <v>135</v>
      </c>
      <c r="B39" s="272">
        <v>11859450</v>
      </c>
      <c r="C39" s="273">
        <f>B39/'- 3 -'!$D39*100</f>
        <v>50.894060430616342</v>
      </c>
      <c r="D39" s="272">
        <f>B39/'- 6 -'!$B39</f>
        <v>7838.3674818241907</v>
      </c>
      <c r="E39" s="272">
        <v>0</v>
      </c>
      <c r="F39" s="273">
        <f>E39/'- 3 -'!$D39*100</f>
        <v>0</v>
      </c>
      <c r="G39" s="272" t="str">
        <f>IF('- 6 -'!$C39=0,"",E39/'- 6 -'!$C39)</f>
        <v/>
      </c>
      <c r="H39" s="272">
        <v>0</v>
      </c>
      <c r="I39" s="273">
        <f>H39/'- 3 -'!$D39*100</f>
        <v>0</v>
      </c>
      <c r="J39" s="272" t="str">
        <f>IF('- 6 -'!$D39=0,"",H39/'- 6 -'!$D39)</f>
        <v/>
      </c>
    </row>
    <row r="40" spans="1:10" ht="14.1" customHeight="1" x14ac:dyDescent="0.2">
      <c r="A40" s="15" t="s">
        <v>136</v>
      </c>
      <c r="B40" s="16">
        <v>35962525</v>
      </c>
      <c r="C40" s="267">
        <f>B40/'- 3 -'!$D40*100</f>
        <v>33.192509814592611</v>
      </c>
      <c r="D40" s="16">
        <f>B40/'- 6 -'!$B40</f>
        <v>6327.687318769179</v>
      </c>
      <c r="E40" s="16">
        <v>0</v>
      </c>
      <c r="F40" s="267">
        <f>E40/'- 3 -'!$D40*100</f>
        <v>0</v>
      </c>
      <c r="G40" s="16" t="str">
        <f>IF('- 6 -'!$C40=0,"",E40/'- 6 -'!$C40)</f>
        <v/>
      </c>
      <c r="H40" s="16">
        <v>7255185</v>
      </c>
      <c r="I40" s="267">
        <f>H40/'- 3 -'!$D40*100</f>
        <v>6.6963540329602846</v>
      </c>
      <c r="J40" s="16">
        <f>IF('- 6 -'!$D40=0,"",H40/'- 6 -'!$D40)</f>
        <v>5326.8612334801765</v>
      </c>
    </row>
    <row r="41" spans="1:10" ht="14.1" customHeight="1" x14ac:dyDescent="0.2">
      <c r="A41" s="271" t="s">
        <v>137</v>
      </c>
      <c r="B41" s="272">
        <v>15044640</v>
      </c>
      <c r="C41" s="273">
        <f>B41/'- 3 -'!$D41*100</f>
        <v>23.142476121761657</v>
      </c>
      <c r="D41" s="272">
        <f>B41/'- 6 -'!$B41</f>
        <v>7363.9941262848752</v>
      </c>
      <c r="E41" s="272">
        <v>0</v>
      </c>
      <c r="F41" s="273">
        <f>E41/'- 3 -'!$D41*100</f>
        <v>0</v>
      </c>
      <c r="G41" s="272" t="str">
        <f>IF('- 6 -'!$C41=0,"",E41/'- 6 -'!$C41)</f>
        <v/>
      </c>
      <c r="H41" s="272">
        <v>0</v>
      </c>
      <c r="I41" s="273">
        <f>H41/'- 3 -'!$D41*100</f>
        <v>0</v>
      </c>
      <c r="J41" s="272" t="str">
        <f>IF('- 6 -'!$D41=0,"",H41/'- 6 -'!$D41)</f>
        <v/>
      </c>
    </row>
    <row r="42" spans="1:10" ht="14.1" customHeight="1" x14ac:dyDescent="0.2">
      <c r="A42" s="15" t="s">
        <v>138</v>
      </c>
      <c r="B42" s="16">
        <v>7199877</v>
      </c>
      <c r="C42" s="267">
        <f>B42/'- 3 -'!$D42*100</f>
        <v>33.813428030082441</v>
      </c>
      <c r="D42" s="16">
        <f>B42/'- 6 -'!$B42</f>
        <v>7171.1922310756972</v>
      </c>
      <c r="E42" s="16">
        <v>0</v>
      </c>
      <c r="F42" s="267">
        <f>E42/'- 3 -'!$D42*100</f>
        <v>0</v>
      </c>
      <c r="G42" s="16" t="str">
        <f>IF('- 6 -'!$C42=0,"",E42/'- 6 -'!$C42)</f>
        <v/>
      </c>
      <c r="H42" s="16">
        <v>0</v>
      </c>
      <c r="I42" s="267">
        <f>H42/'- 3 -'!$D42*100</f>
        <v>0</v>
      </c>
      <c r="J42" s="16" t="str">
        <f>IF('- 6 -'!$D42=0,"",H42/'- 6 -'!$D42)</f>
        <v/>
      </c>
    </row>
    <row r="43" spans="1:10" ht="14.1" customHeight="1" x14ac:dyDescent="0.2">
      <c r="A43" s="271" t="s">
        <v>139</v>
      </c>
      <c r="B43" s="272">
        <v>6778944</v>
      </c>
      <c r="C43" s="273">
        <f>B43/'- 3 -'!$D43*100</f>
        <v>49.194588884340384</v>
      </c>
      <c r="D43" s="272">
        <f>B43/'- 6 -'!$B43</f>
        <v>7356.4232230059688</v>
      </c>
      <c r="E43" s="272">
        <v>0</v>
      </c>
      <c r="F43" s="273">
        <f>E43/'- 3 -'!$D43*100</f>
        <v>0</v>
      </c>
      <c r="G43" s="272" t="str">
        <f>IF('- 6 -'!$C43=0,"",E43/'- 6 -'!$C43)</f>
        <v/>
      </c>
      <c r="H43" s="272">
        <v>0</v>
      </c>
      <c r="I43" s="273">
        <f>H43/'- 3 -'!$D43*100</f>
        <v>0</v>
      </c>
      <c r="J43" s="272" t="str">
        <f>IF('- 6 -'!$D43=0,"",H43/'- 6 -'!$D43)</f>
        <v/>
      </c>
    </row>
    <row r="44" spans="1:10" ht="14.1" customHeight="1" x14ac:dyDescent="0.2">
      <c r="A44" s="15" t="s">
        <v>140</v>
      </c>
      <c r="B44" s="16">
        <v>5145990</v>
      </c>
      <c r="C44" s="267">
        <f>B44/'- 3 -'!$D44*100</f>
        <v>45.610062808351572</v>
      </c>
      <c r="D44" s="16">
        <f>B44/'- 6 -'!$B44</f>
        <v>7785.1588502269287</v>
      </c>
      <c r="E44" s="16">
        <v>0</v>
      </c>
      <c r="F44" s="267">
        <f>E44/'- 3 -'!$D44*100</f>
        <v>0</v>
      </c>
      <c r="G44" s="16" t="str">
        <f>IF('- 6 -'!$C44=0,"",E44/'- 6 -'!$C44)</f>
        <v/>
      </c>
      <c r="H44" s="16">
        <v>327031</v>
      </c>
      <c r="I44" s="267">
        <f>H44/'- 3 -'!$D44*100</f>
        <v>2.8985490547548718</v>
      </c>
      <c r="J44" s="16">
        <f>IF('- 6 -'!$D44=0,"",H44/'- 6 -'!$D44)</f>
        <v>9762.119402985074</v>
      </c>
    </row>
    <row r="45" spans="1:10" ht="14.1" customHeight="1" x14ac:dyDescent="0.2">
      <c r="A45" s="271" t="s">
        <v>141</v>
      </c>
      <c r="B45" s="272">
        <v>5392935</v>
      </c>
      <c r="C45" s="273">
        <f>B45/'- 3 -'!$D45*100</f>
        <v>26.027610738852321</v>
      </c>
      <c r="D45" s="272">
        <f>B45/'- 6 -'!$B45</f>
        <v>6389.7334123222745</v>
      </c>
      <c r="E45" s="272">
        <v>0</v>
      </c>
      <c r="F45" s="273">
        <f>E45/'- 3 -'!$D45*100</f>
        <v>0</v>
      </c>
      <c r="G45" s="272" t="str">
        <f>IF('- 6 -'!$C45=0,"",E45/'- 6 -'!$C45)</f>
        <v/>
      </c>
      <c r="H45" s="272">
        <v>0</v>
      </c>
      <c r="I45" s="273">
        <f>H45/'- 3 -'!$D45*100</f>
        <v>0</v>
      </c>
      <c r="J45" s="272" t="str">
        <f>IF('- 6 -'!$D45=0,"",H45/'- 6 -'!$D45)</f>
        <v/>
      </c>
    </row>
    <row r="46" spans="1:10" ht="14.1" customHeight="1" x14ac:dyDescent="0.2">
      <c r="A46" s="15" t="s">
        <v>142</v>
      </c>
      <c r="B46" s="16">
        <v>136372550</v>
      </c>
      <c r="C46" s="267">
        <f>B46/'- 3 -'!$D46*100</f>
        <v>33.549299166843078</v>
      </c>
      <c r="D46" s="16">
        <f>B46/'- 6 -'!$B46</f>
        <v>6109.9086465441151</v>
      </c>
      <c r="E46" s="16">
        <v>0</v>
      </c>
      <c r="F46" s="267">
        <f>E46/'- 3 -'!$D46*100</f>
        <v>0</v>
      </c>
      <c r="G46" s="16" t="str">
        <f>IF('- 6 -'!$C46=0,"",E46/'- 6 -'!$C46)</f>
        <v/>
      </c>
      <c r="H46" s="16">
        <v>8211100</v>
      </c>
      <c r="I46" s="267">
        <f>H46/'- 3 -'!$D46*100</f>
        <v>2.0200300602200754</v>
      </c>
      <c r="J46" s="16">
        <f>IF('- 6 -'!$D46=0,"",H46/'- 6 -'!$D46)</f>
        <v>6134.5536047814721</v>
      </c>
    </row>
    <row r="47" spans="1:10" ht="5.0999999999999996" customHeight="1" x14ac:dyDescent="0.2">
      <c r="A47"/>
      <c r="B47"/>
      <c r="C47"/>
      <c r="D47"/>
      <c r="E47"/>
      <c r="F47"/>
      <c r="G47"/>
      <c r="H47" s="507"/>
      <c r="I47"/>
      <c r="J47"/>
    </row>
    <row r="48" spans="1:10" ht="14.1" customHeight="1" x14ac:dyDescent="0.2">
      <c r="A48" s="274" t="s">
        <v>143</v>
      </c>
      <c r="B48" s="275">
        <f>SUM(B11:B46)</f>
        <v>829387287</v>
      </c>
      <c r="C48" s="276">
        <f>B48/'- 3 -'!$D48*100</f>
        <v>34.395231410840452</v>
      </c>
      <c r="D48" s="275">
        <f>B48/'- 6 -'!$B48</f>
        <v>6634.7660269173712</v>
      </c>
      <c r="E48" s="275">
        <f>SUM(E11:E46)</f>
        <v>45476495</v>
      </c>
      <c r="F48" s="276">
        <f>E48/'- 3 -'!$D48*100</f>
        <v>1.8859398905627651</v>
      </c>
      <c r="G48" s="275">
        <f>E48/'- 6 -'!$C48</f>
        <v>7900.7114315496874</v>
      </c>
      <c r="H48" s="275">
        <f>SUM(H11:H46)</f>
        <v>70425149</v>
      </c>
      <c r="I48" s="276">
        <f>H48/'- 3 -'!$D48*100</f>
        <v>2.9205768342069112</v>
      </c>
      <c r="J48" s="275">
        <f>H48/'- 6 -'!$D48</f>
        <v>5704.7508302956667</v>
      </c>
    </row>
    <row r="49" spans="1:10" ht="5.0999999999999996" customHeight="1" x14ac:dyDescent="0.2">
      <c r="A49" s="17" t="s">
        <v>1</v>
      </c>
      <c r="B49" s="18"/>
      <c r="C49" s="266"/>
      <c r="D49" s="18"/>
      <c r="E49" s="18"/>
      <c r="F49" s="266"/>
      <c r="H49" s="18"/>
      <c r="I49" s="266"/>
      <c r="J49" s="18"/>
    </row>
    <row r="50" spans="1:10" ht="14.1" customHeight="1" x14ac:dyDescent="0.2">
      <c r="A50" s="15" t="s">
        <v>144</v>
      </c>
      <c r="B50" s="16">
        <v>1863951</v>
      </c>
      <c r="C50" s="267">
        <f>B50/'- 3 -'!$D50*100</f>
        <v>51.87899296442243</v>
      </c>
      <c r="D50" s="16">
        <f>B50/'- 6 -'!$B50</f>
        <v>11094.946428571429</v>
      </c>
      <c r="E50" s="16">
        <v>0</v>
      </c>
      <c r="F50" s="267">
        <f>E50/'- 3 -'!$D50*100</f>
        <v>0</v>
      </c>
      <c r="G50" s="16" t="str">
        <f>IF('- 6 -'!$C50=0,"",E50/'- 6 -'!$C50)</f>
        <v/>
      </c>
      <c r="H50" s="16">
        <v>0</v>
      </c>
      <c r="I50" s="267">
        <f>H50/'- 3 -'!$D50*100</f>
        <v>0</v>
      </c>
      <c r="J50" s="16" t="str">
        <f>IF('- 6 -'!$D50=0,"",H50/'- 6 -'!$D50)</f>
        <v/>
      </c>
    </row>
    <row r="51" spans="1:10" ht="14.1" customHeight="1" x14ac:dyDescent="0.2">
      <c r="A51" s="360" t="s">
        <v>514</v>
      </c>
      <c r="B51" s="272">
        <v>487783</v>
      </c>
      <c r="C51" s="273">
        <f>B51/'- 3 -'!$D51*100</f>
        <v>1.4846691458685009</v>
      </c>
      <c r="D51" s="272">
        <f>B51/'- 6 -'!$B51</f>
        <v>3933.733870967742</v>
      </c>
      <c r="E51" s="272">
        <v>0</v>
      </c>
      <c r="F51" s="273">
        <f>E51/'- 3 -'!$D51*100</f>
        <v>0</v>
      </c>
      <c r="G51" s="272" t="str">
        <f>IF('- 6 -'!$C51=0,"",E51/'- 6 -'!$C51)</f>
        <v/>
      </c>
      <c r="H51" s="272">
        <v>0</v>
      </c>
      <c r="I51" s="273">
        <f>H51/'- 3 -'!$D51*100</f>
        <v>0</v>
      </c>
      <c r="J51" s="272" t="str">
        <f>IF('- 6 -'!$D51=0,"",H51/'- 6 -'!$D51)</f>
        <v/>
      </c>
    </row>
    <row r="52" spans="1:10" ht="50.1" customHeight="1" x14ac:dyDescent="0.2">
      <c r="A52" s="19"/>
      <c r="B52" s="19"/>
      <c r="C52" s="19"/>
      <c r="D52" s="19"/>
      <c r="E52" s="19"/>
      <c r="F52" s="19"/>
      <c r="G52" s="19"/>
      <c r="H52" s="51"/>
      <c r="I52" s="51"/>
      <c r="J52" s="51"/>
    </row>
    <row r="53" spans="1:10" ht="15" customHeight="1" x14ac:dyDescent="0.2">
      <c r="A53" s="46" t="s">
        <v>338</v>
      </c>
      <c r="B53" s="46"/>
      <c r="C53" s="46"/>
      <c r="D53" s="46"/>
      <c r="E53" s="46"/>
      <c r="F53" s="46"/>
      <c r="G53" s="46"/>
      <c r="I53" s="46"/>
      <c r="J53" s="46"/>
    </row>
    <row r="54" spans="1:10" ht="14.45" customHeight="1" x14ac:dyDescent="0.2"/>
    <row r="55" spans="1:10" ht="14.45" customHeight="1" x14ac:dyDescent="0.2">
      <c r="A55" s="20"/>
    </row>
    <row r="56" spans="1:10" ht="14.45" customHeight="1" x14ac:dyDescent="0.2"/>
    <row r="57" spans="1:10" ht="14.45" customHeight="1" x14ac:dyDescent="0.2"/>
    <row r="58" spans="1:10" ht="14.45" customHeight="1" x14ac:dyDescent="0.2"/>
    <row r="59" spans="1:10" ht="14.45" customHeight="1" x14ac:dyDescent="0.2"/>
  </sheetData>
  <mergeCells count="7">
    <mergeCell ref="B6:J6"/>
    <mergeCell ref="D8:D9"/>
    <mergeCell ref="G8:G9"/>
    <mergeCell ref="J8:J9"/>
    <mergeCell ref="B7:D7"/>
    <mergeCell ref="E7:G7"/>
    <mergeCell ref="H7:J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59"/>
  <sheetViews>
    <sheetView showGridLines="0" showZeros="0" workbookViewId="0"/>
  </sheetViews>
  <sheetFormatPr defaultColWidth="15.83203125" defaultRowHeight="12" x14ac:dyDescent="0.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x14ac:dyDescent="0.2">
      <c r="A1" s="3"/>
      <c r="B1" s="32"/>
      <c r="C1" s="32"/>
      <c r="D1" s="32"/>
      <c r="E1" s="32"/>
      <c r="F1" s="32"/>
      <c r="G1" s="32"/>
      <c r="H1" s="32"/>
      <c r="I1" s="32"/>
    </row>
    <row r="2" spans="1:9" ht="15.95" customHeight="1" x14ac:dyDescent="0.2">
      <c r="A2" s="132"/>
      <c r="B2" s="5" t="str">
        <f>AEXP_BP</f>
        <v>ANALYSIS OF EXPENSE BY PROGRAM</v>
      </c>
      <c r="C2" s="35"/>
      <c r="D2" s="35"/>
      <c r="E2" s="35"/>
      <c r="F2" s="35"/>
      <c r="G2" s="35"/>
      <c r="H2" s="166"/>
      <c r="I2" s="502" t="s">
        <v>525</v>
      </c>
    </row>
    <row r="3" spans="1:9" ht="15.95" customHeight="1" x14ac:dyDescent="0.2">
      <c r="A3" s="135"/>
      <c r="B3" s="86" t="str">
        <f>OPYEAR</f>
        <v>OPERATING FUND 2018/2019 BUDGET</v>
      </c>
      <c r="C3" s="39"/>
      <c r="D3" s="39"/>
      <c r="E3" s="39"/>
      <c r="F3" s="39"/>
      <c r="G3" s="39"/>
      <c r="H3" s="167"/>
      <c r="I3" s="168"/>
    </row>
    <row r="4" spans="1:9" ht="15.95" customHeight="1" x14ac:dyDescent="0.2">
      <c r="B4" s="32"/>
      <c r="C4" s="32"/>
      <c r="D4" s="32"/>
      <c r="E4" s="32"/>
      <c r="F4" s="32"/>
      <c r="G4" s="32"/>
      <c r="H4" s="32"/>
      <c r="I4" s="32"/>
    </row>
    <row r="5" spans="1:9" ht="15.95" customHeight="1" x14ac:dyDescent="0.2">
      <c r="B5" s="628" t="s">
        <v>239</v>
      </c>
      <c r="C5" s="629"/>
      <c r="D5" s="629"/>
      <c r="E5" s="629"/>
      <c r="F5" s="629"/>
      <c r="G5" s="629"/>
      <c r="H5" s="629"/>
      <c r="I5" s="630"/>
    </row>
    <row r="6" spans="1:9" ht="15.95" customHeight="1" x14ac:dyDescent="0.2">
      <c r="B6" s="646" t="s">
        <v>240</v>
      </c>
      <c r="C6" s="644"/>
      <c r="D6" s="644"/>
      <c r="E6" s="644"/>
      <c r="F6" s="644"/>
      <c r="G6" s="644"/>
      <c r="H6" s="644"/>
      <c r="I6" s="645"/>
    </row>
    <row r="7" spans="1:9" ht="15.95" customHeight="1" x14ac:dyDescent="0.2">
      <c r="B7" s="162"/>
      <c r="C7" s="169"/>
      <c r="D7" s="647" t="s">
        <v>396</v>
      </c>
      <c r="E7" s="650" t="s">
        <v>404</v>
      </c>
      <c r="F7" s="655" t="s">
        <v>75</v>
      </c>
      <c r="G7" s="656"/>
      <c r="H7" s="656"/>
      <c r="I7" s="657"/>
    </row>
    <row r="8" spans="1:9" ht="15.95" customHeight="1" x14ac:dyDescent="0.2">
      <c r="A8" s="82"/>
      <c r="B8" s="170"/>
      <c r="C8" s="170"/>
      <c r="D8" s="648"/>
      <c r="E8" s="651"/>
      <c r="F8" s="653" t="s">
        <v>33</v>
      </c>
      <c r="G8" s="653" t="s">
        <v>16</v>
      </c>
      <c r="H8" s="541" t="s">
        <v>17</v>
      </c>
      <c r="I8" s="653" t="s">
        <v>19</v>
      </c>
    </row>
    <row r="9" spans="1:9" ht="15.95" customHeight="1" x14ac:dyDescent="0.2">
      <c r="A9" s="27" t="s">
        <v>37</v>
      </c>
      <c r="B9" s="43" t="s">
        <v>38</v>
      </c>
      <c r="C9" s="43" t="s">
        <v>39</v>
      </c>
      <c r="D9" s="649"/>
      <c r="E9" s="652"/>
      <c r="F9" s="654"/>
      <c r="G9" s="654"/>
      <c r="H9" s="542"/>
      <c r="I9" s="654"/>
    </row>
    <row r="10" spans="1:9" ht="5.0999999999999996" customHeight="1" x14ac:dyDescent="0.2">
      <c r="A10" s="29"/>
      <c r="B10" s="46"/>
      <c r="C10" s="46"/>
      <c r="D10" s="46"/>
      <c r="E10" s="46"/>
      <c r="F10" s="46"/>
      <c r="G10" s="46"/>
      <c r="H10" s="46"/>
      <c r="I10" s="46"/>
    </row>
    <row r="11" spans="1:9" ht="14.1" customHeight="1" x14ac:dyDescent="0.2">
      <c r="A11" s="271" t="s">
        <v>108</v>
      </c>
      <c r="B11" s="272">
        <v>0</v>
      </c>
      <c r="C11" s="273">
        <f>B11/'- 3 -'!$D11*100</f>
        <v>0</v>
      </c>
      <c r="D11" s="298" t="str">
        <f>IF(E11=0,"",B11/E11)</f>
        <v/>
      </c>
      <c r="E11" s="299">
        <f>SUM('- 6 -'!$E11:H11)</f>
        <v>0</v>
      </c>
      <c r="F11" s="273" t="str">
        <f>IF(E11=0,"",'- 6 -'!$E11/E11*100)</f>
        <v/>
      </c>
      <c r="G11" s="273" t="str">
        <f>IF(E11=0,"",'- 6 -'!$F11/E11*100)</f>
        <v/>
      </c>
      <c r="H11" s="273" t="str">
        <f>IF(E11=0,"",'- 6 -'!$G11/E11*100)</f>
        <v/>
      </c>
      <c r="I11" s="273" t="str">
        <f>IF(E11=0,"",'- 6 -'!$H11/E11*100)</f>
        <v/>
      </c>
    </row>
    <row r="12" spans="1:9" ht="14.1" customHeight="1" x14ac:dyDescent="0.2">
      <c r="A12" s="15" t="s">
        <v>109</v>
      </c>
      <c r="B12" s="16">
        <v>0</v>
      </c>
      <c r="C12" s="267">
        <f>B12/'- 3 -'!$D12*100</f>
        <v>0</v>
      </c>
      <c r="D12" s="171" t="str">
        <f t="shared" ref="D12:D46" si="0">IF(E12=0,"",B12/E12)</f>
        <v/>
      </c>
      <c r="E12" s="172">
        <f>SUM('- 6 -'!$E12:H12)</f>
        <v>0</v>
      </c>
      <c r="F12" s="267" t="str">
        <f>IF(E12=0,"",'- 6 -'!$E12/E12*100)</f>
        <v/>
      </c>
      <c r="G12" s="267" t="str">
        <f>IF(E12=0,"",'- 6 -'!$F12/E12*100)</f>
        <v/>
      </c>
      <c r="H12" s="267" t="str">
        <f>IF(E12=0,"",'- 6 -'!$G12/E12*100)</f>
        <v/>
      </c>
      <c r="I12" s="267" t="str">
        <f>IF(E12=0,"",'- 6 -'!$H12/E12*100)</f>
        <v/>
      </c>
    </row>
    <row r="13" spans="1:9" ht="14.1" customHeight="1" x14ac:dyDescent="0.2">
      <c r="A13" s="271" t="s">
        <v>110</v>
      </c>
      <c r="B13" s="272">
        <v>7552000</v>
      </c>
      <c r="C13" s="273">
        <f>B13/'- 3 -'!$D13*100</f>
        <v>7.2535734798903517</v>
      </c>
      <c r="D13" s="298">
        <f t="shared" si="0"/>
        <v>5260.8847091605712</v>
      </c>
      <c r="E13" s="299">
        <f>SUM('- 6 -'!$E13:H13)</f>
        <v>1435.5</v>
      </c>
      <c r="F13" s="273">
        <f>IF(E13=0,"",'- 6 -'!$E13/E13*100)</f>
        <v>67.885754092650643</v>
      </c>
      <c r="G13" s="273">
        <f>IF(E13=0,"",'- 6 -'!$F13/E13*100)</f>
        <v>0</v>
      </c>
      <c r="H13" s="273">
        <f>IF(E13=0,"",'- 6 -'!$G13/E13*100)</f>
        <v>32.114245907349357</v>
      </c>
      <c r="I13" s="273">
        <f>IF(E13=0,"",'- 6 -'!$H13/E13*100)</f>
        <v>0</v>
      </c>
    </row>
    <row r="14" spans="1:9" ht="14.1" customHeight="1" x14ac:dyDescent="0.2">
      <c r="A14" s="15" t="s">
        <v>319</v>
      </c>
      <c r="B14" s="16">
        <v>0</v>
      </c>
      <c r="C14" s="267">
        <f>B14/'- 3 -'!$D14*100</f>
        <v>0</v>
      </c>
      <c r="D14" s="171" t="str">
        <f t="shared" si="0"/>
        <v/>
      </c>
      <c r="E14" s="172">
        <f>SUM('- 6 -'!$E14:H14)</f>
        <v>0</v>
      </c>
      <c r="F14" s="267" t="str">
        <f>IF(E14=0,"",'- 6 -'!$E14/E14*100)</f>
        <v/>
      </c>
      <c r="G14" s="267" t="str">
        <f>IF(E14=0,"",'- 6 -'!$F14/E14*100)</f>
        <v/>
      </c>
      <c r="H14" s="267" t="str">
        <f>IF(E14=0,"",'- 6 -'!$G14/E14*100)</f>
        <v/>
      </c>
      <c r="I14" s="267" t="str">
        <f>IF(E14=0,"",'- 6 -'!$H14/E14*100)</f>
        <v/>
      </c>
    </row>
    <row r="15" spans="1:9" ht="14.1" customHeight="1" x14ac:dyDescent="0.2">
      <c r="A15" s="271" t="s">
        <v>111</v>
      </c>
      <c r="B15" s="272">
        <v>0</v>
      </c>
      <c r="C15" s="273">
        <f>B15/'- 3 -'!$D15*100</f>
        <v>0</v>
      </c>
      <c r="D15" s="298" t="str">
        <f t="shared" si="0"/>
        <v/>
      </c>
      <c r="E15" s="299">
        <f>SUM('- 6 -'!$E15:H15)</f>
        <v>0</v>
      </c>
      <c r="F15" s="273" t="str">
        <f>IF(E15=0,"",'- 6 -'!$E15/E15*100)</f>
        <v/>
      </c>
      <c r="G15" s="273" t="str">
        <f>IF(E15=0,"",'- 6 -'!$F15/E15*100)</f>
        <v/>
      </c>
      <c r="H15" s="273" t="str">
        <f>IF(E15=0,"",'- 6 -'!$G15/E15*100)</f>
        <v/>
      </c>
      <c r="I15" s="273" t="str">
        <f>IF(E15=0,"",'- 6 -'!$H15/E15*100)</f>
        <v/>
      </c>
    </row>
    <row r="16" spans="1:9" ht="14.1" customHeight="1" x14ac:dyDescent="0.2">
      <c r="A16" s="15" t="s">
        <v>112</v>
      </c>
      <c r="B16" s="16">
        <v>2223014</v>
      </c>
      <c r="C16" s="267">
        <f>B16/'- 3 -'!$D16*100</f>
        <v>14.952235207200488</v>
      </c>
      <c r="D16" s="171">
        <f t="shared" si="0"/>
        <v>6008.1459459459456</v>
      </c>
      <c r="E16" s="172">
        <f>SUM('- 6 -'!$E16:H16)</f>
        <v>370</v>
      </c>
      <c r="F16" s="267">
        <f>IF(E16=0,"",'- 6 -'!$E16/E16*100)</f>
        <v>69.594594594594597</v>
      </c>
      <c r="G16" s="267">
        <f>IF(E16=0,"",'- 6 -'!$F16/E16*100)</f>
        <v>0</v>
      </c>
      <c r="H16" s="267">
        <f>IF(E16=0,"",'- 6 -'!$G16/E16*100)</f>
        <v>30.405405405405407</v>
      </c>
      <c r="I16" s="267">
        <f>IF(E16=0,"",'- 6 -'!$H16/E16*100)</f>
        <v>0</v>
      </c>
    </row>
    <row r="17" spans="1:9" ht="14.1" customHeight="1" x14ac:dyDescent="0.2">
      <c r="A17" s="271" t="s">
        <v>113</v>
      </c>
      <c r="B17" s="272">
        <v>0</v>
      </c>
      <c r="C17" s="273">
        <f>B17/'- 3 -'!$D17*100</f>
        <v>0</v>
      </c>
      <c r="D17" s="298" t="str">
        <f t="shared" si="0"/>
        <v/>
      </c>
      <c r="E17" s="299">
        <f>SUM('- 6 -'!$E17:H17)</f>
        <v>0</v>
      </c>
      <c r="F17" s="273" t="str">
        <f>IF(E17=0,"",'- 6 -'!$E17/E17*100)</f>
        <v/>
      </c>
      <c r="G17" s="273" t="str">
        <f>IF(E17=0,"",'- 6 -'!$F17/E17*100)</f>
        <v/>
      </c>
      <c r="H17" s="273" t="str">
        <f>IF(E17=0,"",'- 6 -'!$G17/E17*100)</f>
        <v/>
      </c>
      <c r="I17" s="273" t="str">
        <f>IF(E17=0,"",'- 6 -'!$H17/E17*100)</f>
        <v/>
      </c>
    </row>
    <row r="18" spans="1:9" ht="14.1" customHeight="1" x14ac:dyDescent="0.2">
      <c r="A18" s="15" t="s">
        <v>114</v>
      </c>
      <c r="B18" s="16">
        <v>0</v>
      </c>
      <c r="C18" s="267">
        <f>B18/'- 3 -'!$D18*100</f>
        <v>0</v>
      </c>
      <c r="D18" s="171" t="str">
        <f t="shared" si="0"/>
        <v/>
      </c>
      <c r="E18" s="172">
        <f>SUM('- 6 -'!$E18:H18)</f>
        <v>0</v>
      </c>
      <c r="F18" s="267" t="str">
        <f>IF(E18=0,"",'- 6 -'!$E18/E18*100)</f>
        <v/>
      </c>
      <c r="G18" s="267" t="str">
        <f>IF(E18=0,"",'- 6 -'!$F18/E18*100)</f>
        <v/>
      </c>
      <c r="H18" s="267" t="str">
        <f>IF(E18=0,"",'- 6 -'!$G18/E18*100)</f>
        <v/>
      </c>
      <c r="I18" s="267" t="str">
        <f>IF(E18=0,"",'- 6 -'!$H18/E18*100)</f>
        <v/>
      </c>
    </row>
    <row r="19" spans="1:9" ht="14.1" customHeight="1" x14ac:dyDescent="0.2">
      <c r="A19" s="271" t="s">
        <v>115</v>
      </c>
      <c r="B19" s="272">
        <v>0</v>
      </c>
      <c r="C19" s="273">
        <f>B19/'- 3 -'!$D19*100</f>
        <v>0</v>
      </c>
      <c r="D19" s="298" t="str">
        <f t="shared" si="0"/>
        <v/>
      </c>
      <c r="E19" s="299">
        <f>SUM('- 6 -'!$E19:H19)</f>
        <v>0</v>
      </c>
      <c r="F19" s="273" t="str">
        <f>IF(E19=0,"",'- 6 -'!$E19/E19*100)</f>
        <v/>
      </c>
      <c r="G19" s="273" t="str">
        <f>IF(E19=0,"",'- 6 -'!$F19/E19*100)</f>
        <v/>
      </c>
      <c r="H19" s="273" t="str">
        <f>IF(E19=0,"",'- 6 -'!$G19/E19*100)</f>
        <v/>
      </c>
      <c r="I19" s="273" t="str">
        <f>IF(E19=0,"",'- 6 -'!$H19/E19*100)</f>
        <v/>
      </c>
    </row>
    <row r="20" spans="1:9" ht="14.1" customHeight="1" x14ac:dyDescent="0.2">
      <c r="A20" s="15" t="s">
        <v>116</v>
      </c>
      <c r="B20" s="16">
        <v>0</v>
      </c>
      <c r="C20" s="267">
        <f>B20/'- 3 -'!$D20*100</f>
        <v>0</v>
      </c>
      <c r="D20" s="171" t="str">
        <f t="shared" si="0"/>
        <v/>
      </c>
      <c r="E20" s="172">
        <f>SUM('- 6 -'!$E20:H20)</f>
        <v>0</v>
      </c>
      <c r="F20" s="267" t="str">
        <f>IF(E20=0,"",'- 6 -'!$E20/E20*100)</f>
        <v/>
      </c>
      <c r="G20" s="267" t="str">
        <f>IF(E20=0,"",'- 6 -'!$F20/E20*100)</f>
        <v/>
      </c>
      <c r="H20" s="267" t="str">
        <f>IF(E20=0,"",'- 6 -'!$G20/E20*100)</f>
        <v/>
      </c>
      <c r="I20" s="267" t="str">
        <f>IF(E20=0,"",'- 6 -'!$H20/E20*100)</f>
        <v/>
      </c>
    </row>
    <row r="21" spans="1:9" ht="14.1" customHeight="1" x14ac:dyDescent="0.2">
      <c r="A21" s="271" t="s">
        <v>117</v>
      </c>
      <c r="B21" s="272">
        <v>4157686</v>
      </c>
      <c r="C21" s="273">
        <f>B21/'- 3 -'!$D21*100</f>
        <v>11.069563536585301</v>
      </c>
      <c r="D21" s="298">
        <f t="shared" si="0"/>
        <v>5782.5952712100143</v>
      </c>
      <c r="E21" s="299">
        <f>SUM('- 6 -'!$E21:H21)</f>
        <v>719</v>
      </c>
      <c r="F21" s="273">
        <f>IF(E21=0,"",'- 6 -'!$E21/E21*100)</f>
        <v>60.361613351877608</v>
      </c>
      <c r="G21" s="273">
        <f>IF(E21=0,"",'- 6 -'!$F21/E21*100)</f>
        <v>0</v>
      </c>
      <c r="H21" s="273">
        <f>IF(E21=0,"",'- 6 -'!$G21/E21*100)</f>
        <v>39.638386648122392</v>
      </c>
      <c r="I21" s="273">
        <f>IF(E21=0,"",'- 6 -'!$H21/E21*100)</f>
        <v>0</v>
      </c>
    </row>
    <row r="22" spans="1:9" ht="14.1" customHeight="1" x14ac:dyDescent="0.2">
      <c r="A22" s="15" t="s">
        <v>118</v>
      </c>
      <c r="B22" s="16">
        <v>4325883</v>
      </c>
      <c r="C22" s="267">
        <f>B22/'- 3 -'!$D22*100</f>
        <v>20.715072418518989</v>
      </c>
      <c r="D22" s="171">
        <f t="shared" si="0"/>
        <v>7039.6794141578521</v>
      </c>
      <c r="E22" s="172">
        <f>SUM('- 6 -'!$E22:H22)</f>
        <v>614.5</v>
      </c>
      <c r="F22" s="267">
        <f>IF(E22=0,"",'- 6 -'!$E22/E22*100)</f>
        <v>78.275020341741254</v>
      </c>
      <c r="G22" s="267">
        <f>IF(E22=0,"",'- 6 -'!$F22/E22*100)</f>
        <v>0</v>
      </c>
      <c r="H22" s="267">
        <f>IF(E22=0,"",'- 6 -'!$G22/E22*100)</f>
        <v>21.724979658258746</v>
      </c>
      <c r="I22" s="267">
        <f>IF(E22=0,"",'- 6 -'!$H22/E22*100)</f>
        <v>0</v>
      </c>
    </row>
    <row r="23" spans="1:9" ht="14.1" customHeight="1" x14ac:dyDescent="0.2">
      <c r="A23" s="271" t="s">
        <v>119</v>
      </c>
      <c r="B23" s="272">
        <v>0</v>
      </c>
      <c r="C23" s="273">
        <f>B23/'- 3 -'!$D23*100</f>
        <v>0</v>
      </c>
      <c r="D23" s="298" t="str">
        <f t="shared" si="0"/>
        <v/>
      </c>
      <c r="E23" s="299">
        <f>SUM('- 6 -'!$E23:H23)</f>
        <v>0</v>
      </c>
      <c r="F23" s="273" t="str">
        <f>IF(E23=0,"",'- 6 -'!$E23/E23*100)</f>
        <v/>
      </c>
      <c r="G23" s="273" t="str">
        <f>IF(E23=0,"",'- 6 -'!$F23/E23*100)</f>
        <v/>
      </c>
      <c r="H23" s="273" t="str">
        <f>IF(E23=0,"",'- 6 -'!$G23/E23*100)</f>
        <v/>
      </c>
      <c r="I23" s="273" t="str">
        <f>IF(E23=0,"",'- 6 -'!$H23/E23*100)</f>
        <v/>
      </c>
    </row>
    <row r="24" spans="1:9" ht="14.1" customHeight="1" x14ac:dyDescent="0.2">
      <c r="A24" s="15" t="s">
        <v>120</v>
      </c>
      <c r="B24" s="16">
        <v>4731955</v>
      </c>
      <c r="C24" s="267">
        <f>B24/'- 3 -'!$D24*100</f>
        <v>8.1001080857752772</v>
      </c>
      <c r="D24" s="171">
        <f t="shared" si="0"/>
        <v>6948.5389133627023</v>
      </c>
      <c r="E24" s="172">
        <f>SUM('- 6 -'!$E24:H24)</f>
        <v>681</v>
      </c>
      <c r="F24" s="267">
        <f>IF(E24=0,"",'- 6 -'!$E24/E24*100)</f>
        <v>73.201174743024964</v>
      </c>
      <c r="G24" s="267">
        <f>IF(E24=0,"",'- 6 -'!$F24/E24*100)</f>
        <v>0</v>
      </c>
      <c r="H24" s="267">
        <f>IF(E24=0,"",'- 6 -'!$G24/E24*100)</f>
        <v>14.390602055800294</v>
      </c>
      <c r="I24" s="267">
        <f>IF(E24=0,"",'- 6 -'!$H24/E24*100)</f>
        <v>12.408223201174744</v>
      </c>
    </row>
    <row r="25" spans="1:9" ht="14.1" customHeight="1" x14ac:dyDescent="0.2">
      <c r="A25" s="271" t="s">
        <v>121</v>
      </c>
      <c r="B25" s="272">
        <v>3182690</v>
      </c>
      <c r="C25" s="273">
        <f>B25/'- 3 -'!$D25*100</f>
        <v>1.6938454217687022</v>
      </c>
      <c r="D25" s="298">
        <f t="shared" si="0"/>
        <v>4639.4897959183672</v>
      </c>
      <c r="E25" s="299">
        <f>SUM('- 6 -'!$E25:H25)</f>
        <v>686</v>
      </c>
      <c r="F25" s="273">
        <f>IF(E25=0,"",'- 6 -'!$E25/E25*100)</f>
        <v>53.2069970845481</v>
      </c>
      <c r="G25" s="273">
        <f>IF(E25=0,"",'- 6 -'!$F25/E25*100)</f>
        <v>0</v>
      </c>
      <c r="H25" s="273">
        <f>IF(E25=0,"",'- 6 -'!$G25/E25*100)</f>
        <v>46.793002915451893</v>
      </c>
      <c r="I25" s="273">
        <f>IF(E25=0,"",'- 6 -'!$H25/E25*100)</f>
        <v>0</v>
      </c>
    </row>
    <row r="26" spans="1:9" ht="14.1" customHeight="1" x14ac:dyDescent="0.2">
      <c r="A26" s="15" t="s">
        <v>122</v>
      </c>
      <c r="B26" s="16">
        <v>2472010</v>
      </c>
      <c r="C26" s="267">
        <f>B26/'- 3 -'!$D26*100</f>
        <v>6.0259723721497744</v>
      </c>
      <c r="D26" s="171">
        <f t="shared" si="0"/>
        <v>5368.0998914223674</v>
      </c>
      <c r="E26" s="172">
        <f>SUM('- 6 -'!$E26:H26)</f>
        <v>460.5</v>
      </c>
      <c r="F26" s="267">
        <f>IF(E26=0,"",'- 6 -'!$E26/E26*100)</f>
        <v>67.752442996742673</v>
      </c>
      <c r="G26" s="267">
        <f>IF(E26=0,"",'- 6 -'!$F26/E26*100)</f>
        <v>0</v>
      </c>
      <c r="H26" s="267">
        <f>IF(E26=0,"",'- 6 -'!$G26/E26*100)</f>
        <v>17.155266015200869</v>
      </c>
      <c r="I26" s="267">
        <f>IF(E26=0,"",'- 6 -'!$H26/E26*100)</f>
        <v>15.092290988056462</v>
      </c>
    </row>
    <row r="27" spans="1:9" ht="14.1" customHeight="1" x14ac:dyDescent="0.2">
      <c r="A27" s="271" t="s">
        <v>123</v>
      </c>
      <c r="B27" s="272">
        <v>2378535</v>
      </c>
      <c r="C27" s="273">
        <f>B27/'- 3 -'!$D27*100</f>
        <v>5.5671550875172695</v>
      </c>
      <c r="D27" s="298">
        <f t="shared" si="0"/>
        <v>6625.4456824512536</v>
      </c>
      <c r="E27" s="299">
        <f>SUM('- 6 -'!$E27:H27)</f>
        <v>359</v>
      </c>
      <c r="F27" s="273">
        <f>IF(E27=0,"",'- 6 -'!$E27/E27*100)</f>
        <v>35.376044568245121</v>
      </c>
      <c r="G27" s="273">
        <f>IF(E27=0,"",'- 6 -'!$F27/E27*100)</f>
        <v>0</v>
      </c>
      <c r="H27" s="273">
        <f>IF(E27=0,"",'- 6 -'!$G27/E27*100)</f>
        <v>64.623955431754879</v>
      </c>
      <c r="I27" s="273">
        <f>IF(E27=0,"",'- 6 -'!$H27/E27*100)</f>
        <v>0</v>
      </c>
    </row>
    <row r="28" spans="1:9" ht="14.1" customHeight="1" x14ac:dyDescent="0.2">
      <c r="A28" s="15" t="s">
        <v>124</v>
      </c>
      <c r="B28" s="16">
        <v>0</v>
      </c>
      <c r="C28" s="267">
        <f>B28/'- 3 -'!$D28*100</f>
        <v>0</v>
      </c>
      <c r="D28" s="171" t="str">
        <f t="shared" si="0"/>
        <v/>
      </c>
      <c r="E28" s="172">
        <f>SUM('- 6 -'!$E28:H28)</f>
        <v>0</v>
      </c>
      <c r="F28" s="267" t="str">
        <f>IF(E28=0,"",'- 6 -'!$E28/E28*100)</f>
        <v/>
      </c>
      <c r="G28" s="267" t="str">
        <f>IF(E28=0,"",'- 6 -'!$F28/E28*100)</f>
        <v/>
      </c>
      <c r="H28" s="267" t="str">
        <f>IF(E28=0,"",'- 6 -'!$G28/E28*100)</f>
        <v/>
      </c>
      <c r="I28" s="267" t="str">
        <f>IF(E28=0,"",'- 6 -'!$H28/E28*100)</f>
        <v/>
      </c>
    </row>
    <row r="29" spans="1:9" ht="14.1" customHeight="1" x14ac:dyDescent="0.2">
      <c r="A29" s="271" t="s">
        <v>125</v>
      </c>
      <c r="B29" s="272">
        <v>25159868</v>
      </c>
      <c r="C29" s="273">
        <f>B29/'- 3 -'!$D29*100</f>
        <v>14.812804090182849</v>
      </c>
      <c r="D29" s="298">
        <f t="shared" si="0"/>
        <v>5827.5508407838051</v>
      </c>
      <c r="E29" s="299">
        <f>SUM('- 6 -'!$E29:H29)</f>
        <v>4317.3999999999996</v>
      </c>
      <c r="F29" s="273">
        <f>IF(E29=0,"",'- 6 -'!$E29/E29*100)</f>
        <v>58.922036410802804</v>
      </c>
      <c r="G29" s="273">
        <f>IF(E29=0,"",'- 6 -'!$F29/E29*100)</f>
        <v>0</v>
      </c>
      <c r="H29" s="273">
        <f>IF(E29=0,"",'- 6 -'!$G29/E29*100)</f>
        <v>41.077963589197203</v>
      </c>
      <c r="I29" s="273">
        <f>IF(E29=0,"",'- 6 -'!$H29/E29*100)</f>
        <v>0</v>
      </c>
    </row>
    <row r="30" spans="1:9" ht="14.1" customHeight="1" x14ac:dyDescent="0.2">
      <c r="A30" s="15" t="s">
        <v>126</v>
      </c>
      <c r="B30" s="16">
        <v>0</v>
      </c>
      <c r="C30" s="267">
        <f>B30/'- 3 -'!$D30*100</f>
        <v>0</v>
      </c>
      <c r="D30" s="171" t="str">
        <f t="shared" si="0"/>
        <v/>
      </c>
      <c r="E30" s="172">
        <f>SUM('- 6 -'!$E30:H30)</f>
        <v>0</v>
      </c>
      <c r="F30" s="267" t="str">
        <f>IF(E30=0,"",'- 6 -'!$E30/E30*100)</f>
        <v/>
      </c>
      <c r="G30" s="267" t="str">
        <f>IF(E30=0,"",'- 6 -'!$F30/E30*100)</f>
        <v/>
      </c>
      <c r="H30" s="267" t="str">
        <f>IF(E30=0,"",'- 6 -'!$G30/E30*100)</f>
        <v/>
      </c>
      <c r="I30" s="267" t="str">
        <f>IF(E30=0,"",'- 6 -'!$H30/E30*100)</f>
        <v/>
      </c>
    </row>
    <row r="31" spans="1:9" ht="14.1" customHeight="1" x14ac:dyDescent="0.2">
      <c r="A31" s="271" t="s">
        <v>127</v>
      </c>
      <c r="B31" s="272">
        <v>3357695</v>
      </c>
      <c r="C31" s="273">
        <f>B31/'- 3 -'!$D31*100</f>
        <v>8.6289576603501317</v>
      </c>
      <c r="D31" s="298">
        <f t="shared" si="0"/>
        <v>4380.5544683626877</v>
      </c>
      <c r="E31" s="299">
        <f>SUM('- 6 -'!$E31:H31)</f>
        <v>766.5</v>
      </c>
      <c r="F31" s="273">
        <f>IF(E31=0,"",'- 6 -'!$E31/E31*100)</f>
        <v>59.165035877364645</v>
      </c>
      <c r="G31" s="273">
        <f>IF(E31=0,"",'- 6 -'!$F31/E31*100)</f>
        <v>0</v>
      </c>
      <c r="H31" s="273">
        <f>IF(E31=0,"",'- 6 -'!$G31/E31*100)</f>
        <v>40.834964122635355</v>
      </c>
      <c r="I31" s="273">
        <f>IF(E31=0,"",'- 6 -'!$H31/E31*100)</f>
        <v>0</v>
      </c>
    </row>
    <row r="32" spans="1:9" ht="14.1" customHeight="1" x14ac:dyDescent="0.2">
      <c r="A32" s="15" t="s">
        <v>128</v>
      </c>
      <c r="B32" s="16">
        <v>1243894</v>
      </c>
      <c r="C32" s="267">
        <f>B32/'- 3 -'!$D32*100</f>
        <v>4.0087480657109129</v>
      </c>
      <c r="D32" s="171">
        <f t="shared" si="0"/>
        <v>7067.579545454545</v>
      </c>
      <c r="E32" s="172">
        <f>SUM('- 6 -'!$E32:H32)</f>
        <v>176</v>
      </c>
      <c r="F32" s="267">
        <f>IF(E32=0,"",'- 6 -'!$E32/E32*100)</f>
        <v>65.909090909090907</v>
      </c>
      <c r="G32" s="267">
        <f>IF(E32=0,"",'- 6 -'!$F32/E32*100)</f>
        <v>0</v>
      </c>
      <c r="H32" s="267">
        <f>IF(E32=0,"",'- 6 -'!$G32/E32*100)</f>
        <v>34.090909090909086</v>
      </c>
      <c r="I32" s="267">
        <f>IF(E32=0,"",'- 6 -'!$H32/E32*100)</f>
        <v>0</v>
      </c>
    </row>
    <row r="33" spans="1:9" ht="14.1" customHeight="1" x14ac:dyDescent="0.2">
      <c r="A33" s="271" t="s">
        <v>129</v>
      </c>
      <c r="B33" s="272">
        <v>2941025</v>
      </c>
      <c r="C33" s="273">
        <f>B33/'- 3 -'!$D33*100</f>
        <v>10.311379269360318</v>
      </c>
      <c r="D33" s="298">
        <f t="shared" si="0"/>
        <v>8574.4169096209916</v>
      </c>
      <c r="E33" s="299">
        <f>SUM('- 6 -'!$E33:H33)</f>
        <v>343</v>
      </c>
      <c r="F33" s="273">
        <f>IF(E33=0,"",'- 6 -'!$E33/E33*100)</f>
        <v>35.568513119533527</v>
      </c>
      <c r="G33" s="273">
        <f>IF(E33=0,"",'- 6 -'!$F33/E33*100)</f>
        <v>32.944606413994173</v>
      </c>
      <c r="H33" s="273">
        <f>IF(E33=0,"",'- 6 -'!$G33/E33*100)</f>
        <v>31.486880466472307</v>
      </c>
      <c r="I33" s="273">
        <f>IF(E33=0,"",'- 6 -'!$H33/E33*100)</f>
        <v>0</v>
      </c>
    </row>
    <row r="34" spans="1:9" ht="14.1" customHeight="1" x14ac:dyDescent="0.2">
      <c r="A34" s="15" t="s">
        <v>130</v>
      </c>
      <c r="B34" s="16">
        <v>1660415</v>
      </c>
      <c r="C34" s="267">
        <f>B34/'- 3 -'!$D34*100</f>
        <v>5.330687276502184</v>
      </c>
      <c r="D34" s="171">
        <f t="shared" si="0"/>
        <v>7266.5864332603942</v>
      </c>
      <c r="E34" s="172">
        <f>SUM('- 6 -'!$E34:H34)</f>
        <v>228.5</v>
      </c>
      <c r="F34" s="267">
        <f>IF(E34=0,"",'- 6 -'!$E34/E34*100)</f>
        <v>31.291028446389497</v>
      </c>
      <c r="G34" s="267">
        <f>IF(E34=0,"",'- 6 -'!$F34/E34*100)</f>
        <v>68.708971553610496</v>
      </c>
      <c r="H34" s="267">
        <f>IF(E34=0,"",'- 6 -'!$G34/E34*100)</f>
        <v>0</v>
      </c>
      <c r="I34" s="267">
        <f>IF(E34=0,"",'- 6 -'!$H34/E34*100)</f>
        <v>0</v>
      </c>
    </row>
    <row r="35" spans="1:9" ht="14.1" customHeight="1" x14ac:dyDescent="0.2">
      <c r="A35" s="271" t="s">
        <v>131</v>
      </c>
      <c r="B35" s="272">
        <v>28064483</v>
      </c>
      <c r="C35" s="273">
        <f>B35/'- 3 -'!$D35*100</f>
        <v>14.700566057910592</v>
      </c>
      <c r="D35" s="298">
        <f t="shared" si="0"/>
        <v>5794.8550485236419</v>
      </c>
      <c r="E35" s="299">
        <f>SUM('- 6 -'!$E35:H35)</f>
        <v>4843</v>
      </c>
      <c r="F35" s="273">
        <f>IF(E35=0,"",'- 6 -'!$E35/E35*100)</f>
        <v>55.265331406153209</v>
      </c>
      <c r="G35" s="273">
        <f>IF(E35=0,"",'- 6 -'!$F35/E35*100)</f>
        <v>0</v>
      </c>
      <c r="H35" s="273">
        <f>IF(E35=0,"",'- 6 -'!$G35/E35*100)</f>
        <v>36.640512079289692</v>
      </c>
      <c r="I35" s="273">
        <f>IF(E35=0,"",'- 6 -'!$H35/E35*100)</f>
        <v>8.094156514557092</v>
      </c>
    </row>
    <row r="36" spans="1:9" ht="14.1" customHeight="1" x14ac:dyDescent="0.2">
      <c r="A36" s="15" t="s">
        <v>132</v>
      </c>
      <c r="B36" s="16">
        <v>0</v>
      </c>
      <c r="C36" s="267">
        <f>B36/'- 3 -'!$D36*100</f>
        <v>0</v>
      </c>
      <c r="D36" s="171" t="str">
        <f t="shared" si="0"/>
        <v/>
      </c>
      <c r="E36" s="172">
        <f>SUM('- 6 -'!$E36:H36)</f>
        <v>0</v>
      </c>
      <c r="F36" s="267" t="str">
        <f>IF(E36=0,"",'- 6 -'!$E36/E36*100)</f>
        <v/>
      </c>
      <c r="G36" s="267" t="str">
        <f>IF(E36=0,"",'- 6 -'!$F36/E36*100)</f>
        <v/>
      </c>
      <c r="H36" s="267" t="str">
        <f>IF(E36=0,"",'- 6 -'!$G36/E36*100)</f>
        <v/>
      </c>
      <c r="I36" s="267" t="str">
        <f>IF(E36=0,"",'- 6 -'!$H36/E36*100)</f>
        <v/>
      </c>
    </row>
    <row r="37" spans="1:9" ht="14.1" customHeight="1" x14ac:dyDescent="0.2">
      <c r="A37" s="271" t="s">
        <v>133</v>
      </c>
      <c r="B37" s="272">
        <v>8149927</v>
      </c>
      <c r="C37" s="273">
        <f>B37/'- 3 -'!$D37*100</f>
        <v>15.363422661911189</v>
      </c>
      <c r="D37" s="298">
        <f t="shared" si="0"/>
        <v>6141.6179351921628</v>
      </c>
      <c r="E37" s="299">
        <f>SUM('- 6 -'!$E37:H37)</f>
        <v>1327</v>
      </c>
      <c r="F37" s="273">
        <f>IF(E37=0,"",'- 6 -'!$E37/E37*100)</f>
        <v>57.573474001507165</v>
      </c>
      <c r="G37" s="273">
        <f>IF(E37=0,"",'- 6 -'!$F37/E37*100)</f>
        <v>0</v>
      </c>
      <c r="H37" s="273">
        <f>IF(E37=0,"",'- 6 -'!$G37/E37*100)</f>
        <v>42.426525998492842</v>
      </c>
      <c r="I37" s="273">
        <f>IF(E37=0,"",'- 6 -'!$H37/E37*100)</f>
        <v>0</v>
      </c>
    </row>
    <row r="38" spans="1:9" ht="14.1" customHeight="1" x14ac:dyDescent="0.2">
      <c r="A38" s="15" t="s">
        <v>134</v>
      </c>
      <c r="B38" s="16">
        <v>23953044</v>
      </c>
      <c r="C38" s="267">
        <f>B38/'- 3 -'!$D38*100</f>
        <v>16.547656583113117</v>
      </c>
      <c r="D38" s="171">
        <f t="shared" si="0"/>
        <v>6056.3954487989886</v>
      </c>
      <c r="E38" s="172">
        <f>SUM('- 6 -'!$E38:H38)</f>
        <v>3955</v>
      </c>
      <c r="F38" s="267">
        <f>IF(E38=0,"",'- 6 -'!$E38/E38*100)</f>
        <v>60.505689001264216</v>
      </c>
      <c r="G38" s="267">
        <f>IF(E38=0,"",'- 6 -'!$F38/E38*100)</f>
        <v>0</v>
      </c>
      <c r="H38" s="267">
        <f>IF(E38=0,"",'- 6 -'!$G38/E38*100)</f>
        <v>33.8685208596713</v>
      </c>
      <c r="I38" s="267">
        <f>IF(E38=0,"",'- 6 -'!$H38/E38*100)</f>
        <v>5.6257901390644749</v>
      </c>
    </row>
    <row r="39" spans="1:9" ht="14.1" customHeight="1" x14ac:dyDescent="0.2">
      <c r="A39" s="271" t="s">
        <v>135</v>
      </c>
      <c r="B39" s="272">
        <v>0</v>
      </c>
      <c r="C39" s="273">
        <f>B39/'- 3 -'!$D39*100</f>
        <v>0</v>
      </c>
      <c r="D39" s="298" t="str">
        <f t="shared" si="0"/>
        <v/>
      </c>
      <c r="E39" s="299">
        <f>SUM('- 6 -'!$E39:H39)</f>
        <v>0</v>
      </c>
      <c r="F39" s="273" t="str">
        <f>IF(E39=0,"",'- 6 -'!$E39/E39*100)</f>
        <v/>
      </c>
      <c r="G39" s="273" t="str">
        <f>IF(E39=0,"",'- 6 -'!$F39/E39*100)</f>
        <v/>
      </c>
      <c r="H39" s="273" t="str">
        <f>IF(E39=0,"",'- 6 -'!$G39/E39*100)</f>
        <v/>
      </c>
      <c r="I39" s="273" t="str">
        <f>IF(E39=0,"",'- 6 -'!$H39/E39*100)</f>
        <v/>
      </c>
    </row>
    <row r="40" spans="1:9" ht="14.1" customHeight="1" x14ac:dyDescent="0.2">
      <c r="A40" s="15" t="s">
        <v>136</v>
      </c>
      <c r="B40" s="16">
        <v>6233724</v>
      </c>
      <c r="C40" s="267">
        <f>B40/'- 3 -'!$D40*100</f>
        <v>5.7535711146940178</v>
      </c>
      <c r="D40" s="171">
        <f t="shared" si="0"/>
        <v>6028.338507064318</v>
      </c>
      <c r="E40" s="172">
        <f>SUM('- 6 -'!$E40:H40)</f>
        <v>1034.0700000000002</v>
      </c>
      <c r="F40" s="267">
        <f>IF(E40=0,"",'- 6 -'!$E40/E40*100)</f>
        <v>72.052182154012783</v>
      </c>
      <c r="G40" s="267">
        <f>IF(E40=0,"",'- 6 -'!$F40/E40*100)</f>
        <v>0</v>
      </c>
      <c r="H40" s="267">
        <f>IF(E40=0,"",'- 6 -'!$G40/E40*100)</f>
        <v>27.94781784598721</v>
      </c>
      <c r="I40" s="267">
        <f>IF(E40=0,"",'- 6 -'!$H40/E40*100)</f>
        <v>0</v>
      </c>
    </row>
    <row r="41" spans="1:9" ht="14.1" customHeight="1" x14ac:dyDescent="0.2">
      <c r="A41" s="271" t="s">
        <v>137</v>
      </c>
      <c r="B41" s="272">
        <v>14424711</v>
      </c>
      <c r="C41" s="273">
        <f>B41/'- 3 -'!$D41*100</f>
        <v>22.188867921120924</v>
      </c>
      <c r="D41" s="298">
        <f t="shared" si="0"/>
        <v>6247.1680381117367</v>
      </c>
      <c r="E41" s="299">
        <f>SUM('- 6 -'!$E41:H41)</f>
        <v>2309</v>
      </c>
      <c r="F41" s="273">
        <f>IF(E41=0,"",'- 6 -'!$E41/E41*100)</f>
        <v>64.573408401905581</v>
      </c>
      <c r="G41" s="273">
        <f>IF(E41=0,"",'- 6 -'!$F41/E41*100)</f>
        <v>0</v>
      </c>
      <c r="H41" s="273">
        <f>IF(E41=0,"",'- 6 -'!$G41/E41*100)</f>
        <v>31.875270679948031</v>
      </c>
      <c r="I41" s="273">
        <f>IF(E41=0,"",'- 6 -'!$H41/E41*100)</f>
        <v>3.5513209181463834</v>
      </c>
    </row>
    <row r="42" spans="1:9" ht="14.1" customHeight="1" x14ac:dyDescent="0.2">
      <c r="A42" s="15" t="s">
        <v>138</v>
      </c>
      <c r="B42" s="16">
        <v>1871124</v>
      </c>
      <c r="C42" s="267">
        <f>B42/'- 3 -'!$D42*100</f>
        <v>8.787527441004892</v>
      </c>
      <c r="D42" s="171">
        <f t="shared" si="0"/>
        <v>6804.0872727272726</v>
      </c>
      <c r="E42" s="172">
        <f>SUM('- 6 -'!$E42:H42)</f>
        <v>275</v>
      </c>
      <c r="F42" s="267">
        <f>IF(E42=0,"",'- 6 -'!$E42/E42*100)</f>
        <v>70.727272727272734</v>
      </c>
      <c r="G42" s="267">
        <f>IF(E42=0,"",'- 6 -'!$F42/E42*100)</f>
        <v>0</v>
      </c>
      <c r="H42" s="267">
        <f>IF(E42=0,"",'- 6 -'!$G42/E42*100)</f>
        <v>29.272727272727273</v>
      </c>
      <c r="I42" s="267">
        <f>IF(E42=0,"",'- 6 -'!$H42/E42*100)</f>
        <v>0</v>
      </c>
    </row>
    <row r="43" spans="1:9" ht="14.1" customHeight="1" x14ac:dyDescent="0.2">
      <c r="A43" s="271" t="s">
        <v>139</v>
      </c>
      <c r="B43" s="272">
        <v>0</v>
      </c>
      <c r="C43" s="273">
        <f>B43/'- 3 -'!$D43*100</f>
        <v>0</v>
      </c>
      <c r="D43" s="298" t="str">
        <f t="shared" si="0"/>
        <v/>
      </c>
      <c r="E43" s="299">
        <f>SUM('- 6 -'!$E43:H43)</f>
        <v>0</v>
      </c>
      <c r="F43" s="273" t="str">
        <f>IF(E43=0,"",'- 6 -'!$E43/E43*100)</f>
        <v/>
      </c>
      <c r="G43" s="273" t="str">
        <f>IF(E43=0,"",'- 6 -'!$F43/E43*100)</f>
        <v/>
      </c>
      <c r="H43" s="273" t="str">
        <f>IF(E43=0,"",'- 6 -'!$G43/E43*100)</f>
        <v/>
      </c>
      <c r="I43" s="273" t="str">
        <f>IF(E43=0,"",'- 6 -'!$H43/E43*100)</f>
        <v/>
      </c>
    </row>
    <row r="44" spans="1:9" ht="14.1" customHeight="1" x14ac:dyDescent="0.2">
      <c r="A44" s="15" t="s">
        <v>140</v>
      </c>
      <c r="B44" s="16">
        <v>0</v>
      </c>
      <c r="C44" s="267">
        <f>B44/'- 3 -'!$D44*100</f>
        <v>0</v>
      </c>
      <c r="D44" s="171" t="str">
        <f t="shared" si="0"/>
        <v/>
      </c>
      <c r="E44" s="172">
        <f>SUM('- 6 -'!$E44:H44)</f>
        <v>0</v>
      </c>
      <c r="F44" s="267" t="str">
        <f>IF(E44=0,"",'- 6 -'!$E44/E44*100)</f>
        <v/>
      </c>
      <c r="G44" s="267" t="str">
        <f>IF(E44=0,"",'- 6 -'!$F44/E44*100)</f>
        <v/>
      </c>
      <c r="H44" s="267" t="str">
        <f>IF(E44=0,"",'- 6 -'!$G44/E44*100)</f>
        <v/>
      </c>
      <c r="I44" s="267" t="str">
        <f>IF(E44=0,"",'- 6 -'!$H44/E44*100)</f>
        <v/>
      </c>
    </row>
    <row r="45" spans="1:9" ht="14.1" customHeight="1" x14ac:dyDescent="0.2">
      <c r="A45" s="271" t="s">
        <v>141</v>
      </c>
      <c r="B45" s="272">
        <v>5510568</v>
      </c>
      <c r="C45" s="273">
        <f>B45/'- 3 -'!$D45*100</f>
        <v>26.59533609323605</v>
      </c>
      <c r="D45" s="298">
        <f t="shared" si="0"/>
        <v>6002.7973856209146</v>
      </c>
      <c r="E45" s="299">
        <f>SUM('- 6 -'!$E45:H45)</f>
        <v>918</v>
      </c>
      <c r="F45" s="273">
        <f>IF(E45=0,"",'- 6 -'!$E45/E45*100)</f>
        <v>72.766884531590421</v>
      </c>
      <c r="G45" s="273">
        <f>IF(E45=0,"",'- 6 -'!$F45/E45*100)</f>
        <v>0</v>
      </c>
      <c r="H45" s="273">
        <f>IF(E45=0,"",'- 6 -'!$G45/E45*100)</f>
        <v>27.233115468409586</v>
      </c>
      <c r="I45" s="273">
        <f>IF(E45=0,"",'- 6 -'!$H45/E45*100)</f>
        <v>0</v>
      </c>
    </row>
    <row r="46" spans="1:9" ht="14.1" customHeight="1" x14ac:dyDescent="0.2">
      <c r="A46" s="15" t="s">
        <v>142</v>
      </c>
      <c r="B46" s="16">
        <v>32723900</v>
      </c>
      <c r="C46" s="267">
        <f>B46/'- 3 -'!$D46*100</f>
        <v>8.0504757812760417</v>
      </c>
      <c r="D46" s="171">
        <f t="shared" si="0"/>
        <v>5503.9777983348749</v>
      </c>
      <c r="E46" s="172">
        <f>SUM('- 6 -'!$E46:H46)</f>
        <v>5945.5</v>
      </c>
      <c r="F46" s="267">
        <f>IF(E46=0,"",'- 6 -'!$E46/E46*100)</f>
        <v>52.350517197880755</v>
      </c>
      <c r="G46" s="267">
        <f>IF(E46=0,"",'- 6 -'!$F46/E46*100)</f>
        <v>0</v>
      </c>
      <c r="H46" s="267">
        <f>IF(E46=0,"",'- 6 -'!$G46/E46*100)</f>
        <v>43.738962240349842</v>
      </c>
      <c r="I46" s="267">
        <f>IF(E46=0,"",'- 6 -'!$H46/E46*100)</f>
        <v>3.9105205617694052</v>
      </c>
    </row>
    <row r="47" spans="1:9" ht="5.0999999999999996" customHeight="1" x14ac:dyDescent="0.2">
      <c r="A47"/>
      <c r="B47"/>
      <c r="C47"/>
      <c r="D47"/>
      <c r="E47"/>
      <c r="F47"/>
      <c r="G47"/>
      <c r="H47"/>
      <c r="I47"/>
    </row>
    <row r="48" spans="1:9" ht="14.1" customHeight="1" x14ac:dyDescent="0.2">
      <c r="A48" s="274" t="s">
        <v>143</v>
      </c>
      <c r="B48" s="275">
        <f>SUM(B11:B46)</f>
        <v>186318151</v>
      </c>
      <c r="C48" s="439">
        <f>B48/'- 3 -'!$D48*100</f>
        <v>7.7267351696034785</v>
      </c>
      <c r="D48" s="440">
        <f>B48/E48</f>
        <v>5865.7996434268671</v>
      </c>
      <c r="E48" s="441">
        <f>SUM(E11:E46)</f>
        <v>31763.47</v>
      </c>
      <c r="F48" s="300">
        <f>IF(E48=0,"",'- 6 -'!$E48/E48*100)</f>
        <v>59.190541839414898</v>
      </c>
      <c r="G48" s="276">
        <f>IF(E48=0,"",'- 6 -'!$F48/E48*100)</f>
        <v>0.85003307258306482</v>
      </c>
      <c r="H48" s="276">
        <f>IF(E48=0,"",'- 6 -'!$G48/E48*100)</f>
        <v>36.549847985752187</v>
      </c>
      <c r="I48" s="276">
        <f>IF(E48=0,"",'- 6 -'!$H48/E48*100)</f>
        <v>3.4095771022498487</v>
      </c>
    </row>
    <row r="49" spans="1:9" ht="5.0999999999999996" customHeight="1" x14ac:dyDescent="0.2">
      <c r="A49" s="17" t="s">
        <v>1</v>
      </c>
      <c r="B49" s="18"/>
      <c r="C49" s="266"/>
      <c r="D49" s="18"/>
      <c r="E49" s="173"/>
      <c r="F49" s="266"/>
      <c r="G49" s="266"/>
      <c r="H49" s="266"/>
      <c r="I49" s="266"/>
    </row>
    <row r="50" spans="1:9" ht="14.1" customHeight="1" x14ac:dyDescent="0.2">
      <c r="A50" s="15" t="s">
        <v>144</v>
      </c>
      <c r="B50" s="16">
        <v>0</v>
      </c>
      <c r="C50" s="267">
        <f>B50/'- 3 -'!$D50*100</f>
        <v>0</v>
      </c>
      <c r="D50" s="171" t="str">
        <f>IF(E50=0,"",B50/E50)</f>
        <v/>
      </c>
      <c r="E50" s="172">
        <f>SUM('- 6 -'!$E50:H50)</f>
        <v>0</v>
      </c>
      <c r="F50" s="267" t="str">
        <f>IF(E50=0,"",'- 6 -'!$E50/E50*100)</f>
        <v/>
      </c>
      <c r="G50" s="267" t="str">
        <f>IF(E50=0,"",'- 6 -'!$F50/E50*100)</f>
        <v/>
      </c>
      <c r="H50" s="267" t="str">
        <f>IF(E50=0,"",'- 6 -'!$G50/E50*100)</f>
        <v/>
      </c>
      <c r="I50" s="267" t="str">
        <f>IF(E50=0,"",'- 6 -'!$H50/E50*100)</f>
        <v/>
      </c>
    </row>
    <row r="51" spans="1:9" ht="14.1" customHeight="1" x14ac:dyDescent="0.2">
      <c r="A51" s="360" t="s">
        <v>514</v>
      </c>
      <c r="B51" s="272">
        <v>0</v>
      </c>
      <c r="C51" s="273">
        <f>B51/'- 3 -'!$D51*100</f>
        <v>0</v>
      </c>
      <c r="D51" s="298" t="str">
        <f>IF(E51=0,"",B51/E51)</f>
        <v/>
      </c>
      <c r="E51" s="299">
        <f>SUM('- 6 -'!$E51:H51)</f>
        <v>0</v>
      </c>
      <c r="F51" s="273" t="str">
        <f>IF(E51=0,"",'- 6 -'!$E51/E51*100)</f>
        <v/>
      </c>
      <c r="G51" s="273" t="str">
        <f>IF(E51=0,"",'- 6 -'!$F51/E51*100)</f>
        <v/>
      </c>
      <c r="H51" s="273" t="str">
        <f>IF(E51=0,"",'- 6 -'!$G51/E51*100)</f>
        <v/>
      </c>
      <c r="I51" s="273" t="str">
        <f>IF(E51=0,"",'- 6 -'!$H51/E51*100)</f>
        <v/>
      </c>
    </row>
    <row r="52" spans="1:9" ht="50.1" customHeight="1" x14ac:dyDescent="0.2">
      <c r="A52" s="19"/>
      <c r="B52" s="51"/>
      <c r="C52" s="51"/>
      <c r="D52" s="51"/>
      <c r="E52" s="51"/>
      <c r="F52" s="51"/>
      <c r="G52" s="51"/>
      <c r="H52" s="51"/>
      <c r="I52" s="51"/>
    </row>
    <row r="53" spans="1:9" ht="15" customHeight="1" x14ac:dyDescent="0.2">
      <c r="A53" s="46" t="s">
        <v>337</v>
      </c>
      <c r="C53" s="46"/>
      <c r="D53" s="46"/>
      <c r="E53" s="46"/>
      <c r="F53" s="46"/>
      <c r="G53" s="46"/>
      <c r="H53" s="46"/>
      <c r="I53" s="46"/>
    </row>
    <row r="54" spans="1:9" ht="14.45" customHeight="1" x14ac:dyDescent="0.2"/>
    <row r="55" spans="1:9" ht="14.45" customHeight="1" x14ac:dyDescent="0.2"/>
    <row r="56" spans="1:9" ht="14.45" customHeight="1" x14ac:dyDescent="0.2"/>
    <row r="57" spans="1:9" ht="14.45" customHeight="1" x14ac:dyDescent="0.2">
      <c r="A57" s="20"/>
    </row>
    <row r="58" spans="1:9" ht="14.45" customHeight="1" x14ac:dyDescent="0.2"/>
    <row r="59" spans="1:9" ht="14.45" customHeight="1" x14ac:dyDescent="0.2">
      <c r="A59" s="20"/>
    </row>
  </sheetData>
  <mergeCells count="9">
    <mergeCell ref="D7:D9"/>
    <mergeCell ref="B5:I5"/>
    <mergeCell ref="E7:E9"/>
    <mergeCell ref="F8:F9"/>
    <mergeCell ref="G8:G9"/>
    <mergeCell ref="B6:I6"/>
    <mergeCell ref="F7:I7"/>
    <mergeCell ref="H8:H9"/>
    <mergeCell ref="I8:I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59"/>
  <sheetViews>
    <sheetView showGridLines="0" showZeros="0" workbookViewId="0"/>
  </sheetViews>
  <sheetFormatPr defaultColWidth="15.83203125" defaultRowHeight="12" x14ac:dyDescent="0.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11.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2" t="s">
        <v>526</v>
      </c>
    </row>
    <row r="3" spans="1:9" ht="15.95" customHeight="1" x14ac:dyDescent="0.2">
      <c r="A3" s="135"/>
      <c r="B3" s="7" t="str">
        <f>OPYEAR</f>
        <v>OPERATING FUND 2018/2019 BUDGET</v>
      </c>
      <c r="C3" s="8"/>
      <c r="D3" s="8"/>
      <c r="E3" s="8"/>
      <c r="F3" s="8"/>
      <c r="G3" s="87"/>
      <c r="H3" s="87"/>
      <c r="I3" s="81"/>
    </row>
    <row r="4" spans="1:9" ht="15.95" customHeight="1" x14ac:dyDescent="0.2">
      <c r="B4" s="4"/>
      <c r="C4" s="4"/>
      <c r="D4" s="81"/>
      <c r="E4" s="4"/>
      <c r="F4" s="4"/>
      <c r="G4" s="4"/>
      <c r="H4" s="4"/>
      <c r="I4" s="4"/>
    </row>
    <row r="5" spans="1:9" ht="15.95" customHeight="1" x14ac:dyDescent="0.2">
      <c r="B5" s="659" t="s">
        <v>243</v>
      </c>
      <c r="C5" s="660"/>
      <c r="D5" s="660"/>
      <c r="E5" s="660"/>
      <c r="F5" s="660"/>
      <c r="G5" s="660"/>
      <c r="H5" s="660"/>
      <c r="I5" s="661"/>
    </row>
    <row r="6" spans="1:9" ht="15.95" customHeight="1" x14ac:dyDescent="0.2">
      <c r="B6" s="615" t="s">
        <v>405</v>
      </c>
      <c r="C6" s="621"/>
      <c r="D6" s="612"/>
      <c r="E6" s="611" t="s">
        <v>406</v>
      </c>
      <c r="F6" s="621"/>
      <c r="G6" s="612"/>
      <c r="H6" s="611" t="s">
        <v>408</v>
      </c>
      <c r="I6" s="612"/>
    </row>
    <row r="7" spans="1:9" ht="15.95" customHeight="1" x14ac:dyDescent="0.2">
      <c r="B7" s="613"/>
      <c r="C7" s="622"/>
      <c r="D7" s="614"/>
      <c r="E7" s="613"/>
      <c r="F7" s="622"/>
      <c r="G7" s="614"/>
      <c r="H7" s="613"/>
      <c r="I7" s="614"/>
    </row>
    <row r="8" spans="1:9" ht="15.95" customHeight="1" x14ac:dyDescent="0.2">
      <c r="A8" s="82"/>
      <c r="B8" s="138"/>
      <c r="C8" s="137"/>
      <c r="D8" s="529" t="s">
        <v>396</v>
      </c>
      <c r="E8" s="138"/>
      <c r="F8" s="137"/>
      <c r="G8" s="529" t="s">
        <v>396</v>
      </c>
      <c r="H8" s="138"/>
      <c r="I8" s="529" t="s">
        <v>39</v>
      </c>
    </row>
    <row r="9" spans="1:9" ht="15.95" customHeight="1" x14ac:dyDescent="0.2">
      <c r="A9" s="27" t="s">
        <v>37</v>
      </c>
      <c r="B9" s="89" t="s">
        <v>38</v>
      </c>
      <c r="C9" s="89" t="s">
        <v>39</v>
      </c>
      <c r="D9" s="569"/>
      <c r="E9" s="89" t="s">
        <v>38</v>
      </c>
      <c r="F9" s="89" t="s">
        <v>39</v>
      </c>
      <c r="G9" s="569"/>
      <c r="H9" s="89" t="s">
        <v>38</v>
      </c>
      <c r="I9" s="569"/>
    </row>
    <row r="10" spans="1:9" ht="5.0999999999999996" customHeight="1" x14ac:dyDescent="0.2">
      <c r="A10" s="29"/>
    </row>
    <row r="11" spans="1:9" ht="14.1" customHeight="1" x14ac:dyDescent="0.2">
      <c r="A11" s="271" t="s">
        <v>108</v>
      </c>
      <c r="B11" s="272">
        <v>142962</v>
      </c>
      <c r="C11" s="273">
        <f>B11/'- 3 -'!$D11*100</f>
        <v>0.70244444889935531</v>
      </c>
      <c r="D11" s="272">
        <f>B11/'- 7 -'!$E11</f>
        <v>79.269198780149708</v>
      </c>
      <c r="E11" s="272">
        <v>197256</v>
      </c>
      <c r="F11" s="273">
        <f>E11/'- 3 -'!$D11*100</f>
        <v>0.96921826927499088</v>
      </c>
      <c r="G11" s="272">
        <f>E11/'- 7 -'!$E11</f>
        <v>109.37399500970335</v>
      </c>
      <c r="H11" s="272">
        <v>164016</v>
      </c>
      <c r="I11" s="273">
        <f>H11/'- 3 -'!$D11*100</f>
        <v>0.80589337537720973</v>
      </c>
    </row>
    <row r="12" spans="1:9" ht="14.1" customHeight="1" x14ac:dyDescent="0.2">
      <c r="A12" s="15" t="s">
        <v>109</v>
      </c>
      <c r="B12" s="16">
        <v>213757</v>
      </c>
      <c r="C12" s="267">
        <f>B12/'- 3 -'!$D12*100</f>
        <v>0.61220229434163453</v>
      </c>
      <c r="D12" s="16">
        <f>B12/'- 7 -'!$E12</f>
        <v>100.331846984276</v>
      </c>
      <c r="E12" s="16">
        <v>905377</v>
      </c>
      <c r="F12" s="267">
        <f>E12/'- 3 -'!$D12*100</f>
        <v>2.5930092424769535</v>
      </c>
      <c r="G12" s="16">
        <f>E12/'- 7 -'!$E12</f>
        <v>424.95986857545176</v>
      </c>
      <c r="H12" s="16">
        <v>0</v>
      </c>
      <c r="I12" s="491">
        <f>H12/'- 3 -'!$D12*100</f>
        <v>0</v>
      </c>
    </row>
    <row r="13" spans="1:9" ht="14.1" customHeight="1" x14ac:dyDescent="0.2">
      <c r="A13" s="271" t="s">
        <v>110</v>
      </c>
      <c r="B13" s="272">
        <v>229100</v>
      </c>
      <c r="C13" s="273">
        <f>B13/'- 3 -'!$D13*100</f>
        <v>0.22004683318894058</v>
      </c>
      <c r="D13" s="272">
        <f>B13/'- 7 -'!$E13</f>
        <v>26.658133581568535</v>
      </c>
      <c r="E13" s="272">
        <v>2902600</v>
      </c>
      <c r="F13" s="273">
        <f>E13/'- 3 -'!$D13*100</f>
        <v>2.7879002095775598</v>
      </c>
      <c r="G13" s="272">
        <f>E13/'- 7 -'!$E13</f>
        <v>337.74726553409357</v>
      </c>
      <c r="H13" s="272">
        <v>1594100</v>
      </c>
      <c r="I13" s="492">
        <f>H13/'- 3 -'!$D13*100</f>
        <v>1.5311071880684863</v>
      </c>
    </row>
    <row r="14" spans="1:9" ht="14.1" customHeight="1" x14ac:dyDescent="0.2">
      <c r="A14" s="15" t="s">
        <v>319</v>
      </c>
      <c r="B14" s="16">
        <v>433703</v>
      </c>
      <c r="C14" s="267">
        <f>B14/'- 3 -'!$D14*100</f>
        <v>0.46471371818549245</v>
      </c>
      <c r="D14" s="16">
        <f>B14/'- 7 -'!$E14</f>
        <v>74.905526770293605</v>
      </c>
      <c r="E14" s="16">
        <v>1103862</v>
      </c>
      <c r="F14" s="267">
        <f>E14/'- 3 -'!$D14*100</f>
        <v>1.182790560322788</v>
      </c>
      <c r="G14" s="16">
        <f>E14/'- 7 -'!$E14</f>
        <v>190.64974093264249</v>
      </c>
      <c r="H14" s="16">
        <v>1011504</v>
      </c>
      <c r="I14" s="491">
        <f>H14/'- 3 -'!$D14*100</f>
        <v>1.0838287602333816</v>
      </c>
    </row>
    <row r="15" spans="1:9" ht="14.1" customHeight="1" x14ac:dyDescent="0.2">
      <c r="A15" s="271" t="s">
        <v>111</v>
      </c>
      <c r="B15" s="272">
        <v>236850</v>
      </c>
      <c r="C15" s="273">
        <f>B15/'- 3 -'!$D15*100</f>
        <v>1.1397826891335472</v>
      </c>
      <c r="D15" s="272">
        <f>B15/'- 7 -'!$E15</f>
        <v>175.57449962935507</v>
      </c>
      <c r="E15" s="272">
        <v>281840</v>
      </c>
      <c r="F15" s="273">
        <f>E15/'- 3 -'!$D15*100</f>
        <v>1.3562860591319357</v>
      </c>
      <c r="G15" s="272">
        <f>E15/'- 7 -'!$E15</f>
        <v>208.92512972572277</v>
      </c>
      <c r="H15" s="272">
        <v>0</v>
      </c>
      <c r="I15" s="492">
        <f>H15/'- 3 -'!$D15*100</f>
        <v>0</v>
      </c>
    </row>
    <row r="16" spans="1:9" ht="14.1" customHeight="1" x14ac:dyDescent="0.2">
      <c r="A16" s="15" t="s">
        <v>112</v>
      </c>
      <c r="B16" s="16">
        <v>202047</v>
      </c>
      <c r="C16" s="267">
        <f>B16/'- 3 -'!$D16*100</f>
        <v>1.3589902118966579</v>
      </c>
      <c r="D16" s="16">
        <f>B16/'- 7 -'!$E16</f>
        <v>218.90249187432286</v>
      </c>
      <c r="E16" s="16">
        <v>261338</v>
      </c>
      <c r="F16" s="267">
        <f>E16/'- 3 -'!$D16*100</f>
        <v>1.7577879602104896</v>
      </c>
      <c r="G16" s="16">
        <f>E16/'- 7 -'!$E16</f>
        <v>283.13976164680389</v>
      </c>
      <c r="H16" s="16">
        <v>163357</v>
      </c>
      <c r="I16" s="491">
        <f>H16/'- 3 -'!$D16*100</f>
        <v>1.0987570419001635</v>
      </c>
    </row>
    <row r="17" spans="1:9" ht="14.1" customHeight="1" x14ac:dyDescent="0.2">
      <c r="A17" s="271" t="s">
        <v>113</v>
      </c>
      <c r="B17" s="272">
        <v>143400</v>
      </c>
      <c r="C17" s="273">
        <f>B17/'- 3 -'!$D17*100</f>
        <v>0.76681285306678615</v>
      </c>
      <c r="D17" s="272">
        <f>B17/'- 7 -'!$E17</f>
        <v>102.86944045911048</v>
      </c>
      <c r="E17" s="272">
        <v>296590</v>
      </c>
      <c r="F17" s="273">
        <f>E17/'- 3 -'!$D17*100</f>
        <v>1.585976458096779</v>
      </c>
      <c r="G17" s="272">
        <f>E17/'- 7 -'!$E17</f>
        <v>212.76183644189382</v>
      </c>
      <c r="H17" s="272">
        <v>213590</v>
      </c>
      <c r="I17" s="492">
        <f>H17/'- 3 -'!$D17*100</f>
        <v>1.1421447509521259</v>
      </c>
    </row>
    <row r="18" spans="1:9" ht="14.1" customHeight="1" x14ac:dyDescent="0.2">
      <c r="A18" s="15" t="s">
        <v>114</v>
      </c>
      <c r="B18" s="16">
        <v>0</v>
      </c>
      <c r="C18" s="267">
        <f>B18/'- 3 -'!$D18*100</f>
        <v>0</v>
      </c>
      <c r="D18" s="16">
        <f>B18/'- 7 -'!$E18</f>
        <v>0</v>
      </c>
      <c r="E18" s="16">
        <v>1787549</v>
      </c>
      <c r="F18" s="267">
        <f>E18/'- 3 -'!$D18*100</f>
        <v>1.3273295574942674</v>
      </c>
      <c r="G18" s="16">
        <f>E18/'- 7 -'!$E18</f>
        <v>291.35953188160124</v>
      </c>
      <c r="H18" s="16">
        <v>0</v>
      </c>
      <c r="I18" s="491">
        <f>H18/'- 3 -'!$D18*100</f>
        <v>0</v>
      </c>
    </row>
    <row r="19" spans="1:9" ht="14.1" customHeight="1" x14ac:dyDescent="0.2">
      <c r="A19" s="271" t="s">
        <v>115</v>
      </c>
      <c r="B19" s="272">
        <v>187800</v>
      </c>
      <c r="C19" s="273">
        <f>B19/'- 3 -'!$D19*100</f>
        <v>0.37319958029951356</v>
      </c>
      <c r="D19" s="272">
        <f>B19/'- 7 -'!$E19</f>
        <v>43.058580763498796</v>
      </c>
      <c r="E19" s="272">
        <v>1014700</v>
      </c>
      <c r="F19" s="273">
        <f>E19/'- 3 -'!$D19*100</f>
        <v>2.0164303201805982</v>
      </c>
      <c r="G19" s="272">
        <f>E19/'- 7 -'!$E19</f>
        <v>232.64931789521953</v>
      </c>
      <c r="H19" s="272">
        <v>1892000</v>
      </c>
      <c r="I19" s="492">
        <f>H19/'- 3 -'!$D19*100</f>
        <v>3.7598168579695397</v>
      </c>
    </row>
    <row r="20" spans="1:9" ht="14.1" customHeight="1" x14ac:dyDescent="0.2">
      <c r="A20" s="15" t="s">
        <v>116</v>
      </c>
      <c r="B20" s="16">
        <v>512300</v>
      </c>
      <c r="C20" s="267">
        <f>B20/'- 3 -'!$D20*100</f>
        <v>0.58714784595936154</v>
      </c>
      <c r="D20" s="16">
        <f>B20/'- 7 -'!$E20</f>
        <v>65.144964394710072</v>
      </c>
      <c r="E20" s="16">
        <v>1824800</v>
      </c>
      <c r="F20" s="267">
        <f>E20/'- 3 -'!$D20*100</f>
        <v>2.0914061864271773</v>
      </c>
      <c r="G20" s="16">
        <f>E20/'- 7 -'!$E20</f>
        <v>232.04476093591049</v>
      </c>
      <c r="H20" s="16">
        <v>921800</v>
      </c>
      <c r="I20" s="491">
        <f>H20/'- 3 -'!$D20*100</f>
        <v>1.0564764481853199</v>
      </c>
    </row>
    <row r="21" spans="1:9" ht="14.1" customHeight="1" x14ac:dyDescent="0.2">
      <c r="A21" s="271" t="s">
        <v>117</v>
      </c>
      <c r="B21" s="272">
        <v>161682</v>
      </c>
      <c r="C21" s="273">
        <f>B21/'- 3 -'!$D21*100</f>
        <v>0.43046761388959742</v>
      </c>
      <c r="D21" s="272">
        <f>B21/'- 7 -'!$E21</f>
        <v>57.630368918196403</v>
      </c>
      <c r="E21" s="272">
        <v>810265</v>
      </c>
      <c r="F21" s="273">
        <f>E21/'- 3 -'!$D21*100</f>
        <v>2.1572768840579326</v>
      </c>
      <c r="G21" s="272">
        <f>E21/'- 7 -'!$E21</f>
        <v>288.81304580288719</v>
      </c>
      <c r="H21" s="272">
        <v>210118</v>
      </c>
      <c r="I21" s="492">
        <f>H21/'- 3 -'!$D21*100</f>
        <v>0.55942525510108998</v>
      </c>
    </row>
    <row r="22" spans="1:9" ht="14.1" customHeight="1" x14ac:dyDescent="0.2">
      <c r="A22" s="15" t="s">
        <v>118</v>
      </c>
      <c r="B22" s="16">
        <v>32710</v>
      </c>
      <c r="C22" s="267">
        <f>B22/'- 3 -'!$D22*100</f>
        <v>0.15663623329844015</v>
      </c>
      <c r="D22" s="16">
        <f>B22/'- 7 -'!$E22</f>
        <v>22.447158934943726</v>
      </c>
      <c r="E22" s="16">
        <v>277260</v>
      </c>
      <c r="F22" s="267">
        <f>E22/'- 3 -'!$D22*100</f>
        <v>1.3276967913275914</v>
      </c>
      <c r="G22" s="16">
        <f>E22/'- 7 -'!$E22</f>
        <v>190.2690090584683</v>
      </c>
      <c r="H22" s="16">
        <v>1426558</v>
      </c>
      <c r="I22" s="491">
        <f>H22/'- 3 -'!$D22*100</f>
        <v>6.8312648028662855</v>
      </c>
    </row>
    <row r="23" spans="1:9" ht="14.1" customHeight="1" x14ac:dyDescent="0.2">
      <c r="A23" s="271" t="s">
        <v>119</v>
      </c>
      <c r="B23" s="272">
        <v>153750</v>
      </c>
      <c r="C23" s="273">
        <f>B23/'- 3 -'!$D23*100</f>
        <v>0.90602064418863326</v>
      </c>
      <c r="D23" s="272">
        <f>B23/'- 7 -'!$E23</f>
        <v>147.83653846153845</v>
      </c>
      <c r="E23" s="272">
        <v>436000</v>
      </c>
      <c r="F23" s="273">
        <f>E23/'- 3 -'!$D23*100</f>
        <v>2.5692682983170347</v>
      </c>
      <c r="G23" s="272">
        <f>E23/'- 7 -'!$E23</f>
        <v>419.23076923076923</v>
      </c>
      <c r="H23" s="272">
        <v>0</v>
      </c>
      <c r="I23" s="492">
        <f>H23/'- 3 -'!$D23*100</f>
        <v>0</v>
      </c>
    </row>
    <row r="24" spans="1:9" ht="14.1" customHeight="1" x14ac:dyDescent="0.2">
      <c r="A24" s="15" t="s">
        <v>120</v>
      </c>
      <c r="B24" s="16">
        <v>289830</v>
      </c>
      <c r="C24" s="267">
        <f>B24/'- 3 -'!$D24*100</f>
        <v>0.49612777942737174</v>
      </c>
      <c r="D24" s="16">
        <f>B24/'- 7 -'!$E24</f>
        <v>76.755826271186436</v>
      </c>
      <c r="E24" s="16">
        <v>1831550</v>
      </c>
      <c r="F24" s="267">
        <f>E24/'- 3 -'!$D24*100</f>
        <v>3.1352269758486102</v>
      </c>
      <c r="G24" s="16">
        <f>E24/'- 7 -'!$E24</f>
        <v>485.05031779661016</v>
      </c>
      <c r="H24" s="16">
        <v>432540</v>
      </c>
      <c r="I24" s="491">
        <f>H24/'- 3 -'!$D24*100</f>
        <v>0.74041717459723055</v>
      </c>
    </row>
    <row r="25" spans="1:9" ht="14.1" customHeight="1" x14ac:dyDescent="0.2">
      <c r="A25" s="271" t="s">
        <v>121</v>
      </c>
      <c r="B25" s="272">
        <v>1482008</v>
      </c>
      <c r="C25" s="273">
        <f>B25/'- 3 -'!$D25*100</f>
        <v>0.78873294786001491</v>
      </c>
      <c r="D25" s="272">
        <f>B25/'- 7 -'!$E25</f>
        <v>99.563856231105134</v>
      </c>
      <c r="E25" s="272">
        <v>4130492</v>
      </c>
      <c r="F25" s="273">
        <f>E25/'- 3 -'!$D25*100</f>
        <v>2.1982709481137812</v>
      </c>
      <c r="G25" s="272">
        <f>E25/'- 7 -'!$E25</f>
        <v>277.49358414511255</v>
      </c>
      <c r="H25" s="272">
        <v>10800187</v>
      </c>
      <c r="I25" s="492">
        <f>H25/'- 3 -'!$D25*100</f>
        <v>5.7479199369702529</v>
      </c>
    </row>
    <row r="26" spans="1:9" ht="14.1" customHeight="1" x14ac:dyDescent="0.2">
      <c r="A26" s="15" t="s">
        <v>122</v>
      </c>
      <c r="B26" s="16">
        <v>145081</v>
      </c>
      <c r="C26" s="267">
        <f>B26/'- 3 -'!$D26*100</f>
        <v>0.35366123022312268</v>
      </c>
      <c r="D26" s="16">
        <f>B26/'- 7 -'!$E26</f>
        <v>51.111854852915272</v>
      </c>
      <c r="E26" s="16">
        <v>705460</v>
      </c>
      <c r="F26" s="267">
        <f>E26/'- 3 -'!$D26*100</f>
        <v>1.7196865990254002</v>
      </c>
      <c r="G26" s="16">
        <f>E26/'- 7 -'!$E26</f>
        <v>248.53267570900124</v>
      </c>
      <c r="H26" s="16">
        <v>128874</v>
      </c>
      <c r="I26" s="491">
        <f>H26/'- 3 -'!$D26*100</f>
        <v>0.31415373056275259</v>
      </c>
    </row>
    <row r="27" spans="1:9" ht="14.1" customHeight="1" x14ac:dyDescent="0.2">
      <c r="A27" s="271" t="s">
        <v>123</v>
      </c>
      <c r="B27" s="272">
        <v>226653</v>
      </c>
      <c r="C27" s="273">
        <f>B27/'- 3 -'!$D27*100</f>
        <v>0.53049982533410334</v>
      </c>
      <c r="D27" s="272">
        <f>B27/'- 7 -'!$E27</f>
        <v>74.385625205119794</v>
      </c>
      <c r="E27" s="272">
        <v>581264</v>
      </c>
      <c r="F27" s="273">
        <f>E27/'- 3 -'!$D27*100</f>
        <v>1.3604957819795118</v>
      </c>
      <c r="G27" s="272">
        <f>E27/'- 7 -'!$E27</f>
        <v>190.76599934361667</v>
      </c>
      <c r="H27" s="272">
        <v>2331010</v>
      </c>
      <c r="I27" s="492">
        <f>H27/'- 3 -'!$D27*100</f>
        <v>5.4559189503428067</v>
      </c>
    </row>
    <row r="28" spans="1:9" ht="14.1" customHeight="1" x14ac:dyDescent="0.2">
      <c r="A28" s="15" t="s">
        <v>124</v>
      </c>
      <c r="B28" s="16">
        <v>136173</v>
      </c>
      <c r="C28" s="267">
        <f>B28/'- 3 -'!$D28*100</f>
        <v>0.472941184806006</v>
      </c>
      <c r="D28" s="16">
        <f>B28/'- 7 -'!$E28</f>
        <v>69.582524271844662</v>
      </c>
      <c r="E28" s="16">
        <v>376008</v>
      </c>
      <c r="F28" s="267">
        <f>E28/'- 3 -'!$D28*100</f>
        <v>1.3059099014968951</v>
      </c>
      <c r="G28" s="16">
        <f>E28/'- 7 -'!$E28</f>
        <v>192.13490035769036</v>
      </c>
      <c r="H28" s="16">
        <v>0</v>
      </c>
      <c r="I28" s="491">
        <f>H28/'- 3 -'!$D28*100</f>
        <v>0</v>
      </c>
    </row>
    <row r="29" spans="1:9" ht="14.1" customHeight="1" x14ac:dyDescent="0.2">
      <c r="A29" s="271" t="s">
        <v>125</v>
      </c>
      <c r="B29" s="272">
        <v>624676</v>
      </c>
      <c r="C29" s="273">
        <f>B29/'- 3 -'!$D29*100</f>
        <v>0.36777630184065596</v>
      </c>
      <c r="D29" s="272">
        <f>B29/'- 7 -'!$E29</f>
        <v>46.234965842393919</v>
      </c>
      <c r="E29" s="272">
        <v>2965286</v>
      </c>
      <c r="F29" s="273">
        <f>E29/'- 3 -'!$D29*100</f>
        <v>1.7458040952107516</v>
      </c>
      <c r="G29" s="272">
        <f>E29/'- 7 -'!$E29</f>
        <v>219.47361019621195</v>
      </c>
      <c r="H29" s="272">
        <v>573000</v>
      </c>
      <c r="I29" s="492">
        <f>H29/'- 3 -'!$D29*100</f>
        <v>0.33735219690638968</v>
      </c>
    </row>
    <row r="30" spans="1:9" ht="14.1" customHeight="1" x14ac:dyDescent="0.2">
      <c r="A30" s="15" t="s">
        <v>126</v>
      </c>
      <c r="B30" s="16">
        <v>150515</v>
      </c>
      <c r="C30" s="267">
        <f>B30/'- 3 -'!$D30*100</f>
        <v>0.98516876419066179</v>
      </c>
      <c r="D30" s="16">
        <f>B30/'- 7 -'!$E30</f>
        <v>149.02475247524754</v>
      </c>
      <c r="E30" s="16">
        <v>156400</v>
      </c>
      <c r="F30" s="267">
        <f>E30/'- 3 -'!$D30*100</f>
        <v>1.0236879694344052</v>
      </c>
      <c r="G30" s="16">
        <f>E30/'- 7 -'!$E30</f>
        <v>154.85148514851485</v>
      </c>
      <c r="H30" s="16">
        <v>0</v>
      </c>
      <c r="I30" s="491">
        <f>H30/'- 3 -'!$D30*100</f>
        <v>0</v>
      </c>
    </row>
    <row r="31" spans="1:9" ht="14.1" customHeight="1" x14ac:dyDescent="0.2">
      <c r="A31" s="271" t="s">
        <v>127</v>
      </c>
      <c r="B31" s="272">
        <v>181656</v>
      </c>
      <c r="C31" s="273">
        <f>B31/'- 3 -'!$D31*100</f>
        <v>0.46683868926408251</v>
      </c>
      <c r="D31" s="272">
        <f>B31/'- 7 -'!$E31</f>
        <v>55.947519172133418</v>
      </c>
      <c r="E31" s="272">
        <v>566916</v>
      </c>
      <c r="F31" s="273">
        <f>E31/'- 3 -'!$D31*100</f>
        <v>1.4569203459441835</v>
      </c>
      <c r="G31" s="272">
        <f>E31/'- 7 -'!$E31</f>
        <v>174.60223597893375</v>
      </c>
      <c r="H31" s="272">
        <v>2398402</v>
      </c>
      <c r="I31" s="492">
        <f>H31/'- 3 -'!$D31*100</f>
        <v>6.1636656427993239</v>
      </c>
    </row>
    <row r="32" spans="1:9" ht="14.1" customHeight="1" x14ac:dyDescent="0.2">
      <c r="A32" s="15" t="s">
        <v>128</v>
      </c>
      <c r="B32" s="16">
        <v>138669</v>
      </c>
      <c r="C32" s="267">
        <f>B32/'- 3 -'!$D32*100</f>
        <v>0.44689425748823181</v>
      </c>
      <c r="D32" s="16">
        <f>B32/'- 7 -'!$E32</f>
        <v>61.263088137839631</v>
      </c>
      <c r="E32" s="16">
        <v>408400</v>
      </c>
      <c r="F32" s="267">
        <f>E32/'- 3 -'!$D32*100</f>
        <v>1.3161673824589049</v>
      </c>
      <c r="G32" s="16">
        <f>E32/'- 7 -'!$E32</f>
        <v>180.42853987187982</v>
      </c>
      <c r="H32" s="16">
        <v>0</v>
      </c>
      <c r="I32" s="491">
        <f>H32/'- 3 -'!$D32*100</f>
        <v>0</v>
      </c>
    </row>
    <row r="33" spans="1:9" ht="14.1" customHeight="1" x14ac:dyDescent="0.2">
      <c r="A33" s="271" t="s">
        <v>129</v>
      </c>
      <c r="B33" s="272">
        <v>211305</v>
      </c>
      <c r="C33" s="273">
        <f>B33/'- 3 -'!$D33*100</f>
        <v>0.74084579237244907</v>
      </c>
      <c r="D33" s="272">
        <f>B33/'- 7 -'!$E33</f>
        <v>102.95006090133982</v>
      </c>
      <c r="E33" s="272">
        <v>387705</v>
      </c>
      <c r="F33" s="273">
        <f>E33/'- 3 -'!$D33*100</f>
        <v>1.3593129264890105</v>
      </c>
      <c r="G33" s="272">
        <f>E33/'- 7 -'!$E33</f>
        <v>188.8940316686967</v>
      </c>
      <c r="H33" s="272">
        <v>0</v>
      </c>
      <c r="I33" s="492">
        <f>H33/'- 3 -'!$D33*100</f>
        <v>0</v>
      </c>
    </row>
    <row r="34" spans="1:9" ht="14.1" customHeight="1" x14ac:dyDescent="0.2">
      <c r="A34" s="15" t="s">
        <v>130</v>
      </c>
      <c r="B34" s="16">
        <v>237195</v>
      </c>
      <c r="C34" s="267">
        <f>B34/'- 3 -'!$D34*100</f>
        <v>0.76150382196615629</v>
      </c>
      <c r="D34" s="16">
        <f>B34/'- 7 -'!$E34</f>
        <v>109.34172313649563</v>
      </c>
      <c r="E34" s="16">
        <v>490220</v>
      </c>
      <c r="F34" s="267">
        <f>E34/'- 3 -'!$D34*100</f>
        <v>1.5738291431280134</v>
      </c>
      <c r="G34" s="16">
        <f>E34/'- 7 -'!$E34</f>
        <v>225.98073111141841</v>
      </c>
      <c r="H34" s="16">
        <v>932236</v>
      </c>
      <c r="I34" s="491">
        <f>H34/'- 3 -'!$D34*100</f>
        <v>2.9929015239547283</v>
      </c>
    </row>
    <row r="35" spans="1:9" ht="14.1" customHeight="1" x14ac:dyDescent="0.2">
      <c r="A35" s="271" t="s">
        <v>131</v>
      </c>
      <c r="B35" s="272">
        <v>1056213</v>
      </c>
      <c r="C35" s="273">
        <f>B35/'- 3 -'!$D35*100</f>
        <v>0.55325904196146847</v>
      </c>
      <c r="D35" s="272">
        <f>B35/'- 7 -'!$E35</f>
        <v>65.424492071357776</v>
      </c>
      <c r="E35" s="272">
        <v>3356070</v>
      </c>
      <c r="F35" s="273">
        <f>E35/'- 3 -'!$D35*100</f>
        <v>1.7579560874138318</v>
      </c>
      <c r="G35" s="272">
        <f>E35/'- 7 -'!$E35</f>
        <v>207.88342418235877</v>
      </c>
      <c r="H35" s="272">
        <v>2840840</v>
      </c>
      <c r="I35" s="492">
        <f>H35/'- 3 -'!$D35*100</f>
        <v>1.4880714560091743</v>
      </c>
    </row>
    <row r="36" spans="1:9" ht="14.1" customHeight="1" x14ac:dyDescent="0.2">
      <c r="A36" s="15" t="s">
        <v>132</v>
      </c>
      <c r="B36" s="16">
        <v>204460</v>
      </c>
      <c r="C36" s="267">
        <f>B36/'- 3 -'!$D36*100</f>
        <v>0.84813539635790436</v>
      </c>
      <c r="D36" s="16">
        <f>B36/'- 7 -'!$E36</f>
        <v>120.09397944199706</v>
      </c>
      <c r="E36" s="16">
        <v>356300</v>
      </c>
      <c r="F36" s="267">
        <f>E36/'- 3 -'!$D36*100</f>
        <v>1.4779939436678144</v>
      </c>
      <c r="G36" s="16">
        <f>E36/'- 7 -'!$E36</f>
        <v>209.28046989721</v>
      </c>
      <c r="H36" s="16">
        <v>0</v>
      </c>
      <c r="I36" s="491">
        <f>H36/'- 3 -'!$D36*100</f>
        <v>0</v>
      </c>
    </row>
    <row r="37" spans="1:9" ht="14.1" customHeight="1" x14ac:dyDescent="0.2">
      <c r="A37" s="271" t="s">
        <v>133</v>
      </c>
      <c r="B37" s="272">
        <v>326300</v>
      </c>
      <c r="C37" s="273">
        <f>B37/'- 3 -'!$D37*100</f>
        <v>0.6151079407927974</v>
      </c>
      <c r="D37" s="272">
        <f>B37/'- 7 -'!$E37</f>
        <v>76.506447831184062</v>
      </c>
      <c r="E37" s="272">
        <v>822600</v>
      </c>
      <c r="F37" s="273">
        <f>E37/'- 3 -'!$D37*100</f>
        <v>1.5506827830099759</v>
      </c>
      <c r="G37" s="272">
        <f>E37/'- 7 -'!$E37</f>
        <v>192.87221570926144</v>
      </c>
      <c r="H37" s="272">
        <v>0</v>
      </c>
      <c r="I37" s="492">
        <f>H37/'- 3 -'!$D37*100</f>
        <v>0</v>
      </c>
    </row>
    <row r="38" spans="1:9" ht="14.1" customHeight="1" x14ac:dyDescent="0.2">
      <c r="A38" s="15" t="s">
        <v>134</v>
      </c>
      <c r="B38" s="16">
        <v>574730</v>
      </c>
      <c r="C38" s="267">
        <f>B38/'- 3 -'!$D38*100</f>
        <v>0.39704492957189919</v>
      </c>
      <c r="D38" s="16">
        <f>B38/'- 7 -'!$E38</f>
        <v>51.164426244102202</v>
      </c>
      <c r="E38" s="16">
        <v>1997280</v>
      </c>
      <c r="F38" s="267">
        <f>E38/'- 3 -'!$D38*100</f>
        <v>1.3797955508418958</v>
      </c>
      <c r="G38" s="16">
        <f>E38/'- 7 -'!$E38</f>
        <v>177.8046826315321</v>
      </c>
      <c r="H38" s="16">
        <v>730970</v>
      </c>
      <c r="I38" s="491">
        <f>H38/'- 3 -'!$D38*100</f>
        <v>0.50498135153754131</v>
      </c>
    </row>
    <row r="39" spans="1:9" ht="14.1" customHeight="1" x14ac:dyDescent="0.2">
      <c r="A39" s="271" t="s">
        <v>135</v>
      </c>
      <c r="B39" s="272">
        <v>246300</v>
      </c>
      <c r="C39" s="273">
        <f>B39/'- 3 -'!$D39*100</f>
        <v>1.0569804741417861</v>
      </c>
      <c r="D39" s="272">
        <f>B39/'- 7 -'!$E39</f>
        <v>162.78916060806344</v>
      </c>
      <c r="E39" s="272">
        <v>354600</v>
      </c>
      <c r="F39" s="273">
        <f>E39/'- 3 -'!$D39*100</f>
        <v>1.5217428994343374</v>
      </c>
      <c r="G39" s="272">
        <f>E39/'- 7 -'!$E39</f>
        <v>234.36880370125579</v>
      </c>
      <c r="H39" s="272">
        <v>0</v>
      </c>
      <c r="I39" s="492">
        <f>H39/'- 3 -'!$D39*100</f>
        <v>0</v>
      </c>
    </row>
    <row r="40" spans="1:9" ht="14.1" customHeight="1" x14ac:dyDescent="0.2">
      <c r="A40" s="15" t="s">
        <v>136</v>
      </c>
      <c r="B40" s="16">
        <v>273569</v>
      </c>
      <c r="C40" s="267">
        <f>B40/'- 3 -'!$D40*100</f>
        <v>0.25249733486367504</v>
      </c>
      <c r="D40" s="16">
        <f>B40/'- 7 -'!$E40</f>
        <v>32.756870023349101</v>
      </c>
      <c r="E40" s="16">
        <v>2730532</v>
      </c>
      <c r="F40" s="267">
        <f>E40/'- 3 -'!$D40*100</f>
        <v>2.5202126438301864</v>
      </c>
      <c r="G40" s="16">
        <f>E40/'- 7 -'!$E40</f>
        <v>326.95108663114411</v>
      </c>
      <c r="H40" s="16">
        <v>1200</v>
      </c>
      <c r="I40" s="491">
        <f>H40/'- 3 -'!$D40*100</f>
        <v>1.1075699433649648E-3</v>
      </c>
    </row>
    <row r="41" spans="1:9" ht="14.1" customHeight="1" x14ac:dyDescent="0.2">
      <c r="A41" s="271" t="s">
        <v>137</v>
      </c>
      <c r="B41" s="272">
        <v>383351</v>
      </c>
      <c r="C41" s="273">
        <f>B41/'- 3 -'!$D41*100</f>
        <v>0.58969116999499183</v>
      </c>
      <c r="D41" s="272">
        <f>B41/'- 7 -'!$E41</f>
        <v>87.944712089928885</v>
      </c>
      <c r="E41" s="272">
        <v>1811777</v>
      </c>
      <c r="F41" s="273">
        <f>E41/'- 3 -'!$D41*100</f>
        <v>2.7869730322863804</v>
      </c>
      <c r="G41" s="272">
        <f>E41/'- 7 -'!$E41</f>
        <v>415.64051387933011</v>
      </c>
      <c r="H41" s="272">
        <v>832516</v>
      </c>
      <c r="I41" s="492">
        <f>H41/'- 3 -'!$D41*100</f>
        <v>1.2806209820231345</v>
      </c>
    </row>
    <row r="42" spans="1:9" ht="14.1" customHeight="1" x14ac:dyDescent="0.2">
      <c r="A42" s="15" t="s">
        <v>138</v>
      </c>
      <c r="B42" s="16">
        <v>171425</v>
      </c>
      <c r="C42" s="267">
        <f>B42/'- 3 -'!$D42*100</f>
        <v>0.80507860065621717</v>
      </c>
      <c r="D42" s="16">
        <f>B42/'- 7 -'!$E42</f>
        <v>121.92389758179232</v>
      </c>
      <c r="E42" s="16">
        <v>338409</v>
      </c>
      <c r="F42" s="267">
        <f>E42/'- 3 -'!$D42*100</f>
        <v>1.5893005347497144</v>
      </c>
      <c r="G42" s="16">
        <f>E42/'- 7 -'!$E42</f>
        <v>240.68918918918919</v>
      </c>
      <c r="H42" s="16">
        <v>0</v>
      </c>
      <c r="I42" s="491">
        <f>H42/'- 3 -'!$D42*100</f>
        <v>0</v>
      </c>
    </row>
    <row r="43" spans="1:9" ht="14.1" customHeight="1" x14ac:dyDescent="0.2">
      <c r="A43" s="271" t="s">
        <v>139</v>
      </c>
      <c r="B43" s="272">
        <v>130827</v>
      </c>
      <c r="C43" s="273">
        <f>B43/'- 3 -'!$D43*100</f>
        <v>0.94940753013619794</v>
      </c>
      <c r="D43" s="272">
        <f>B43/'- 7 -'!$E43</f>
        <v>137.78515007898895</v>
      </c>
      <c r="E43" s="272">
        <v>320294</v>
      </c>
      <c r="F43" s="273">
        <f>E43/'- 3 -'!$D43*100</f>
        <v>2.3243637433973374</v>
      </c>
      <c r="G43" s="272">
        <f>E43/'- 7 -'!$E43</f>
        <v>337.32912058978411</v>
      </c>
      <c r="H43" s="272">
        <v>0</v>
      </c>
      <c r="I43" s="492">
        <f>H43/'- 3 -'!$D43*100</f>
        <v>0</v>
      </c>
    </row>
    <row r="44" spans="1:9" ht="14.1" customHeight="1" x14ac:dyDescent="0.2">
      <c r="A44" s="15" t="s">
        <v>140</v>
      </c>
      <c r="B44" s="16">
        <v>87387</v>
      </c>
      <c r="C44" s="267">
        <f>B44/'- 3 -'!$D44*100</f>
        <v>0.7745305681964828</v>
      </c>
      <c r="D44" s="16">
        <f>B44/'- 7 -'!$E44</f>
        <v>125.82721382289417</v>
      </c>
      <c r="E44" s="16">
        <v>165140</v>
      </c>
      <c r="F44" s="267">
        <f>E44/'- 3 -'!$D44*100</f>
        <v>1.4636728349979649</v>
      </c>
      <c r="G44" s="16">
        <f>E44/'- 7 -'!$E44</f>
        <v>237.78257739380851</v>
      </c>
      <c r="H44" s="16">
        <v>0</v>
      </c>
      <c r="I44" s="491">
        <f>H44/'- 3 -'!$D44*100</f>
        <v>0</v>
      </c>
    </row>
    <row r="45" spans="1:9" ht="14.1" customHeight="1" x14ac:dyDescent="0.2">
      <c r="A45" s="271" t="s">
        <v>141</v>
      </c>
      <c r="B45" s="272">
        <v>151216</v>
      </c>
      <c r="C45" s="273">
        <f>B45/'- 3 -'!$D45*100</f>
        <v>0.72980504780537736</v>
      </c>
      <c r="D45" s="272">
        <f>B45/'- 7 -'!$E45</f>
        <v>84.102335928809794</v>
      </c>
      <c r="E45" s="272">
        <v>315327</v>
      </c>
      <c r="F45" s="273">
        <f>E45/'- 3 -'!$D45*100</f>
        <v>1.5218444894014271</v>
      </c>
      <c r="G45" s="272">
        <f>E45/'- 7 -'!$E45</f>
        <v>175.3765294771969</v>
      </c>
      <c r="H45" s="272">
        <v>262798</v>
      </c>
      <c r="I45" s="492">
        <f>H45/'- 3 -'!$D45*100</f>
        <v>1.2683268103451855</v>
      </c>
    </row>
    <row r="46" spans="1:9" ht="14.1" customHeight="1" x14ac:dyDescent="0.2">
      <c r="A46" s="15" t="s">
        <v>142</v>
      </c>
      <c r="B46" s="16">
        <v>722400</v>
      </c>
      <c r="C46" s="267">
        <f>B46/'- 3 -'!$D46*100</f>
        <v>0.17771915035780617</v>
      </c>
      <c r="D46" s="16">
        <f>B46/'- 7 -'!$E46</f>
        <v>23.877045116509667</v>
      </c>
      <c r="E46" s="16">
        <v>11070600</v>
      </c>
      <c r="F46" s="267">
        <f>E46/'- 3 -'!$D46*100</f>
        <v>2.7235016970530577</v>
      </c>
      <c r="G46" s="16">
        <f>E46/'- 7 -'!$E46</f>
        <v>365.90976698066436</v>
      </c>
      <c r="H46" s="16">
        <v>35331950</v>
      </c>
      <c r="I46" s="491">
        <f>H46/'- 3 -'!$D46*100</f>
        <v>8.6920876723207225</v>
      </c>
    </row>
    <row r="47" spans="1:9" ht="5.0999999999999996" customHeight="1" x14ac:dyDescent="0.2">
      <c r="A47"/>
      <c r="B47"/>
      <c r="C47"/>
      <c r="D47"/>
      <c r="E47" s="507"/>
      <c r="F47"/>
      <c r="G47"/>
      <c r="H47"/>
      <c r="I47"/>
    </row>
    <row r="48" spans="1:9" ht="14.1" customHeight="1" x14ac:dyDescent="0.2">
      <c r="A48" s="274" t="s">
        <v>143</v>
      </c>
      <c r="B48" s="275">
        <f>SUM(B11:B46)</f>
        <v>10802000</v>
      </c>
      <c r="C48" s="276">
        <f>B48/'- 3 -'!$D48*100</f>
        <v>0.44796598106030355</v>
      </c>
      <c r="D48" s="275">
        <f>B48/'- 7 -'!$E48</f>
        <v>60.321094513472012</v>
      </c>
      <c r="E48" s="275">
        <f>SUM(E11:E46)</f>
        <v>48338067</v>
      </c>
      <c r="F48" s="276">
        <f>E48/'- 3 -'!$D48*100</f>
        <v>2.0046111466592929</v>
      </c>
      <c r="G48" s="275">
        <f>E48/'- 7 -'!$E48</f>
        <v>269.93196705291081</v>
      </c>
      <c r="H48" s="275">
        <f>SUM(H11:H46)</f>
        <v>65193566</v>
      </c>
      <c r="I48" s="276">
        <f>H48/'- 3 -'!$D48*100</f>
        <v>2.7036196770977274</v>
      </c>
    </row>
    <row r="49" spans="1:9" ht="5.0999999999999996" customHeight="1" x14ac:dyDescent="0.2">
      <c r="A49" s="17" t="s">
        <v>1</v>
      </c>
      <c r="B49" s="18"/>
      <c r="C49" s="266"/>
      <c r="D49" s="18"/>
      <c r="E49" s="18"/>
      <c r="F49" s="266"/>
      <c r="H49" s="18"/>
      <c r="I49" s="18"/>
    </row>
    <row r="50" spans="1:9" ht="14.1" customHeight="1" x14ac:dyDescent="0.2">
      <c r="A50" s="15" t="s">
        <v>144</v>
      </c>
      <c r="B50" s="16">
        <v>36300</v>
      </c>
      <c r="C50" s="267">
        <f>B50/'- 3 -'!$D50*100</f>
        <v>1.010330982203145</v>
      </c>
      <c r="D50" s="16">
        <f>B50/'- 7 -'!$E50</f>
        <v>216.07142857142858</v>
      </c>
      <c r="E50" s="16">
        <v>60000</v>
      </c>
      <c r="F50" s="267">
        <f>E50/'- 3 -'!$D50*100</f>
        <v>1.6699685656250332</v>
      </c>
      <c r="G50" s="16">
        <f>E50/'- 7 -'!$E50</f>
        <v>357.14285714285717</v>
      </c>
      <c r="H50" s="16">
        <v>0</v>
      </c>
      <c r="I50" s="16">
        <f>H50/'- 3 -'!$D50*100</f>
        <v>0</v>
      </c>
    </row>
    <row r="51" spans="1:9" ht="14.1" customHeight="1" x14ac:dyDescent="0.2">
      <c r="A51" s="360" t="s">
        <v>514</v>
      </c>
      <c r="B51" s="272">
        <v>0</v>
      </c>
      <c r="C51" s="273">
        <f>B51/'- 3 -'!$D51*100</f>
        <v>0</v>
      </c>
      <c r="D51" s="272">
        <f>B51/'- 7 -'!$E51</f>
        <v>0</v>
      </c>
      <c r="E51" s="272">
        <v>79152</v>
      </c>
      <c r="F51" s="273">
        <f>E51/'- 3 -'!$D51*100</f>
        <v>0.24091559614374336</v>
      </c>
      <c r="G51" s="272">
        <f>E51/'- 7 -'!$E51</f>
        <v>57.775182481751827</v>
      </c>
      <c r="H51" s="272">
        <v>0</v>
      </c>
      <c r="I51" s="272">
        <f>H51/'- 3 -'!$D51*100</f>
        <v>0</v>
      </c>
    </row>
    <row r="52" spans="1:9" ht="50.1" customHeight="1" x14ac:dyDescent="0.2">
      <c r="A52" s="164"/>
      <c r="B52" s="164"/>
      <c r="C52" s="164"/>
      <c r="D52" s="164"/>
      <c r="E52" s="164"/>
      <c r="F52" s="164"/>
      <c r="G52" s="164"/>
      <c r="H52" s="164"/>
      <c r="I52" s="164"/>
    </row>
    <row r="53" spans="1:9" ht="15" customHeight="1" x14ac:dyDescent="0.2">
      <c r="A53" s="658"/>
      <c r="B53" s="658"/>
      <c r="C53" s="658"/>
      <c r="D53" s="658"/>
      <c r="E53" s="658"/>
      <c r="F53" s="658"/>
      <c r="G53" s="658"/>
      <c r="H53" s="658"/>
      <c r="I53" s="658"/>
    </row>
    <row r="54" spans="1:9" ht="12" customHeight="1" x14ac:dyDescent="0.2">
      <c r="A54" s="658"/>
      <c r="B54" s="658"/>
      <c r="C54" s="658"/>
      <c r="D54" s="658"/>
      <c r="E54" s="658"/>
      <c r="F54" s="658"/>
      <c r="G54" s="658"/>
      <c r="H54" s="658"/>
      <c r="I54" s="658"/>
    </row>
    <row r="55" spans="1:9" ht="12" customHeight="1" x14ac:dyDescent="0.2">
      <c r="A55" s="658"/>
      <c r="B55" s="658"/>
      <c r="C55" s="658"/>
      <c r="D55" s="658"/>
      <c r="E55" s="658"/>
      <c r="F55" s="658"/>
      <c r="G55" s="658"/>
      <c r="H55" s="658"/>
      <c r="I55" s="658"/>
    </row>
    <row r="56" spans="1:9" ht="14.45" customHeight="1" x14ac:dyDescent="0.2">
      <c r="C56" s="90"/>
      <c r="D56" s="90"/>
      <c r="E56" s="165"/>
      <c r="F56" s="90"/>
      <c r="G56" s="90"/>
      <c r="H56" s="90"/>
      <c r="I56" s="90"/>
    </row>
    <row r="57" spans="1:9" ht="14.45" customHeight="1" x14ac:dyDescent="0.2">
      <c r="C57" s="90"/>
      <c r="D57" s="90"/>
      <c r="E57" s="165"/>
      <c r="F57" s="90"/>
      <c r="G57" s="90"/>
      <c r="H57" s="90"/>
      <c r="I57" s="90"/>
    </row>
    <row r="58" spans="1:9" ht="14.45" customHeight="1" x14ac:dyDescent="0.2"/>
    <row r="59" spans="1:9" ht="14.45" customHeight="1" x14ac:dyDescent="0.2"/>
  </sheetData>
  <mergeCells count="8">
    <mergeCell ref="A53:I55"/>
    <mergeCell ref="B5:I5"/>
    <mergeCell ref="D8:D9"/>
    <mergeCell ref="G8:G9"/>
    <mergeCell ref="I8:I9"/>
    <mergeCell ref="B6:D7"/>
    <mergeCell ref="E6:G7"/>
    <mergeCell ref="H6:I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8"/>
  <sheetViews>
    <sheetView showGridLines="0" showZeros="0" workbookViewId="0"/>
  </sheetViews>
  <sheetFormatPr defaultColWidth="15.83203125" defaultRowHeight="12" x14ac:dyDescent="0.2"/>
  <cols>
    <col min="1" max="1" width="30.83203125" style="1" customWidth="1"/>
    <col min="2" max="2" width="15.33203125" style="1" customWidth="1"/>
    <col min="3" max="3" width="8.83203125" style="1" customWidth="1"/>
    <col min="4" max="4" width="8.5" style="1" customWidth="1"/>
    <col min="5" max="5" width="15" style="1" customWidth="1"/>
    <col min="6" max="6" width="7.83203125" style="1" customWidth="1"/>
    <col min="7" max="7" width="8.83203125" style="1" customWidth="1"/>
    <col min="8" max="8" width="14.5" style="1" customWidth="1"/>
    <col min="9" max="9" width="7.83203125" style="1" customWidth="1"/>
    <col min="10" max="10" width="8.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5"/>
      <c r="D2" s="6"/>
      <c r="E2" s="6"/>
      <c r="F2" s="6"/>
      <c r="G2" s="6"/>
      <c r="H2" s="85"/>
      <c r="I2" s="85"/>
      <c r="J2" s="502" t="s">
        <v>527</v>
      </c>
    </row>
    <row r="3" spans="1:10" ht="15.95" customHeight="1" x14ac:dyDescent="0.2">
      <c r="A3" s="135"/>
      <c r="B3" s="7" t="str">
        <f>OPYEAR</f>
        <v>OPERATING FUND 2018/2019 BUDGET</v>
      </c>
      <c r="C3" s="7"/>
      <c r="D3" s="8"/>
      <c r="E3" s="8"/>
      <c r="F3" s="8"/>
      <c r="G3" s="8"/>
      <c r="H3" s="87"/>
      <c r="I3" s="87"/>
      <c r="J3" s="81"/>
    </row>
    <row r="4" spans="1:10" ht="15.95" customHeight="1" x14ac:dyDescent="0.2">
      <c r="B4" s="4"/>
      <c r="C4" s="4"/>
      <c r="D4" s="4"/>
      <c r="E4" s="4"/>
      <c r="F4" s="4"/>
      <c r="G4" s="4"/>
      <c r="H4" s="4"/>
      <c r="I4" s="4"/>
      <c r="J4" s="4"/>
    </row>
    <row r="5" spans="1:10" ht="15.95" customHeight="1" x14ac:dyDescent="0.2">
      <c r="B5" s="659" t="s">
        <v>244</v>
      </c>
      <c r="C5" s="660"/>
      <c r="D5" s="660"/>
      <c r="E5" s="660"/>
      <c r="F5" s="660"/>
      <c r="G5" s="660"/>
      <c r="H5" s="660"/>
      <c r="I5" s="660"/>
      <c r="J5" s="661"/>
    </row>
    <row r="6" spans="1:10" ht="15.95" customHeight="1" x14ac:dyDescent="0.2">
      <c r="B6" s="611" t="s">
        <v>409</v>
      </c>
      <c r="C6" s="665"/>
      <c r="D6" s="666"/>
      <c r="E6" s="611" t="s">
        <v>410</v>
      </c>
      <c r="F6" s="621"/>
      <c r="G6" s="612"/>
      <c r="H6" s="611" t="s">
        <v>412</v>
      </c>
      <c r="I6" s="621"/>
      <c r="J6" s="612"/>
    </row>
    <row r="7" spans="1:10" ht="15.95" customHeight="1" x14ac:dyDescent="0.2">
      <c r="B7" s="667"/>
      <c r="C7" s="668"/>
      <c r="D7" s="669"/>
      <c r="E7" s="613"/>
      <c r="F7" s="622"/>
      <c r="G7" s="614"/>
      <c r="H7" s="613"/>
      <c r="I7" s="622"/>
      <c r="J7" s="614"/>
    </row>
    <row r="8" spans="1:10" ht="15.95" customHeight="1" x14ac:dyDescent="0.2">
      <c r="A8" s="82"/>
      <c r="B8" s="138"/>
      <c r="C8" s="137"/>
      <c r="D8" s="529" t="s">
        <v>396</v>
      </c>
      <c r="E8" s="138"/>
      <c r="F8" s="137"/>
      <c r="G8" s="529" t="s">
        <v>396</v>
      </c>
      <c r="H8" s="138"/>
      <c r="I8" s="137"/>
      <c r="J8" s="529" t="s">
        <v>396</v>
      </c>
    </row>
    <row r="9" spans="1:10" ht="15.95" customHeight="1" x14ac:dyDescent="0.2">
      <c r="A9" s="27" t="s">
        <v>37</v>
      </c>
      <c r="B9" s="89" t="s">
        <v>38</v>
      </c>
      <c r="C9" s="89" t="s">
        <v>39</v>
      </c>
      <c r="D9" s="569"/>
      <c r="E9" s="89" t="s">
        <v>38</v>
      </c>
      <c r="F9" s="89" t="s">
        <v>39</v>
      </c>
      <c r="G9" s="569"/>
      <c r="H9" s="89" t="s">
        <v>38</v>
      </c>
      <c r="I9" s="89" t="s">
        <v>39</v>
      </c>
      <c r="J9" s="569"/>
    </row>
    <row r="10" spans="1:10" ht="5.0999999999999996" customHeight="1" x14ac:dyDescent="0.2">
      <c r="A10" s="29"/>
    </row>
    <row r="11" spans="1:10" ht="14.1" customHeight="1" x14ac:dyDescent="0.2">
      <c r="A11" s="271" t="s">
        <v>108</v>
      </c>
      <c r="B11" s="272">
        <v>850900</v>
      </c>
      <c r="C11" s="273">
        <f>B11/'- 3 -'!$D11*100</f>
        <v>4.1809010895794785</v>
      </c>
      <c r="D11" s="493">
        <f>B11/'- 7 -'!$E11</f>
        <v>471.80482395342392</v>
      </c>
      <c r="E11" s="272">
        <v>919664</v>
      </c>
      <c r="F11" s="273">
        <f>E11/'- 3 -'!$D11*100</f>
        <v>4.5187733219497259</v>
      </c>
      <c r="G11" s="272">
        <f>E11/'- 7 -'!$E11</f>
        <v>509.93290823398945</v>
      </c>
      <c r="H11" s="272">
        <v>371608</v>
      </c>
      <c r="I11" s="273">
        <f>H11/'- 3 -'!$D11*100</f>
        <v>1.8258976285068174</v>
      </c>
      <c r="J11" s="272">
        <f>H11/'- 7 -'!$E11</f>
        <v>206.04823953423897</v>
      </c>
    </row>
    <row r="12" spans="1:10" ht="14.1" customHeight="1" x14ac:dyDescent="0.2">
      <c r="A12" s="15" t="s">
        <v>109</v>
      </c>
      <c r="B12" s="16">
        <v>2668239</v>
      </c>
      <c r="C12" s="491">
        <f>B12/'- 3 -'!$D12*100</f>
        <v>7.6418645361407052</v>
      </c>
      <c r="D12" s="494">
        <f>B12/'- 7 -'!$E12</f>
        <v>1252.4003754987093</v>
      </c>
      <c r="E12" s="16">
        <v>1393797</v>
      </c>
      <c r="F12" s="267">
        <f>E12/'- 3 -'!$D12*100</f>
        <v>3.9918492552126352</v>
      </c>
      <c r="G12" s="16">
        <f>E12/'- 7 -'!$E12</f>
        <v>654.21121802393805</v>
      </c>
      <c r="H12" s="16">
        <v>478768</v>
      </c>
      <c r="I12" s="267">
        <f>H12/'- 3 -'!$D12*100</f>
        <v>1.3711965833041992</v>
      </c>
      <c r="J12" s="16">
        <f>H12/'- 7 -'!$E12</f>
        <v>224.72095752170853</v>
      </c>
    </row>
    <row r="13" spans="1:10" ht="14.1" customHeight="1" x14ac:dyDescent="0.2">
      <c r="A13" s="271" t="s">
        <v>110</v>
      </c>
      <c r="B13" s="272">
        <v>10228700</v>
      </c>
      <c r="C13" s="492">
        <f>B13/'- 3 -'!$D13*100</f>
        <v>9.8245004043636701</v>
      </c>
      <c r="D13" s="495">
        <f>B13/'- 7 -'!$E13</f>
        <v>1190.2141028624621</v>
      </c>
      <c r="E13" s="272">
        <v>4497300</v>
      </c>
      <c r="F13" s="273">
        <f>E13/'- 3 -'!$D13*100</f>
        <v>4.3195836879119272</v>
      </c>
      <c r="G13" s="272">
        <f>E13/'- 7 -'!$E13</f>
        <v>523.30695834303003</v>
      </c>
      <c r="H13" s="272">
        <v>2447200</v>
      </c>
      <c r="I13" s="273">
        <f>H13/'- 3 -'!$D13*100</f>
        <v>2.3504958977737909</v>
      </c>
      <c r="J13" s="272">
        <f>H13/'- 7 -'!$E13</f>
        <v>284.75680707470326</v>
      </c>
    </row>
    <row r="14" spans="1:10" ht="14.1" customHeight="1" x14ac:dyDescent="0.2">
      <c r="A14" s="15" t="s">
        <v>319</v>
      </c>
      <c r="B14" s="16">
        <v>3622944</v>
      </c>
      <c r="C14" s="491">
        <f>B14/'- 3 -'!$D14*100</f>
        <v>3.8819924626249316</v>
      </c>
      <c r="D14" s="494">
        <f>B14/'- 7 -'!$E14</f>
        <v>625.72435233160627</v>
      </c>
      <c r="E14" s="16">
        <v>2964504</v>
      </c>
      <c r="F14" s="267">
        <f>E14/'- 3 -'!$D14*100</f>
        <v>3.1764725547569768</v>
      </c>
      <c r="G14" s="16">
        <f>E14/'- 7 -'!$E14</f>
        <v>512.00414507772018</v>
      </c>
      <c r="H14" s="16">
        <v>1646991</v>
      </c>
      <c r="I14" s="267">
        <f>H14/'- 3 -'!$D14*100</f>
        <v>1.76475447812914</v>
      </c>
      <c r="J14" s="16">
        <f>H14/'- 7 -'!$E14</f>
        <v>284.45440414507772</v>
      </c>
    </row>
    <row r="15" spans="1:10" ht="14.1" customHeight="1" x14ac:dyDescent="0.2">
      <c r="A15" s="271" t="s">
        <v>111</v>
      </c>
      <c r="B15" s="272">
        <v>1597105</v>
      </c>
      <c r="C15" s="492">
        <f>B15/'- 3 -'!$D15*100</f>
        <v>7.685677144727185</v>
      </c>
      <c r="D15" s="495">
        <f>B15/'- 7 -'!$E15</f>
        <v>1183.9177168272795</v>
      </c>
      <c r="E15" s="272">
        <v>981990</v>
      </c>
      <c r="F15" s="273">
        <f>E15/'- 3 -'!$D15*100</f>
        <v>4.7255866704760479</v>
      </c>
      <c r="G15" s="272">
        <f>E15/'- 7 -'!$E15</f>
        <v>727.93921423276504</v>
      </c>
      <c r="H15" s="272">
        <v>491800</v>
      </c>
      <c r="I15" s="273">
        <f>H15/'- 3 -'!$D15*100</f>
        <v>2.3666672008270146</v>
      </c>
      <c r="J15" s="272">
        <f>H15/'- 7 -'!$E15</f>
        <v>364.56634544106748</v>
      </c>
    </row>
    <row r="16" spans="1:10" ht="14.1" customHeight="1" x14ac:dyDescent="0.2">
      <c r="A16" s="15" t="s">
        <v>112</v>
      </c>
      <c r="B16" s="16">
        <v>844402</v>
      </c>
      <c r="C16" s="491">
        <f>B16/'- 3 -'!$D16*100</f>
        <v>5.6795401708808431</v>
      </c>
      <c r="D16" s="494">
        <f>B16/'- 7 -'!$E16</f>
        <v>914.84507042253517</v>
      </c>
      <c r="E16" s="16">
        <v>926469</v>
      </c>
      <c r="F16" s="267">
        <f>E16/'- 3 -'!$D16*100</f>
        <v>6.231531785305819</v>
      </c>
      <c r="G16" s="16">
        <f>E16/'- 7 -'!$E16</f>
        <v>1003.7583965330444</v>
      </c>
      <c r="H16" s="16">
        <v>357966</v>
      </c>
      <c r="I16" s="267">
        <f>H16/'- 3 -'!$D16*100</f>
        <v>2.4077184525966686</v>
      </c>
      <c r="J16" s="16">
        <f>H16/'- 7 -'!$E16</f>
        <v>387.82881906825571</v>
      </c>
    </row>
    <row r="17" spans="1:10" ht="14.1" customHeight="1" x14ac:dyDescent="0.2">
      <c r="A17" s="271" t="s">
        <v>113</v>
      </c>
      <c r="B17" s="272">
        <v>582000</v>
      </c>
      <c r="C17" s="492">
        <f>B17/'- 3 -'!$D17*100</f>
        <v>3.1121693199781699</v>
      </c>
      <c r="D17" s="495">
        <f>B17/'- 7 -'!$E17</f>
        <v>417.50358680057388</v>
      </c>
      <c r="E17" s="272">
        <v>1001570</v>
      </c>
      <c r="F17" s="273">
        <f>E17/'- 3 -'!$D17*100</f>
        <v>5.3557653364442199</v>
      </c>
      <c r="G17" s="272">
        <f>E17/'- 7 -'!$E17</f>
        <v>718.48637015781924</v>
      </c>
      <c r="H17" s="272">
        <v>165140</v>
      </c>
      <c r="I17" s="273">
        <f>H17/'- 3 -'!$D17*100</f>
        <v>0.88306467611889172</v>
      </c>
      <c r="J17" s="272">
        <f>H17/'- 7 -'!$E17</f>
        <v>118.4648493543759</v>
      </c>
    </row>
    <row r="18" spans="1:10" ht="14.1" customHeight="1" x14ac:dyDescent="0.2">
      <c r="A18" s="15" t="s">
        <v>114</v>
      </c>
      <c r="B18" s="16">
        <v>12214348</v>
      </c>
      <c r="C18" s="491">
        <f>B18/'- 3 -'!$D18*100</f>
        <v>9.0696619370551463</v>
      </c>
      <c r="D18" s="494">
        <f>B18/'- 7 -'!$E18</f>
        <v>1990.8638675185814</v>
      </c>
      <c r="E18" s="16">
        <v>3881460</v>
      </c>
      <c r="F18" s="267">
        <f>E18/'- 3 -'!$D18*100</f>
        <v>2.8821456554375287</v>
      </c>
      <c r="G18" s="16">
        <f>E18/'- 7 -'!$E18</f>
        <v>632.65419220237322</v>
      </c>
      <c r="H18" s="16">
        <v>5008217</v>
      </c>
      <c r="I18" s="267">
        <f>H18/'- 3 -'!$D18*100</f>
        <v>3.7188096407120965</v>
      </c>
      <c r="J18" s="16">
        <f>H18/'- 7 -'!$E18</f>
        <v>816.30867779371499</v>
      </c>
    </row>
    <row r="19" spans="1:10" ht="14.1" customHeight="1" x14ac:dyDescent="0.2">
      <c r="A19" s="271" t="s">
        <v>115</v>
      </c>
      <c r="B19" s="272">
        <v>2892600</v>
      </c>
      <c r="C19" s="492">
        <f>B19/'- 3 -'!$D19*100</f>
        <v>5.7482274013544883</v>
      </c>
      <c r="D19" s="495">
        <f>B19/'- 7 -'!$E19</f>
        <v>663.21219763842714</v>
      </c>
      <c r="E19" s="272">
        <v>2874000</v>
      </c>
      <c r="F19" s="273">
        <f>E19/'- 3 -'!$D19*100</f>
        <v>5.7112651426027794</v>
      </c>
      <c r="G19" s="272">
        <f>E19/'- 7 -'!$E19</f>
        <v>658.94760976728185</v>
      </c>
      <c r="H19" s="272">
        <v>1233300</v>
      </c>
      <c r="I19" s="273">
        <f>H19/'- 3 -'!$D19*100</f>
        <v>2.4508362214238022</v>
      </c>
      <c r="J19" s="272">
        <f>H19/'- 7 -'!$E19</f>
        <v>282.76968932706637</v>
      </c>
    </row>
    <row r="20" spans="1:10" ht="14.1" customHeight="1" x14ac:dyDescent="0.2">
      <c r="A20" s="15" t="s">
        <v>116</v>
      </c>
      <c r="B20" s="16">
        <v>3647100</v>
      </c>
      <c r="C20" s="491">
        <f>B20/'- 3 -'!$D20*100</f>
        <v>4.1799471188725112</v>
      </c>
      <c r="D20" s="494">
        <f>B20/'- 7 -'!$E20</f>
        <v>463.77161749745676</v>
      </c>
      <c r="E20" s="16">
        <v>4399800</v>
      </c>
      <c r="F20" s="267">
        <f>E20/'- 3 -'!$D20*100</f>
        <v>5.0426177877259395</v>
      </c>
      <c r="G20" s="16">
        <f>E20/'- 7 -'!$E20</f>
        <v>559.48626653102747</v>
      </c>
      <c r="H20" s="16">
        <v>1619500</v>
      </c>
      <c r="I20" s="267">
        <f>H20/'- 3 -'!$D20*100</f>
        <v>1.8561115294381925</v>
      </c>
      <c r="J20" s="16">
        <f>H20/'- 7 -'!$E20</f>
        <v>205.9384537131231</v>
      </c>
    </row>
    <row r="21" spans="1:10" ht="14.1" customHeight="1" x14ac:dyDescent="0.2">
      <c r="A21" s="271" t="s">
        <v>117</v>
      </c>
      <c r="B21" s="272">
        <v>1925200</v>
      </c>
      <c r="C21" s="492">
        <f>B21/'- 3 -'!$D21*100</f>
        <v>5.1257174593353181</v>
      </c>
      <c r="D21" s="495">
        <f>B21/'- 7 -'!$E21</f>
        <v>686.22348957405097</v>
      </c>
      <c r="E21" s="272">
        <v>2165500</v>
      </c>
      <c r="F21" s="273">
        <f>E21/'- 3 -'!$D21*100</f>
        <v>5.7655002899390357</v>
      </c>
      <c r="G21" s="272">
        <f>E21/'- 7 -'!$E21</f>
        <v>771.87667082516487</v>
      </c>
      <c r="H21" s="272">
        <v>1140235</v>
      </c>
      <c r="I21" s="273">
        <f>H21/'- 3 -'!$D21*100</f>
        <v>3.0358001492027875</v>
      </c>
      <c r="J21" s="272">
        <f>H21/'- 7 -'!$E21</f>
        <v>406.4284441276065</v>
      </c>
    </row>
    <row r="22" spans="1:10" ht="14.1" customHeight="1" x14ac:dyDescent="0.2">
      <c r="A22" s="15" t="s">
        <v>118</v>
      </c>
      <c r="B22" s="16">
        <v>846060</v>
      </c>
      <c r="C22" s="491">
        <f>B22/'- 3 -'!$D22*100</f>
        <v>4.0514720741204</v>
      </c>
      <c r="D22" s="494">
        <f>B22/'- 7 -'!$E22</f>
        <v>580.6066428767499</v>
      </c>
      <c r="E22" s="16">
        <v>1521360</v>
      </c>
      <c r="F22" s="267">
        <f>E22/'- 3 -'!$D22*100</f>
        <v>7.2852369272673467</v>
      </c>
      <c r="G22" s="16">
        <f>E22/'- 7 -'!$E22</f>
        <v>1044.0296458962393</v>
      </c>
      <c r="H22" s="16">
        <v>635575</v>
      </c>
      <c r="I22" s="267">
        <f>H22/'- 3 -'!$D22*100</f>
        <v>3.0435363490876215</v>
      </c>
      <c r="J22" s="16">
        <f>H22/'- 7 -'!$E22</f>
        <v>436.16181718363987</v>
      </c>
    </row>
    <row r="23" spans="1:10" ht="14.1" customHeight="1" x14ac:dyDescent="0.2">
      <c r="A23" s="271" t="s">
        <v>119</v>
      </c>
      <c r="B23" s="272">
        <v>1405000</v>
      </c>
      <c r="C23" s="492">
        <f>B23/'- 3 -'!$D23*100</f>
        <v>8.279408163154665</v>
      </c>
      <c r="D23" s="495">
        <f>B23/'- 7 -'!$E23</f>
        <v>1350.9615384615386</v>
      </c>
      <c r="E23" s="272">
        <v>669000</v>
      </c>
      <c r="F23" s="273">
        <f>E23/'- 3 -'!$D23*100</f>
        <v>3.9422947054451756</v>
      </c>
      <c r="G23" s="272">
        <f>E23/'- 7 -'!$E23</f>
        <v>643.26923076923072</v>
      </c>
      <c r="H23" s="272">
        <v>327000</v>
      </c>
      <c r="I23" s="273">
        <f>H23/'- 3 -'!$D23*100</f>
        <v>1.9269512237377762</v>
      </c>
      <c r="J23" s="272">
        <f>H23/'- 7 -'!$E23</f>
        <v>314.42307692307691</v>
      </c>
    </row>
    <row r="24" spans="1:10" ht="14.1" customHeight="1" x14ac:dyDescent="0.2">
      <c r="A24" s="15" t="s">
        <v>120</v>
      </c>
      <c r="B24" s="16">
        <v>3306195</v>
      </c>
      <c r="C24" s="491">
        <f>B24/'- 3 -'!$D24*100</f>
        <v>5.6595079312144332</v>
      </c>
      <c r="D24" s="494">
        <f>B24/'- 7 -'!$E24</f>
        <v>875.5813029661017</v>
      </c>
      <c r="E24" s="16">
        <v>2867630</v>
      </c>
      <c r="F24" s="267">
        <f>E24/'- 3 -'!$D24*100</f>
        <v>4.9087772284418927</v>
      </c>
      <c r="G24" s="16">
        <f>E24/'- 7 -'!$E24</f>
        <v>759.43591101694915</v>
      </c>
      <c r="H24" s="16">
        <v>1465900</v>
      </c>
      <c r="I24" s="267">
        <f>H24/'- 3 -'!$D24*100</f>
        <v>2.5093113613586731</v>
      </c>
      <c r="J24" s="16">
        <f>H24/'- 7 -'!$E24</f>
        <v>388.21504237288133</v>
      </c>
    </row>
    <row r="25" spans="1:10" ht="14.1" customHeight="1" x14ac:dyDescent="0.2">
      <c r="A25" s="271" t="s">
        <v>121</v>
      </c>
      <c r="B25" s="272">
        <v>10070391</v>
      </c>
      <c r="C25" s="492">
        <f>B25/'- 3 -'!$D25*100</f>
        <v>5.3595184233370956</v>
      </c>
      <c r="D25" s="495">
        <f>B25/'- 7 -'!$E25</f>
        <v>676.54625461874366</v>
      </c>
      <c r="E25" s="272">
        <v>7982849</v>
      </c>
      <c r="F25" s="273">
        <f>E25/'- 3 -'!$D25*100</f>
        <v>4.2485168933577766</v>
      </c>
      <c r="G25" s="272">
        <f>E25/'- 7 -'!$E25</f>
        <v>536.30157877057445</v>
      </c>
      <c r="H25" s="272">
        <v>3045272</v>
      </c>
      <c r="I25" s="273">
        <f>H25/'- 3 -'!$D25*100</f>
        <v>1.6207107934610092</v>
      </c>
      <c r="J25" s="272">
        <f>H25/'- 7 -'!$E25</f>
        <v>204.5866308364125</v>
      </c>
    </row>
    <row r="26" spans="1:10" ht="14.1" customHeight="1" x14ac:dyDescent="0.2">
      <c r="A26" s="15" t="s">
        <v>122</v>
      </c>
      <c r="B26" s="16">
        <v>1727853</v>
      </c>
      <c r="C26" s="491">
        <f>B26/'- 3 -'!$D26*100</f>
        <v>4.2119548226488179</v>
      </c>
      <c r="D26" s="494">
        <f>B26/'- 7 -'!$E26</f>
        <v>608.72045094239911</v>
      </c>
      <c r="E26" s="16">
        <v>1904353</v>
      </c>
      <c r="F26" s="267">
        <f>E26/'- 3 -'!$D26*100</f>
        <v>4.6422055593709333</v>
      </c>
      <c r="G26" s="16">
        <f>E26/'- 7 -'!$E26</f>
        <v>670.90118020081024</v>
      </c>
      <c r="H26" s="16">
        <v>1378496</v>
      </c>
      <c r="I26" s="267">
        <f>H26/'- 3 -'!$D26*100</f>
        <v>3.3603338219177816</v>
      </c>
      <c r="J26" s="16">
        <f>H26/'- 7 -'!$E26</f>
        <v>485.64241676942049</v>
      </c>
    </row>
    <row r="27" spans="1:10" ht="14.1" customHeight="1" x14ac:dyDescent="0.2">
      <c r="A27" s="271" t="s">
        <v>123</v>
      </c>
      <c r="B27" s="272">
        <v>2298919</v>
      </c>
      <c r="C27" s="492">
        <f>B27/'- 3 -'!$D27*100</f>
        <v>5.3808073484897694</v>
      </c>
      <c r="D27" s="495">
        <f>B27/'- 7 -'!$E27</f>
        <v>754.48605185428289</v>
      </c>
      <c r="E27" s="272">
        <v>2500447</v>
      </c>
      <c r="F27" s="273">
        <f>E27/'- 3 -'!$D27*100</f>
        <v>5.852500062903129</v>
      </c>
      <c r="G27" s="272">
        <f>E27/'- 7 -'!$E27</f>
        <v>820.62586150311779</v>
      </c>
      <c r="H27" s="272">
        <v>1144091</v>
      </c>
      <c r="I27" s="273">
        <f>H27/'- 3 -'!$D27*100</f>
        <v>2.6778382623054613</v>
      </c>
      <c r="J27" s="272">
        <f>H27/'- 7 -'!$E27</f>
        <v>375.4811289793239</v>
      </c>
    </row>
    <row r="28" spans="1:10" ht="14.1" customHeight="1" x14ac:dyDescent="0.2">
      <c r="A28" s="15" t="s">
        <v>124</v>
      </c>
      <c r="B28" s="16">
        <v>1262884</v>
      </c>
      <c r="C28" s="491">
        <f>B28/'- 3 -'!$D28*100</f>
        <v>4.3861107211602013</v>
      </c>
      <c r="D28" s="494">
        <f>B28/'- 7 -'!$E28</f>
        <v>645.31630045988754</v>
      </c>
      <c r="E28" s="16">
        <v>1448353</v>
      </c>
      <c r="F28" s="267">
        <f>E28/'- 3 -'!$D28*100</f>
        <v>5.0302613868926533</v>
      </c>
      <c r="G28" s="16">
        <f>E28/'- 7 -'!$E28</f>
        <v>740.08840061318347</v>
      </c>
      <c r="H28" s="16">
        <v>530570</v>
      </c>
      <c r="I28" s="267">
        <f>H28/'- 3 -'!$D28*100</f>
        <v>1.8427177518489171</v>
      </c>
      <c r="J28" s="16">
        <f>H28/'- 7 -'!$E28</f>
        <v>271.1139499233521</v>
      </c>
    </row>
    <row r="29" spans="1:10" ht="14.1" customHeight="1" x14ac:dyDescent="0.2">
      <c r="A29" s="271" t="s">
        <v>125</v>
      </c>
      <c r="B29" s="272">
        <v>11503673</v>
      </c>
      <c r="C29" s="492">
        <f>B29/'- 3 -'!$D29*100</f>
        <v>6.7727562985038725</v>
      </c>
      <c r="D29" s="495">
        <f>B29/'- 7 -'!$E29</f>
        <v>851.43646981326185</v>
      </c>
      <c r="E29" s="272">
        <v>11957381</v>
      </c>
      <c r="F29" s="273">
        <f>E29/'- 3 -'!$D29*100</f>
        <v>7.0398756537464617</v>
      </c>
      <c r="G29" s="272">
        <f>E29/'- 7 -'!$E29</f>
        <v>885.01735635671946</v>
      </c>
      <c r="H29" s="272">
        <v>3399162</v>
      </c>
      <c r="I29" s="273">
        <f>H29/'- 3 -'!$D29*100</f>
        <v>2.0012474142071857</v>
      </c>
      <c r="J29" s="272">
        <f>H29/'- 7 -'!$E29</f>
        <v>251.58664485711537</v>
      </c>
    </row>
    <row r="30" spans="1:10" ht="14.1" customHeight="1" x14ac:dyDescent="0.2">
      <c r="A30" s="15" t="s">
        <v>126</v>
      </c>
      <c r="B30" s="16">
        <v>536788</v>
      </c>
      <c r="C30" s="491">
        <f>B30/'- 3 -'!$D30*100</f>
        <v>3.5134489625112244</v>
      </c>
      <c r="D30" s="494">
        <f>B30/'- 7 -'!$E30</f>
        <v>531.47326732673264</v>
      </c>
      <c r="E30" s="16">
        <v>678382</v>
      </c>
      <c r="F30" s="267">
        <f>E30/'- 3 -'!$D30*100</f>
        <v>4.4402269314632399</v>
      </c>
      <c r="G30" s="16">
        <f>E30/'- 7 -'!$E30</f>
        <v>671.66534653465351</v>
      </c>
      <c r="H30" s="16">
        <v>274708</v>
      </c>
      <c r="I30" s="267">
        <f>H30/'- 3 -'!$D30*100</f>
        <v>1.7980516285638528</v>
      </c>
      <c r="J30" s="16">
        <f>H30/'- 7 -'!$E30</f>
        <v>271.98811881188118</v>
      </c>
    </row>
    <row r="31" spans="1:10" ht="14.1" customHeight="1" x14ac:dyDescent="0.2">
      <c r="A31" s="271" t="s">
        <v>127</v>
      </c>
      <c r="B31" s="272">
        <v>2733675</v>
      </c>
      <c r="C31" s="492">
        <f>B31/'- 3 -'!$D31*100</f>
        <v>7.0252854509291778</v>
      </c>
      <c r="D31" s="495">
        <f>B31/'- 7 -'!$E31</f>
        <v>841.93384459022445</v>
      </c>
      <c r="E31" s="272">
        <v>1157965</v>
      </c>
      <c r="F31" s="273">
        <f>E31/'- 3 -'!$D31*100</f>
        <v>2.975860212785062</v>
      </c>
      <c r="G31" s="272">
        <f>E31/'- 7 -'!$E31</f>
        <v>356.63710000307987</v>
      </c>
      <c r="H31" s="272">
        <v>1072514</v>
      </c>
      <c r="I31" s="273">
        <f>H31/'- 3 -'!$D31*100</f>
        <v>2.7562592481249073</v>
      </c>
      <c r="J31" s="272">
        <f>H31/'- 7 -'!$E31</f>
        <v>330.3193815639533</v>
      </c>
    </row>
    <row r="32" spans="1:10" ht="14.1" customHeight="1" x14ac:dyDescent="0.2">
      <c r="A32" s="15" t="s">
        <v>128</v>
      </c>
      <c r="B32" s="16">
        <v>946675</v>
      </c>
      <c r="C32" s="491">
        <f>B32/'- 3 -'!$D32*100</f>
        <v>3.0508882389551513</v>
      </c>
      <c r="D32" s="494">
        <f>B32/'- 7 -'!$E32</f>
        <v>418.23503423901036</v>
      </c>
      <c r="E32" s="16">
        <v>2011628</v>
      </c>
      <c r="F32" s="267">
        <f>E32/'- 3 -'!$D32*100</f>
        <v>6.4829558257616107</v>
      </c>
      <c r="G32" s="16">
        <f>E32/'- 7 -'!$E32</f>
        <v>888.72454163905456</v>
      </c>
      <c r="H32" s="16">
        <v>777218</v>
      </c>
      <c r="I32" s="267">
        <f>H32/'- 3 -'!$D32*100</f>
        <v>2.5047722347207273</v>
      </c>
      <c r="J32" s="16">
        <f>H32/'- 7 -'!$E32</f>
        <v>343.3700022089684</v>
      </c>
    </row>
    <row r="33" spans="1:10" ht="14.1" customHeight="1" x14ac:dyDescent="0.2">
      <c r="A33" s="271" t="s">
        <v>129</v>
      </c>
      <c r="B33" s="272">
        <v>1685525</v>
      </c>
      <c r="C33" s="492">
        <f>B33/'- 3 -'!$D33*100</f>
        <v>5.9095341056225461</v>
      </c>
      <c r="D33" s="495">
        <f>B33/'- 7 -'!$E33</f>
        <v>821.20584652862362</v>
      </c>
      <c r="E33" s="272">
        <v>1221950</v>
      </c>
      <c r="F33" s="273">
        <f>E33/'- 3 -'!$D33*100</f>
        <v>4.2842172025721785</v>
      </c>
      <c r="G33" s="272">
        <f>E33/'- 7 -'!$E33</f>
        <v>595.34713763702803</v>
      </c>
      <c r="H33" s="272">
        <v>456950</v>
      </c>
      <c r="I33" s="273">
        <f>H33/'- 3 -'!$D33*100</f>
        <v>1.6020893250258659</v>
      </c>
      <c r="J33" s="272">
        <f>H33/'- 7 -'!$E33</f>
        <v>222.63093788063338</v>
      </c>
    </row>
    <row r="34" spans="1:10" ht="14.1" customHeight="1" x14ac:dyDescent="0.2">
      <c r="A34" s="15" t="s">
        <v>130</v>
      </c>
      <c r="B34" s="16">
        <v>1106126</v>
      </c>
      <c r="C34" s="491">
        <f>B34/'- 3 -'!$D34*100</f>
        <v>3.5511675059598082</v>
      </c>
      <c r="D34" s="494">
        <f>B34/'- 7 -'!$E34</f>
        <v>509.89996773152626</v>
      </c>
      <c r="E34" s="16">
        <v>1614648</v>
      </c>
      <c r="F34" s="267">
        <f>E34/'- 3 -'!$D34*100</f>
        <v>5.1837543925041016</v>
      </c>
      <c r="G34" s="16">
        <f>E34/'- 7 -'!$E34</f>
        <v>744.31752178121974</v>
      </c>
      <c r="H34" s="16">
        <v>847886</v>
      </c>
      <c r="I34" s="267">
        <f>H34/'- 3 -'!$D34*100</f>
        <v>2.7220996631109271</v>
      </c>
      <c r="J34" s="16">
        <f>H34/'- 7 -'!$E34</f>
        <v>390.85695846586452</v>
      </c>
    </row>
    <row r="35" spans="1:10" ht="14.1" customHeight="1" x14ac:dyDescent="0.2">
      <c r="A35" s="271" t="s">
        <v>131</v>
      </c>
      <c r="B35" s="272">
        <v>15985068</v>
      </c>
      <c r="C35" s="492">
        <f>B35/'- 3 -'!$D35*100</f>
        <v>8.3732006776747934</v>
      </c>
      <c r="D35" s="495">
        <f>B35/'- 7 -'!$E35</f>
        <v>990.15535183349846</v>
      </c>
      <c r="E35" s="272">
        <v>9819096</v>
      </c>
      <c r="F35" s="273">
        <f>E35/'- 3 -'!$D35*100</f>
        <v>5.1433788884322453</v>
      </c>
      <c r="G35" s="272">
        <f>E35/'- 7 -'!$E35</f>
        <v>608.21952428146676</v>
      </c>
      <c r="H35" s="272">
        <v>3079399</v>
      </c>
      <c r="I35" s="273">
        <f>H35/'- 3 -'!$D35*100</f>
        <v>1.6130319741918573</v>
      </c>
      <c r="J35" s="272">
        <f>H35/'- 7 -'!$E35</f>
        <v>190.74572596630327</v>
      </c>
    </row>
    <row r="36" spans="1:10" ht="14.1" customHeight="1" x14ac:dyDescent="0.2">
      <c r="A36" s="15" t="s">
        <v>132</v>
      </c>
      <c r="B36" s="16">
        <v>831750</v>
      </c>
      <c r="C36" s="491">
        <f>B36/'- 3 -'!$D36*100</f>
        <v>3.4502426681046998</v>
      </c>
      <c r="D36" s="494">
        <f>B36/'- 7 -'!$E36</f>
        <v>488.54625550660791</v>
      </c>
      <c r="E36" s="16">
        <v>1212950</v>
      </c>
      <c r="F36" s="267">
        <f>E36/'- 3 -'!$D36*100</f>
        <v>5.0315261127473354</v>
      </c>
      <c r="G36" s="16">
        <f>E36/'- 7 -'!$E36</f>
        <v>712.45227606461083</v>
      </c>
      <c r="H36" s="16">
        <v>593720</v>
      </c>
      <c r="I36" s="267">
        <f>H36/'- 3 -'!$D36*100</f>
        <v>2.462853113203634</v>
      </c>
      <c r="J36" s="16">
        <f>H36/'- 7 -'!$E36</f>
        <v>348.73421439060206</v>
      </c>
    </row>
    <row r="37" spans="1:10" ht="14.1" customHeight="1" x14ac:dyDescent="0.2">
      <c r="A37" s="271" t="s">
        <v>133</v>
      </c>
      <c r="B37" s="272">
        <v>4210000</v>
      </c>
      <c r="C37" s="492">
        <f>B37/'- 3 -'!$D37*100</f>
        <v>7.9362685588037909</v>
      </c>
      <c r="D37" s="495">
        <f>B37/'- 7 -'!$E37</f>
        <v>987.10433763188746</v>
      </c>
      <c r="E37" s="272">
        <v>2518000</v>
      </c>
      <c r="F37" s="273">
        <f>E37/'- 3 -'!$D37*100</f>
        <v>4.7466803399211273</v>
      </c>
      <c r="G37" s="272">
        <f>E37/'- 7 -'!$E37</f>
        <v>590.38686987104336</v>
      </c>
      <c r="H37" s="272">
        <v>1505200</v>
      </c>
      <c r="I37" s="273">
        <f>H37/'- 3 -'!$D37*100</f>
        <v>2.8374516471998734</v>
      </c>
      <c r="J37" s="272">
        <f>H37/'- 7 -'!$E37</f>
        <v>352.91910902696367</v>
      </c>
    </row>
    <row r="38" spans="1:10" ht="14.1" customHeight="1" x14ac:dyDescent="0.2">
      <c r="A38" s="15" t="s">
        <v>134</v>
      </c>
      <c r="B38" s="16">
        <v>13160550</v>
      </c>
      <c r="C38" s="491">
        <f>B38/'- 3 -'!$D38*100</f>
        <v>9.0917990149765249</v>
      </c>
      <c r="D38" s="494">
        <f>B38/'- 7 -'!$E38</f>
        <v>1171.5970800320483</v>
      </c>
      <c r="E38" s="16">
        <v>5075260</v>
      </c>
      <c r="F38" s="267">
        <f>E38/'- 3 -'!$D38*100</f>
        <v>3.5061789871053834</v>
      </c>
      <c r="G38" s="16">
        <f>E38/'- 7 -'!$E38</f>
        <v>451.81696786254787</v>
      </c>
      <c r="H38" s="16">
        <v>4007340</v>
      </c>
      <c r="I38" s="267">
        <f>H38/'- 3 -'!$D38*100</f>
        <v>2.7684200025588614</v>
      </c>
      <c r="J38" s="16">
        <f>H38/'- 7 -'!$E38</f>
        <v>356.74708448321911</v>
      </c>
    </row>
    <row r="39" spans="1:10" ht="14.1" customHeight="1" x14ac:dyDescent="0.2">
      <c r="A39" s="271" t="s">
        <v>135</v>
      </c>
      <c r="B39" s="272">
        <v>1516200</v>
      </c>
      <c r="C39" s="492">
        <f>B39/'- 3 -'!$D39*100</f>
        <v>6.506673954095719</v>
      </c>
      <c r="D39" s="495">
        <f>B39/'- 7 -'!$E39</f>
        <v>1002.1150033046927</v>
      </c>
      <c r="E39" s="272">
        <v>728600</v>
      </c>
      <c r="F39" s="273">
        <f>E39/'- 3 -'!$D39*100</f>
        <v>3.1267396405184944</v>
      </c>
      <c r="G39" s="272">
        <f>E39/'- 7 -'!$E39</f>
        <v>481.55981493721083</v>
      </c>
      <c r="H39" s="272">
        <v>354100</v>
      </c>
      <c r="I39" s="273">
        <f>H39/'- 3 -'!$D39*100</f>
        <v>1.519597181866043</v>
      </c>
      <c r="J39" s="272">
        <f>H39/'- 7 -'!$E39</f>
        <v>234.03833443489756</v>
      </c>
    </row>
    <row r="40" spans="1:10" ht="14.1" customHeight="1" x14ac:dyDescent="0.2">
      <c r="A40" s="15" t="s">
        <v>136</v>
      </c>
      <c r="B40" s="16">
        <v>11744598</v>
      </c>
      <c r="C40" s="491">
        <f>B40/'- 3 -'!$D40*100</f>
        <v>10.839969784753565</v>
      </c>
      <c r="D40" s="494">
        <f>B40/'- 7 -'!$E40</f>
        <v>1406.2860563970544</v>
      </c>
      <c r="E40" s="16">
        <v>6732199</v>
      </c>
      <c r="F40" s="267">
        <f>E40/'- 3 -'!$D40*100</f>
        <v>6.2136510542930603</v>
      </c>
      <c r="G40" s="16">
        <f>E40/'- 7 -'!$E40</f>
        <v>806.10656768245224</v>
      </c>
      <c r="H40" s="16">
        <v>2564760</v>
      </c>
      <c r="I40" s="267">
        <f>H40/'- 3 -'!$D40*100</f>
        <v>2.3672092399539388</v>
      </c>
      <c r="J40" s="16">
        <f>H40/'- 7 -'!$E40</f>
        <v>307.10171825420582</v>
      </c>
    </row>
    <row r="41" spans="1:10" ht="14.1" customHeight="1" x14ac:dyDescent="0.2">
      <c r="A41" s="271" t="s">
        <v>137</v>
      </c>
      <c r="B41" s="272">
        <v>4871667</v>
      </c>
      <c r="C41" s="492">
        <f>B41/'- 3 -'!$D41*100</f>
        <v>7.493860751780983</v>
      </c>
      <c r="D41" s="495">
        <f>B41/'- 7 -'!$E41</f>
        <v>1117.6111493461804</v>
      </c>
      <c r="E41" s="272">
        <v>3542131</v>
      </c>
      <c r="F41" s="273">
        <f>E41/'- 3 -'!$D41*100</f>
        <v>5.4486968174480577</v>
      </c>
      <c r="G41" s="272">
        <f>E41/'- 7 -'!$E41</f>
        <v>812.60174351915578</v>
      </c>
      <c r="H41" s="272">
        <v>1115827</v>
      </c>
      <c r="I41" s="273">
        <f>H41/'- 3 -'!$D41*100</f>
        <v>1.7164252320771349</v>
      </c>
      <c r="J41" s="272">
        <f>H41/'- 7 -'!$E41</f>
        <v>255.98233539802706</v>
      </c>
    </row>
    <row r="42" spans="1:10" ht="14.1" customHeight="1" x14ac:dyDescent="0.2">
      <c r="A42" s="15" t="s">
        <v>138</v>
      </c>
      <c r="B42" s="16">
        <v>1700386</v>
      </c>
      <c r="C42" s="491">
        <f>B42/'- 3 -'!$D42*100</f>
        <v>7.9856752600578824</v>
      </c>
      <c r="D42" s="494">
        <f>B42/'- 7 -'!$E42</f>
        <v>1209.3783783783783</v>
      </c>
      <c r="E42" s="16">
        <v>793536</v>
      </c>
      <c r="F42" s="267">
        <f>E42/'- 3 -'!$D42*100</f>
        <v>3.72675428000777</v>
      </c>
      <c r="G42" s="16">
        <f>E42/'- 7 -'!$E42</f>
        <v>564.39260312944521</v>
      </c>
      <c r="H42" s="16">
        <v>198398</v>
      </c>
      <c r="I42" s="267">
        <f>H42/'- 3 -'!$D42*100</f>
        <v>0.93175431945744303</v>
      </c>
      <c r="J42" s="16">
        <f>H42/'- 7 -'!$E42</f>
        <v>141.1081081081081</v>
      </c>
    </row>
    <row r="43" spans="1:10" ht="14.1" customHeight="1" x14ac:dyDescent="0.2">
      <c r="A43" s="271" t="s">
        <v>139</v>
      </c>
      <c r="B43" s="272">
        <v>378585</v>
      </c>
      <c r="C43" s="492">
        <f>B43/'- 3 -'!$D43*100</f>
        <v>2.747379744216504</v>
      </c>
      <c r="D43" s="495">
        <f>B43/'- 7 -'!$E43</f>
        <v>398.72037914691941</v>
      </c>
      <c r="E43" s="272">
        <v>1420743</v>
      </c>
      <c r="F43" s="273">
        <f>E43/'- 3 -'!$D43*100</f>
        <v>10.310288415910266</v>
      </c>
      <c r="G43" s="272">
        <f>E43/'- 7 -'!$E43</f>
        <v>1496.3064770932069</v>
      </c>
      <c r="H43" s="272">
        <v>234740</v>
      </c>
      <c r="I43" s="273">
        <f>H43/'- 3 -'!$D43*100</f>
        <v>1.7035009869841176</v>
      </c>
      <c r="J43" s="272">
        <f>H43/'- 7 -'!$E43</f>
        <v>247.22485518694049</v>
      </c>
    </row>
    <row r="44" spans="1:10" ht="14.1" customHeight="1" x14ac:dyDescent="0.2">
      <c r="A44" s="15" t="s">
        <v>140</v>
      </c>
      <c r="B44" s="16">
        <v>963480</v>
      </c>
      <c r="C44" s="491">
        <f>B44/'- 3 -'!$D44*100</f>
        <v>8.5395391974315089</v>
      </c>
      <c r="D44" s="494">
        <f>B44/'- 7 -'!$E44</f>
        <v>1387.3002159827213</v>
      </c>
      <c r="E44" s="16">
        <v>536870</v>
      </c>
      <c r="F44" s="267">
        <f>E44/'- 3 -'!$D44*100</f>
        <v>4.7583991457270036</v>
      </c>
      <c r="G44" s="16">
        <f>E44/'- 7 -'!$E44</f>
        <v>773.03095752339811</v>
      </c>
      <c r="H44" s="16">
        <v>80495</v>
      </c>
      <c r="I44" s="267">
        <f>H44/'- 3 -'!$D44*100</f>
        <v>0.71344522740196914</v>
      </c>
      <c r="J44" s="16">
        <f>H44/'- 7 -'!$E44</f>
        <v>115.90352771778258</v>
      </c>
    </row>
    <row r="45" spans="1:10" ht="14.1" customHeight="1" x14ac:dyDescent="0.2">
      <c r="A45" s="271" t="s">
        <v>141</v>
      </c>
      <c r="B45" s="272">
        <v>829131</v>
      </c>
      <c r="C45" s="492">
        <f>B45/'- 3 -'!$D45*100</f>
        <v>4.0015870615009019</v>
      </c>
      <c r="D45" s="495">
        <f>B45/'- 7 -'!$E45</f>
        <v>461.14071190211348</v>
      </c>
      <c r="E45" s="272">
        <v>1002184</v>
      </c>
      <c r="F45" s="273">
        <f>E45/'- 3 -'!$D45*100</f>
        <v>4.8367827612804479</v>
      </c>
      <c r="G45" s="272">
        <f>E45/'- 7 -'!$E45</f>
        <v>557.38820912124584</v>
      </c>
      <c r="H45" s="272">
        <v>551858</v>
      </c>
      <c r="I45" s="273">
        <f>H45/'- 3 -'!$D45*100</f>
        <v>2.6634003946128715</v>
      </c>
      <c r="J45" s="272">
        <f>H45/'- 7 -'!$E45</f>
        <v>306.92880978865406</v>
      </c>
    </row>
    <row r="46" spans="1:10" ht="14.1" customHeight="1" x14ac:dyDescent="0.2">
      <c r="A46" s="15" t="s">
        <v>142</v>
      </c>
      <c r="B46" s="16">
        <v>20946900</v>
      </c>
      <c r="C46" s="491">
        <f>B46/'- 3 -'!$D46*100</f>
        <v>5.153191127671553</v>
      </c>
      <c r="D46" s="494">
        <f>B46/'- 7 -'!$E46</f>
        <v>692.34506693108574</v>
      </c>
      <c r="E46" s="16">
        <v>18893950</v>
      </c>
      <c r="F46" s="267">
        <f>E46/'- 3 -'!$D46*100</f>
        <v>4.6481405604967776</v>
      </c>
      <c r="G46" s="16">
        <f>E46/'- 7 -'!$E46</f>
        <v>624.49016691455961</v>
      </c>
      <c r="H46" s="16">
        <v>5379600</v>
      </c>
      <c r="I46" s="267">
        <f>H46/'- 3 -'!$D46*100</f>
        <v>1.3234467625482476</v>
      </c>
      <c r="J46" s="16">
        <f>H46/'- 7 -'!$E46</f>
        <v>177.80862667327713</v>
      </c>
    </row>
    <row r="47" spans="1:10" ht="5.0999999999999996" customHeight="1" x14ac:dyDescent="0.2">
      <c r="A47"/>
      <c r="B47"/>
      <c r="C47" s="499"/>
      <c r="D47" s="496"/>
      <c r="E47"/>
      <c r="F47"/>
      <c r="G47"/>
      <c r="H47" s="507"/>
      <c r="I47"/>
      <c r="J47"/>
    </row>
    <row r="48" spans="1:10" ht="14.1" customHeight="1" x14ac:dyDescent="0.2">
      <c r="A48" s="274" t="s">
        <v>143</v>
      </c>
      <c r="B48" s="275">
        <f>SUM(B11:B46)</f>
        <v>157641617</v>
      </c>
      <c r="C48" s="500">
        <f>B48/'- 3 -'!$D48*100</f>
        <v>6.5375006124178512</v>
      </c>
      <c r="D48" s="497">
        <f>B48/'- 7 -'!$E48</f>
        <v>880.31057936618731</v>
      </c>
      <c r="E48" s="275">
        <f>SUM(E11:E46)</f>
        <v>115817519</v>
      </c>
      <c r="F48" s="276">
        <f>E48/'- 3 -'!$D48*100</f>
        <v>4.803028006184535</v>
      </c>
      <c r="G48" s="275">
        <f>E48/'- 7 -'!$E48</f>
        <v>646.75425938852436</v>
      </c>
      <c r="H48" s="275">
        <f>SUM(H11:H46)</f>
        <v>49981504</v>
      </c>
      <c r="I48" s="276">
        <f>H48/'- 3 -'!$D48*100</f>
        <v>2.0727655502897133</v>
      </c>
      <c r="J48" s="275">
        <f>H48/'- 7 -'!$E48</f>
        <v>279.10933407790031</v>
      </c>
    </row>
    <row r="49" spans="1:10" ht="5.0999999999999996" customHeight="1" x14ac:dyDescent="0.2">
      <c r="A49" s="17" t="s">
        <v>1</v>
      </c>
      <c r="B49" s="18"/>
      <c r="C49" s="501"/>
      <c r="D49" s="498"/>
      <c r="E49" s="18"/>
      <c r="F49" s="266"/>
      <c r="H49" s="18"/>
      <c r="I49" s="266"/>
      <c r="J49" s="18"/>
    </row>
    <row r="50" spans="1:10" ht="14.1" customHeight="1" x14ac:dyDescent="0.2">
      <c r="A50" s="15" t="s">
        <v>144</v>
      </c>
      <c r="B50" s="16">
        <v>142400</v>
      </c>
      <c r="C50" s="491">
        <f>B50/'- 3 -'!$D50*100</f>
        <v>3.9633920624167449</v>
      </c>
      <c r="D50" s="494">
        <f>B50/'- 7 -'!$E50</f>
        <v>847.61904761904759</v>
      </c>
      <c r="E50" s="16">
        <v>70800</v>
      </c>
      <c r="F50" s="267">
        <f>E50/'- 3 -'!$D50*100</f>
        <v>1.970562907437539</v>
      </c>
      <c r="G50" s="16">
        <f>E50/'- 7 -'!$E50</f>
        <v>421.42857142857144</v>
      </c>
      <c r="H50" s="16">
        <v>55400</v>
      </c>
      <c r="I50" s="267">
        <f>H50/'- 3 -'!$D50*100</f>
        <v>1.5419376422604472</v>
      </c>
      <c r="J50" s="16">
        <f>H50/'- 7 -'!$E50</f>
        <v>329.76190476190476</v>
      </c>
    </row>
    <row r="51" spans="1:10" ht="14.1" customHeight="1" x14ac:dyDescent="0.2">
      <c r="A51" s="360" t="s">
        <v>514</v>
      </c>
      <c r="B51" s="272">
        <v>251648</v>
      </c>
      <c r="C51" s="492">
        <f>B51/'- 3 -'!$D51*100</f>
        <v>0.76594309604786659</v>
      </c>
      <c r="D51" s="495">
        <f>B51/'- 7 -'!$E51</f>
        <v>183.68467153284672</v>
      </c>
      <c r="E51" s="272">
        <v>750</v>
      </c>
      <c r="F51" s="273">
        <f>E51/'- 3 -'!$D51*100</f>
        <v>2.2827811945093936E-3</v>
      </c>
      <c r="G51" s="272">
        <f>E51/'- 7 -'!$E51</f>
        <v>0.54744525547445255</v>
      </c>
      <c r="H51" s="272">
        <v>366793</v>
      </c>
      <c r="I51" s="273">
        <f>H51/'- 3 -'!$D51*100</f>
        <v>1.1164108835702453</v>
      </c>
      <c r="J51" s="272">
        <f>H51/'- 7 -'!$E51</f>
        <v>267.73211678832115</v>
      </c>
    </row>
    <row r="52" spans="1:10" ht="50.1" customHeight="1" x14ac:dyDescent="0.2">
      <c r="A52" s="19"/>
      <c r="B52" s="19"/>
      <c r="C52" s="19"/>
      <c r="D52" s="19"/>
      <c r="E52" s="19"/>
      <c r="F52" s="19"/>
      <c r="G52" s="19"/>
      <c r="H52" s="19"/>
      <c r="I52" s="19"/>
      <c r="J52" s="19"/>
    </row>
    <row r="53" spans="1:10" ht="12" customHeight="1" x14ac:dyDescent="0.2">
      <c r="A53" s="662" t="s">
        <v>407</v>
      </c>
      <c r="B53" s="663"/>
      <c r="C53" s="663"/>
      <c r="D53" s="663"/>
      <c r="E53" s="663"/>
      <c r="F53" s="663"/>
      <c r="G53" s="663"/>
      <c r="H53" s="663"/>
      <c r="I53" s="663"/>
      <c r="J53" s="663"/>
    </row>
    <row r="54" spans="1:10" ht="12" customHeight="1" x14ac:dyDescent="0.2">
      <c r="A54" s="664"/>
      <c r="B54" s="664"/>
      <c r="C54" s="664"/>
      <c r="D54" s="664"/>
      <c r="E54" s="664"/>
      <c r="F54" s="664"/>
      <c r="G54" s="664"/>
      <c r="H54" s="664"/>
      <c r="I54" s="664"/>
      <c r="J54" s="664"/>
    </row>
    <row r="55" spans="1:10" ht="14.45" customHeight="1" x14ac:dyDescent="0.2">
      <c r="B55" s="90"/>
      <c r="C55" s="90"/>
    </row>
    <row r="56" spans="1:10" ht="14.45" customHeight="1" x14ac:dyDescent="0.2">
      <c r="B56" s="90"/>
      <c r="C56" s="90"/>
    </row>
    <row r="57" spans="1:10" ht="14.45" customHeight="1" x14ac:dyDescent="0.2"/>
    <row r="58" spans="1:10" ht="14.45" customHeight="1" x14ac:dyDescent="0.2"/>
  </sheetData>
  <mergeCells count="8">
    <mergeCell ref="A53:J54"/>
    <mergeCell ref="G8:G9"/>
    <mergeCell ref="J8:J9"/>
    <mergeCell ref="B5:J5"/>
    <mergeCell ref="B6:D7"/>
    <mergeCell ref="E6:G7"/>
    <mergeCell ref="H6:J7"/>
    <mergeCell ref="D8:D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9"/>
  <sheetViews>
    <sheetView showGridLines="0" showZeros="0" workbookViewId="0"/>
  </sheetViews>
  <sheetFormatPr defaultColWidth="15.83203125" defaultRowHeight="12" x14ac:dyDescent="0.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x14ac:dyDescent="0.2">
      <c r="A1" s="3"/>
      <c r="B1" s="4"/>
      <c r="C1" s="4"/>
      <c r="D1" s="4"/>
      <c r="E1" s="4"/>
    </row>
    <row r="2" spans="1:6" ht="15.95" customHeight="1" x14ac:dyDescent="0.2">
      <c r="A2" s="132"/>
      <c r="B2" s="5" t="str">
        <f>AEXP_BP</f>
        <v>ANALYSIS OF EXPENSE BY PROGRAM</v>
      </c>
      <c r="C2" s="6"/>
      <c r="D2" s="6"/>
      <c r="E2" s="150"/>
      <c r="F2" s="502" t="s">
        <v>538</v>
      </c>
    </row>
    <row r="3" spans="1:6" ht="15.95" customHeight="1" x14ac:dyDescent="0.2">
      <c r="A3" s="135"/>
      <c r="B3" s="7" t="str">
        <f>OPYEAR</f>
        <v>OPERATING FUND 2018/2019 BUDGET</v>
      </c>
      <c r="C3" s="8"/>
      <c r="D3" s="8"/>
      <c r="E3" s="81"/>
      <c r="F3" s="81"/>
    </row>
    <row r="4" spans="1:6" ht="15.95" customHeight="1" x14ac:dyDescent="0.2">
      <c r="B4" s="4"/>
      <c r="C4" s="4"/>
      <c r="D4" s="4"/>
      <c r="E4" s="4"/>
    </row>
    <row r="5" spans="1:6" ht="15.95" customHeight="1" x14ac:dyDescent="0.2">
      <c r="B5" s="659" t="s">
        <v>190</v>
      </c>
      <c r="C5" s="660"/>
      <c r="D5" s="660"/>
      <c r="E5" s="661"/>
    </row>
    <row r="6" spans="1:6" ht="15.95" customHeight="1" x14ac:dyDescent="0.2">
      <c r="B6" s="611" t="s">
        <v>413</v>
      </c>
      <c r="C6" s="612"/>
      <c r="D6" s="617" t="s">
        <v>71</v>
      </c>
      <c r="E6" s="604"/>
    </row>
    <row r="7" spans="1:6" ht="15.95" customHeight="1" x14ac:dyDescent="0.2">
      <c r="B7" s="613"/>
      <c r="C7" s="614"/>
      <c r="D7" s="618"/>
      <c r="E7" s="606"/>
    </row>
    <row r="8" spans="1:6" ht="15.95" customHeight="1" x14ac:dyDescent="0.2">
      <c r="A8" s="82"/>
      <c r="B8" s="138"/>
      <c r="C8" s="137"/>
      <c r="D8" s="137"/>
      <c r="E8" s="138"/>
    </row>
    <row r="9" spans="1:6" ht="15.95" customHeight="1" x14ac:dyDescent="0.2">
      <c r="A9" s="27" t="s">
        <v>37</v>
      </c>
      <c r="B9" s="89" t="s">
        <v>38</v>
      </c>
      <c r="C9" s="89" t="s">
        <v>39</v>
      </c>
      <c r="D9" s="89" t="s">
        <v>38</v>
      </c>
      <c r="E9" s="89" t="s">
        <v>39</v>
      </c>
    </row>
    <row r="10" spans="1:6" ht="5.0999999999999996" customHeight="1" x14ac:dyDescent="0.2">
      <c r="A10" s="29"/>
    </row>
    <row r="11" spans="1:6" ht="14.1" customHeight="1" x14ac:dyDescent="0.2">
      <c r="A11" s="271" t="s">
        <v>108</v>
      </c>
      <c r="B11" s="272">
        <v>0</v>
      </c>
      <c r="C11" s="273">
        <f>B11/'- 3 -'!$D11*100</f>
        <v>0</v>
      </c>
      <c r="D11" s="272">
        <v>0</v>
      </c>
      <c r="E11" s="273">
        <f>D11/'- 3 -'!$D11*100</f>
        <v>0</v>
      </c>
    </row>
    <row r="12" spans="1:6" ht="14.1" customHeight="1" x14ac:dyDescent="0.2">
      <c r="A12" s="15" t="s">
        <v>109</v>
      </c>
      <c r="B12" s="16">
        <v>144149</v>
      </c>
      <c r="C12" s="267">
        <f>B12/'- 3 -'!$D12*100</f>
        <v>0.41284425084115278</v>
      </c>
      <c r="D12" s="16">
        <v>573018</v>
      </c>
      <c r="E12" s="267">
        <f>D12/'- 3 -'!$D12*100</f>
        <v>1.6411295737639224</v>
      </c>
    </row>
    <row r="13" spans="1:6" ht="14.1" customHeight="1" x14ac:dyDescent="0.2">
      <c r="A13" s="271" t="s">
        <v>110</v>
      </c>
      <c r="B13" s="272">
        <v>0</v>
      </c>
      <c r="C13" s="273">
        <f>B13/'- 3 -'!$D13*100</f>
        <v>0</v>
      </c>
      <c r="D13" s="272">
        <v>0</v>
      </c>
      <c r="E13" s="273">
        <f>D13/'- 3 -'!$D13*100</f>
        <v>0</v>
      </c>
    </row>
    <row r="14" spans="1:6" ht="14.1" customHeight="1" x14ac:dyDescent="0.2">
      <c r="A14" s="15" t="s">
        <v>319</v>
      </c>
      <c r="B14" s="16">
        <v>111570</v>
      </c>
      <c r="C14" s="267">
        <f>B14/'- 3 -'!$D14*100</f>
        <v>0.1195475003353802</v>
      </c>
      <c r="D14" s="16">
        <v>147350</v>
      </c>
      <c r="E14" s="267">
        <f>D14/'- 3 -'!$D14*100</f>
        <v>0.15788584901333935</v>
      </c>
    </row>
    <row r="15" spans="1:6" ht="14.1" customHeight="1" x14ac:dyDescent="0.2">
      <c r="A15" s="271" t="s">
        <v>111</v>
      </c>
      <c r="B15" s="272">
        <v>0</v>
      </c>
      <c r="C15" s="273">
        <f>B15/'- 3 -'!$D15*100</f>
        <v>0</v>
      </c>
      <c r="D15" s="272">
        <v>0</v>
      </c>
      <c r="E15" s="273">
        <f>D15/'- 3 -'!$D15*100</f>
        <v>0</v>
      </c>
    </row>
    <row r="16" spans="1:6" ht="14.1" customHeight="1" x14ac:dyDescent="0.2">
      <c r="A16" s="15" t="s">
        <v>112</v>
      </c>
      <c r="B16" s="16">
        <v>23318</v>
      </c>
      <c r="C16" s="267">
        <f>B16/'- 3 -'!$D16*100</f>
        <v>0.15683941736826715</v>
      </c>
      <c r="D16" s="16">
        <v>71307</v>
      </c>
      <c r="E16" s="267">
        <f>D16/'- 3 -'!$D16*100</f>
        <v>0.47961867802894864</v>
      </c>
    </row>
    <row r="17" spans="1:5" ht="14.1" customHeight="1" x14ac:dyDescent="0.2">
      <c r="A17" s="271" t="s">
        <v>113</v>
      </c>
      <c r="B17" s="272">
        <v>0</v>
      </c>
      <c r="C17" s="273">
        <f>B17/'- 3 -'!$D17*100</f>
        <v>0</v>
      </c>
      <c r="D17" s="272">
        <v>0</v>
      </c>
      <c r="E17" s="273">
        <f>D17/'- 3 -'!$D17*100</f>
        <v>0</v>
      </c>
    </row>
    <row r="18" spans="1:5" ht="14.1" customHeight="1" x14ac:dyDescent="0.2">
      <c r="A18" s="15" t="s">
        <v>114</v>
      </c>
      <c r="B18" s="16">
        <v>234142</v>
      </c>
      <c r="C18" s="267">
        <f>B18/'- 3 -'!$D18*100</f>
        <v>0.17386018355347058</v>
      </c>
      <c r="D18" s="16">
        <v>1928096</v>
      </c>
      <c r="E18" s="267">
        <f>D18/'- 3 -'!$D18*100</f>
        <v>1.4316915566994062</v>
      </c>
    </row>
    <row r="19" spans="1:5" ht="14.1" customHeight="1" x14ac:dyDescent="0.2">
      <c r="A19" s="271" t="s">
        <v>115</v>
      </c>
      <c r="B19" s="272">
        <v>0</v>
      </c>
      <c r="C19" s="273">
        <f>B19/'- 3 -'!$D19*100</f>
        <v>0</v>
      </c>
      <c r="D19" s="272">
        <v>0</v>
      </c>
      <c r="E19" s="273">
        <f>D19/'- 3 -'!$D19*100</f>
        <v>0</v>
      </c>
    </row>
    <row r="20" spans="1:5" ht="14.1" customHeight="1" x14ac:dyDescent="0.2">
      <c r="A20" s="15" t="s">
        <v>116</v>
      </c>
      <c r="B20" s="16">
        <v>0</v>
      </c>
      <c r="C20" s="267">
        <f>B20/'- 3 -'!$D20*100</f>
        <v>0</v>
      </c>
      <c r="D20" s="16">
        <v>0</v>
      </c>
      <c r="E20" s="267">
        <f>D20/'- 3 -'!$D20*100</f>
        <v>0</v>
      </c>
    </row>
    <row r="21" spans="1:5" ht="14.1" customHeight="1" x14ac:dyDescent="0.2">
      <c r="A21" s="271" t="s">
        <v>117</v>
      </c>
      <c r="B21" s="272">
        <v>0</v>
      </c>
      <c r="C21" s="273">
        <f>B21/'- 3 -'!$D21*100</f>
        <v>0</v>
      </c>
      <c r="D21" s="272">
        <v>0</v>
      </c>
      <c r="E21" s="273">
        <f>D21/'- 3 -'!$D21*100</f>
        <v>0</v>
      </c>
    </row>
    <row r="22" spans="1:5" ht="14.1" customHeight="1" x14ac:dyDescent="0.2">
      <c r="A22" s="15" t="s">
        <v>118</v>
      </c>
      <c r="B22" s="16">
        <v>185202</v>
      </c>
      <c r="C22" s="267">
        <f>B22/'- 3 -'!$D22*100</f>
        <v>0.88686467989415196</v>
      </c>
      <c r="D22" s="16">
        <v>434443</v>
      </c>
      <c r="E22" s="267">
        <f>D22/'- 3 -'!$D22*100</f>
        <v>2.0803887221912025</v>
      </c>
    </row>
    <row r="23" spans="1:5" ht="14.1" customHeight="1" x14ac:dyDescent="0.2">
      <c r="A23" s="271" t="s">
        <v>119</v>
      </c>
      <c r="B23" s="272">
        <v>61188</v>
      </c>
      <c r="C23" s="273">
        <f>B23/'- 3 -'!$D23*100</f>
        <v>0.36056969870968514</v>
      </c>
      <c r="D23" s="272">
        <v>216502</v>
      </c>
      <c r="E23" s="273">
        <f>D23/'- 3 -'!$D23*100</f>
        <v>1.2758067089959513</v>
      </c>
    </row>
    <row r="24" spans="1:5" ht="14.1" customHeight="1" x14ac:dyDescent="0.2">
      <c r="A24" s="15" t="s">
        <v>120</v>
      </c>
      <c r="B24" s="16">
        <v>76050</v>
      </c>
      <c r="C24" s="267">
        <f>B24/'- 3 -'!$D24*100</f>
        <v>0.13018154651158131</v>
      </c>
      <c r="D24" s="16">
        <v>279415</v>
      </c>
      <c r="E24" s="267">
        <f>D24/'- 3 -'!$D24*100</f>
        <v>0.47829949794258375</v>
      </c>
    </row>
    <row r="25" spans="1:5" ht="14.1" customHeight="1" x14ac:dyDescent="0.2">
      <c r="A25" s="271" t="s">
        <v>121</v>
      </c>
      <c r="B25" s="272">
        <v>0</v>
      </c>
      <c r="C25" s="273">
        <f>B25/'- 3 -'!$D25*100</f>
        <v>0</v>
      </c>
      <c r="D25" s="272">
        <v>771897</v>
      </c>
      <c r="E25" s="273">
        <f>D25/'- 3 -'!$D25*100</f>
        <v>0.4108079013435163</v>
      </c>
    </row>
    <row r="26" spans="1:5" ht="14.1" customHeight="1" x14ac:dyDescent="0.2">
      <c r="A26" s="15" t="s">
        <v>122</v>
      </c>
      <c r="B26" s="16">
        <v>0</v>
      </c>
      <c r="C26" s="267">
        <f>B26/'- 3 -'!$D26*100</f>
        <v>0</v>
      </c>
      <c r="D26" s="16">
        <v>0</v>
      </c>
      <c r="E26" s="267">
        <f>D26/'- 3 -'!$D26*100</f>
        <v>0</v>
      </c>
    </row>
    <row r="27" spans="1:5" ht="14.1" customHeight="1" x14ac:dyDescent="0.2">
      <c r="A27" s="271" t="s">
        <v>123</v>
      </c>
      <c r="B27" s="272">
        <v>0</v>
      </c>
      <c r="C27" s="273">
        <f>B27/'- 3 -'!$D27*100</f>
        <v>0</v>
      </c>
      <c r="D27" s="272">
        <v>0</v>
      </c>
      <c r="E27" s="273">
        <f>D27/'- 3 -'!$D27*100</f>
        <v>0</v>
      </c>
    </row>
    <row r="28" spans="1:5" ht="14.1" customHeight="1" x14ac:dyDescent="0.2">
      <c r="A28" s="15" t="s">
        <v>124</v>
      </c>
      <c r="B28" s="16">
        <v>0</v>
      </c>
      <c r="C28" s="267">
        <f>B28/'- 3 -'!$D28*100</f>
        <v>0</v>
      </c>
      <c r="D28" s="16">
        <v>116751</v>
      </c>
      <c r="E28" s="267">
        <f>D28/'- 3 -'!$D28*100</f>
        <v>0.40548681652960578</v>
      </c>
    </row>
    <row r="29" spans="1:5" ht="14.1" customHeight="1" x14ac:dyDescent="0.2">
      <c r="A29" s="271" t="s">
        <v>125</v>
      </c>
      <c r="B29" s="272">
        <v>0</v>
      </c>
      <c r="C29" s="273">
        <f>B29/'- 3 -'!$D29*100</f>
        <v>0</v>
      </c>
      <c r="D29" s="272">
        <v>0</v>
      </c>
      <c r="E29" s="273">
        <f>D29/'- 3 -'!$D29*100</f>
        <v>0</v>
      </c>
    </row>
    <row r="30" spans="1:5" ht="14.1" customHeight="1" x14ac:dyDescent="0.2">
      <c r="A30" s="15" t="s">
        <v>126</v>
      </c>
      <c r="B30" s="16">
        <v>0</v>
      </c>
      <c r="C30" s="267">
        <f>B30/'- 3 -'!$D30*100</f>
        <v>0</v>
      </c>
      <c r="D30" s="16">
        <v>0</v>
      </c>
      <c r="E30" s="267">
        <f>D30/'- 3 -'!$D30*100</f>
        <v>0</v>
      </c>
    </row>
    <row r="31" spans="1:5" ht="14.1" customHeight="1" x14ac:dyDescent="0.2">
      <c r="A31" s="271" t="s">
        <v>127</v>
      </c>
      <c r="B31" s="272">
        <v>0</v>
      </c>
      <c r="C31" s="273">
        <f>B31/'- 3 -'!$D31*100</f>
        <v>0</v>
      </c>
      <c r="D31" s="272">
        <v>0</v>
      </c>
      <c r="E31" s="273">
        <f>D31/'- 3 -'!$D31*100</f>
        <v>0</v>
      </c>
    </row>
    <row r="32" spans="1:5" ht="14.1" customHeight="1" x14ac:dyDescent="0.2">
      <c r="A32" s="15" t="s">
        <v>128</v>
      </c>
      <c r="B32" s="16">
        <v>66662</v>
      </c>
      <c r="C32" s="267">
        <f>B32/'- 3 -'!$D32*100</f>
        <v>0.21483435369607129</v>
      </c>
      <c r="D32" s="16">
        <v>214257</v>
      </c>
      <c r="E32" s="267">
        <f>D32/'- 3 -'!$D32*100</f>
        <v>0.69049479643363765</v>
      </c>
    </row>
    <row r="33" spans="1:5" ht="14.1" customHeight="1" x14ac:dyDescent="0.2">
      <c r="A33" s="271" t="s">
        <v>129</v>
      </c>
      <c r="B33" s="272">
        <v>0</v>
      </c>
      <c r="C33" s="273">
        <f>B33/'- 3 -'!$D33*100</f>
        <v>0</v>
      </c>
      <c r="D33" s="272">
        <v>0</v>
      </c>
      <c r="E33" s="273">
        <f>D33/'- 3 -'!$D33*100</f>
        <v>0</v>
      </c>
    </row>
    <row r="34" spans="1:5" ht="14.1" customHeight="1" x14ac:dyDescent="0.2">
      <c r="A34" s="15" t="s">
        <v>130</v>
      </c>
      <c r="B34" s="16">
        <v>0</v>
      </c>
      <c r="C34" s="267">
        <f>B34/'- 3 -'!$D34*100</f>
        <v>0</v>
      </c>
      <c r="D34" s="16">
        <v>0</v>
      </c>
      <c r="E34" s="267">
        <f>D34/'- 3 -'!$D34*100</f>
        <v>0</v>
      </c>
    </row>
    <row r="35" spans="1:5" ht="14.1" customHeight="1" x14ac:dyDescent="0.2">
      <c r="A35" s="271" t="s">
        <v>131</v>
      </c>
      <c r="B35" s="272">
        <v>0</v>
      </c>
      <c r="C35" s="273">
        <f>B35/'- 3 -'!$D35*100</f>
        <v>0</v>
      </c>
      <c r="D35" s="272">
        <v>0</v>
      </c>
      <c r="E35" s="273">
        <f>D35/'- 3 -'!$D35*100</f>
        <v>0</v>
      </c>
    </row>
    <row r="36" spans="1:5" ht="14.1" customHeight="1" x14ac:dyDescent="0.2">
      <c r="A36" s="15" t="s">
        <v>132</v>
      </c>
      <c r="B36" s="16">
        <v>0</v>
      </c>
      <c r="C36" s="267">
        <f>B36/'- 3 -'!$D36*100</f>
        <v>0</v>
      </c>
      <c r="D36" s="16">
        <v>0</v>
      </c>
      <c r="E36" s="267">
        <f>D36/'- 3 -'!$D36*100</f>
        <v>0</v>
      </c>
    </row>
    <row r="37" spans="1:5" ht="14.1" customHeight="1" x14ac:dyDescent="0.2">
      <c r="A37" s="271" t="s">
        <v>133</v>
      </c>
      <c r="B37" s="272">
        <v>0</v>
      </c>
      <c r="C37" s="273">
        <f>B37/'- 3 -'!$D37*100</f>
        <v>0</v>
      </c>
      <c r="D37" s="272">
        <v>0</v>
      </c>
      <c r="E37" s="273">
        <f>D37/'- 3 -'!$D37*100</f>
        <v>0</v>
      </c>
    </row>
    <row r="38" spans="1:5" ht="14.1" customHeight="1" x14ac:dyDescent="0.2">
      <c r="A38" s="15" t="s">
        <v>134</v>
      </c>
      <c r="B38" s="16">
        <v>203920</v>
      </c>
      <c r="C38" s="267">
        <f>B38/'- 3 -'!$D38*100</f>
        <v>0.14087554510518274</v>
      </c>
      <c r="D38" s="16">
        <v>695110</v>
      </c>
      <c r="E38" s="267">
        <f>D38/'- 3 -'!$D38*100</f>
        <v>0.48020792545146912</v>
      </c>
    </row>
    <row r="39" spans="1:5" ht="14.1" customHeight="1" x14ac:dyDescent="0.2">
      <c r="A39" s="271" t="s">
        <v>135</v>
      </c>
      <c r="B39" s="272">
        <v>0</v>
      </c>
      <c r="C39" s="273">
        <f>B39/'- 3 -'!$D39*100</f>
        <v>0</v>
      </c>
      <c r="D39" s="272">
        <v>0</v>
      </c>
      <c r="E39" s="273">
        <f>D39/'- 3 -'!$D39*100</f>
        <v>0</v>
      </c>
    </row>
    <row r="40" spans="1:5" ht="14.1" customHeight="1" x14ac:dyDescent="0.2">
      <c r="A40" s="15" t="s">
        <v>136</v>
      </c>
      <c r="B40" s="16">
        <v>0</v>
      </c>
      <c r="C40" s="267">
        <f>B40/'- 3 -'!$D40*100</f>
        <v>0</v>
      </c>
      <c r="D40" s="16">
        <v>0</v>
      </c>
      <c r="E40" s="267">
        <f>D40/'- 3 -'!$D40*100</f>
        <v>0</v>
      </c>
    </row>
    <row r="41" spans="1:5" ht="14.1" customHeight="1" x14ac:dyDescent="0.2">
      <c r="A41" s="271" t="s">
        <v>137</v>
      </c>
      <c r="B41" s="272">
        <v>361965</v>
      </c>
      <c r="C41" s="273">
        <f>B41/'- 3 -'!$D41*100</f>
        <v>0.5567940721355551</v>
      </c>
      <c r="D41" s="272">
        <v>631155</v>
      </c>
      <c r="E41" s="273">
        <f>D41/'- 3 -'!$D41*100</f>
        <v>0.97087663889800468</v>
      </c>
    </row>
    <row r="42" spans="1:5" ht="14.1" customHeight="1" x14ac:dyDescent="0.2">
      <c r="A42" s="15" t="s">
        <v>138</v>
      </c>
      <c r="B42" s="16">
        <v>0</v>
      </c>
      <c r="C42" s="267">
        <f>B42/'- 3 -'!$D42*100</f>
        <v>0</v>
      </c>
      <c r="D42" s="16">
        <v>0</v>
      </c>
      <c r="E42" s="267">
        <f>D42/'- 3 -'!$D42*100</f>
        <v>0</v>
      </c>
    </row>
    <row r="43" spans="1:5" ht="14.1" customHeight="1" x14ac:dyDescent="0.2">
      <c r="A43" s="271" t="s">
        <v>139</v>
      </c>
      <c r="B43" s="272">
        <v>0</v>
      </c>
      <c r="C43" s="273">
        <f>B43/'- 3 -'!$D43*100</f>
        <v>0</v>
      </c>
      <c r="D43" s="272">
        <v>235437</v>
      </c>
      <c r="E43" s="273">
        <f>D43/'- 3 -'!$D43*100</f>
        <v>1.7085590946263087</v>
      </c>
    </row>
    <row r="44" spans="1:5" ht="14.1" customHeight="1" x14ac:dyDescent="0.2">
      <c r="A44" s="15" t="s">
        <v>140</v>
      </c>
      <c r="B44" s="16">
        <v>0</v>
      </c>
      <c r="C44" s="267">
        <f>B44/'- 3 -'!$D44*100</f>
        <v>0</v>
      </c>
      <c r="D44" s="16">
        <v>0</v>
      </c>
      <c r="E44" s="267">
        <f>D44/'- 3 -'!$D44*100</f>
        <v>0</v>
      </c>
    </row>
    <row r="45" spans="1:5" ht="14.1" customHeight="1" x14ac:dyDescent="0.2">
      <c r="A45" s="271" t="s">
        <v>141</v>
      </c>
      <c r="B45" s="272">
        <v>173741</v>
      </c>
      <c r="C45" s="273">
        <f>B45/'- 3 -'!$D45*100</f>
        <v>0.83851615444631555</v>
      </c>
      <c r="D45" s="272">
        <v>234264</v>
      </c>
      <c r="E45" s="273">
        <f>D45/'- 3 -'!$D45*100</f>
        <v>1.1306148140347509</v>
      </c>
    </row>
    <row r="46" spans="1:5" ht="14.1" customHeight="1" x14ac:dyDescent="0.2">
      <c r="A46" s="15" t="s">
        <v>142</v>
      </c>
      <c r="B46" s="16">
        <v>103100</v>
      </c>
      <c r="C46" s="267">
        <f>B46/'- 3 -'!$D46*100</f>
        <v>2.5363848839825325E-2</v>
      </c>
      <c r="D46" s="16">
        <v>681700</v>
      </c>
      <c r="E46" s="267">
        <f>D46/'- 3 -'!$D46*100</f>
        <v>0.16770645736284118</v>
      </c>
    </row>
    <row r="47" spans="1:5" ht="5.0999999999999996" customHeight="1" x14ac:dyDescent="0.2">
      <c r="A47"/>
      <c r="B47"/>
      <c r="C47"/>
      <c r="D47"/>
      <c r="E47"/>
    </row>
    <row r="48" spans="1:5" ht="14.1" customHeight="1" x14ac:dyDescent="0.2">
      <c r="A48" s="274" t="s">
        <v>143</v>
      </c>
      <c r="B48" s="275">
        <f>SUM(B11:B46)</f>
        <v>1745007</v>
      </c>
      <c r="C48" s="276">
        <f>B48/'- 3 -'!$D48*100</f>
        <v>7.2366577736724405E-2</v>
      </c>
      <c r="D48" s="275">
        <f>SUM(D11:D46)</f>
        <v>7230702</v>
      </c>
      <c r="E48" s="276">
        <f>D48/'- 3 -'!$D48*100</f>
        <v>0.29986192512356036</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0</v>
      </c>
      <c r="E50" s="267">
        <f>D50/'- 3 -'!$D50*100</f>
        <v>0</v>
      </c>
    </row>
    <row r="51" spans="1:5" ht="14.1" customHeight="1" x14ac:dyDescent="0.2">
      <c r="A51" s="360" t="s">
        <v>514</v>
      </c>
      <c r="B51" s="272">
        <v>913890</v>
      </c>
      <c r="C51" s="273">
        <f>B51/'- 3 -'!$D51*100</f>
        <v>2.7816145411335866</v>
      </c>
      <c r="D51" s="272">
        <v>1889777</v>
      </c>
      <c r="E51" s="273">
        <f>D51/'- 3 -'!$D51*100</f>
        <v>5.7519298632218385</v>
      </c>
    </row>
    <row r="52" spans="1:5" ht="50.1" customHeight="1" x14ac:dyDescent="0.2"/>
    <row r="53" spans="1:5" ht="15" customHeight="1" x14ac:dyDescent="0.2">
      <c r="A53" s="131"/>
    </row>
    <row r="54" spans="1:5" ht="14.45" customHeight="1" x14ac:dyDescent="0.2"/>
    <row r="55" spans="1:5" ht="14.45" customHeight="1" x14ac:dyDescent="0.2"/>
    <row r="56" spans="1:5" ht="14.45" customHeight="1" x14ac:dyDescent="0.2"/>
    <row r="57" spans="1:5" ht="14.45" customHeight="1" x14ac:dyDescent="0.2"/>
    <row r="58" spans="1:5" ht="14.45" customHeight="1" x14ac:dyDescent="0.2">
      <c r="A58" s="20"/>
    </row>
    <row r="59" spans="1:5" ht="14.45" customHeight="1" x14ac:dyDescent="0.2"/>
  </sheetData>
  <mergeCells count="3">
    <mergeCell ref="B6:C7"/>
    <mergeCell ref="B5:E5"/>
    <mergeCell ref="D6:E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BC65536"/>
  <sheetViews>
    <sheetView showGridLines="0" showZeros="0" workbookViewId="0"/>
  </sheetViews>
  <sheetFormatPr defaultColWidth="15.83203125" defaultRowHeight="12" x14ac:dyDescent="0.2"/>
  <cols>
    <col min="1" max="1" width="32.83203125" style="1" customWidth="1"/>
    <col min="2" max="2" width="18.83203125" style="1" customWidth="1"/>
    <col min="3" max="3" width="19.83203125" style="1" customWidth="1"/>
    <col min="4" max="4" width="20.6640625" style="1" customWidth="1"/>
    <col min="5" max="5" width="19.83203125" style="1" customWidth="1"/>
    <col min="6" max="6" width="20.83203125" style="1" customWidth="1"/>
    <col min="7" max="16384" width="15.83203125" style="1"/>
  </cols>
  <sheetData>
    <row r="1" spans="1:55" ht="6.95" customHeight="1" x14ac:dyDescent="0.2">
      <c r="A1" s="3"/>
      <c r="B1" s="4"/>
      <c r="C1" s="4"/>
      <c r="D1" s="4"/>
      <c r="E1" s="4"/>
      <c r="F1" s="4"/>
      <c r="BA1" s="164"/>
      <c r="BB1" s="164"/>
      <c r="BC1" s="164"/>
    </row>
    <row r="2" spans="1:55" ht="15.95" customHeight="1" x14ac:dyDescent="0.2">
      <c r="A2" s="5" t="str">
        <f>IF(Lang=1,BA2,BB2)</f>
        <v>RECONCILIATION  OF  EXPENSES</v>
      </c>
      <c r="B2" s="6"/>
      <c r="C2" s="6"/>
      <c r="D2" s="6"/>
      <c r="E2" s="6"/>
      <c r="F2" s="6"/>
      <c r="BA2" s="457" t="s">
        <v>254</v>
      </c>
      <c r="BB2" s="458" t="s">
        <v>369</v>
      </c>
      <c r="BC2" s="164"/>
    </row>
    <row r="3" spans="1:55" ht="15.95" customHeight="1" x14ac:dyDescent="0.2">
      <c r="A3" s="7" t="str">
        <f>IF(Lang=1,BA3,BB3)</f>
        <v>OPERATING FUND 2018/2019 BUDGET</v>
      </c>
      <c r="B3" s="8"/>
      <c r="C3" s="9"/>
      <c r="D3" s="8"/>
      <c r="E3" s="8"/>
      <c r="F3" s="8"/>
      <c r="BA3" s="458" t="str">
        <f>"OPERATING FUND "&amp;YEAR&amp;"/"&amp;YEAR+1&amp;" BUDGET"</f>
        <v>OPERATING FUND 2018/2019 BUDGET</v>
      </c>
      <c r="BB3" s="458" t="str">
        <f>"FONDS DE FONCTIONNEMENT – BUDGET "&amp;YEAR&amp;" - "&amp;YEAR+1</f>
        <v>FONDS DE FONCTIONNEMENT – BUDGET 2018 - 2019</v>
      </c>
      <c r="BC3" s="164"/>
    </row>
    <row r="4" spans="1:55" ht="15.95" customHeight="1" x14ac:dyDescent="0.2">
      <c r="B4" s="4"/>
      <c r="C4" s="4"/>
      <c r="D4" s="4"/>
      <c r="E4" s="4"/>
      <c r="F4" s="4"/>
      <c r="BA4" s="164"/>
      <c r="BB4" s="164"/>
      <c r="BC4" s="164"/>
    </row>
    <row r="5" spans="1:55" ht="15.95" customHeight="1" x14ac:dyDescent="0.2">
      <c r="B5" s="4"/>
      <c r="C5" s="4"/>
      <c r="D5" s="4"/>
      <c r="E5" s="4"/>
      <c r="F5" s="4"/>
      <c r="BA5" s="164"/>
      <c r="BB5" s="164"/>
      <c r="BC5" s="164"/>
    </row>
    <row r="6" spans="1:55" ht="15.95" customHeight="1" x14ac:dyDescent="0.2">
      <c r="B6" s="10"/>
      <c r="C6" s="529" t="s">
        <v>364</v>
      </c>
      <c r="D6" s="532" t="s">
        <v>365</v>
      </c>
      <c r="E6" s="529" t="s">
        <v>366</v>
      </c>
      <c r="F6" s="529" t="s">
        <v>367</v>
      </c>
      <c r="BA6" s="164"/>
      <c r="BB6" s="164"/>
      <c r="BC6" s="164"/>
    </row>
    <row r="7" spans="1:55" ht="15.95" customHeight="1" x14ac:dyDescent="0.2">
      <c r="B7" s="10"/>
      <c r="C7" s="530"/>
      <c r="D7" s="533"/>
      <c r="E7" s="530"/>
      <c r="F7" s="530"/>
    </row>
    <row r="8" spans="1:55" ht="15.95" customHeight="1" x14ac:dyDescent="0.2">
      <c r="A8" s="12"/>
      <c r="B8" s="535" t="s">
        <v>368</v>
      </c>
      <c r="C8" s="530"/>
      <c r="D8" s="533"/>
      <c r="E8" s="530"/>
      <c r="F8" s="530"/>
    </row>
    <row r="9" spans="1:55" x14ac:dyDescent="0.2">
      <c r="A9" s="13" t="s">
        <v>37</v>
      </c>
      <c r="B9" s="536"/>
      <c r="C9" s="531"/>
      <c r="D9" s="534"/>
      <c r="E9" s="531"/>
      <c r="F9" s="531"/>
    </row>
    <row r="10" spans="1:55" ht="5.0999999999999996" customHeight="1" x14ac:dyDescent="0.2">
      <c r="A10" s="14"/>
    </row>
    <row r="11" spans="1:55" ht="14.1" customHeight="1" x14ac:dyDescent="0.2">
      <c r="A11" s="271" t="s">
        <v>108</v>
      </c>
      <c r="B11" s="272">
        <v>20444147</v>
      </c>
      <c r="C11" s="272">
        <f>-Data!L11</f>
        <v>-92075</v>
      </c>
      <c r="D11" s="272">
        <f>B11+C11</f>
        <v>20352072</v>
      </c>
      <c r="E11" s="272">
        <f>-'- 15 -'!H11-'- 16 -'!B11</f>
        <v>-21590</v>
      </c>
      <c r="F11" s="272">
        <f>D11+E11</f>
        <v>20330482</v>
      </c>
    </row>
    <row r="12" spans="1:55" ht="14.1" customHeight="1" x14ac:dyDescent="0.2">
      <c r="A12" s="15" t="s">
        <v>109</v>
      </c>
      <c r="B12" s="16">
        <v>35366073</v>
      </c>
      <c r="C12" s="16">
        <f>-Data!L12</f>
        <v>-450000</v>
      </c>
      <c r="D12" s="16">
        <f t="shared" ref="D12:D46" si="0">B12+C12</f>
        <v>34916073</v>
      </c>
      <c r="E12" s="16">
        <f>-'- 15 -'!H12-'- 16 -'!B12</f>
        <v>-767486</v>
      </c>
      <c r="F12" s="16">
        <f t="shared" ref="F12:F46" si="1">D12+E12</f>
        <v>34148587</v>
      </c>
    </row>
    <row r="13" spans="1:55" ht="14.1" customHeight="1" x14ac:dyDescent="0.2">
      <c r="A13" s="271" t="s">
        <v>110</v>
      </c>
      <c r="B13" s="272">
        <v>104241300</v>
      </c>
      <c r="C13" s="272">
        <f>-Data!L13</f>
        <v>-127100</v>
      </c>
      <c r="D13" s="272">
        <f t="shared" si="0"/>
        <v>104114200</v>
      </c>
      <c r="E13" s="272">
        <f>-'- 15 -'!H13-'- 16 -'!B13</f>
        <v>-364300</v>
      </c>
      <c r="F13" s="272">
        <f t="shared" si="1"/>
        <v>103749900</v>
      </c>
    </row>
    <row r="14" spans="1:55" ht="14.1" customHeight="1" x14ac:dyDescent="0.2">
      <c r="A14" s="15" t="s">
        <v>319</v>
      </c>
      <c r="B14" s="16">
        <v>94658894</v>
      </c>
      <c r="C14" s="16">
        <f>-Data!L14</f>
        <v>-1331974</v>
      </c>
      <c r="D14" s="16">
        <f t="shared" si="0"/>
        <v>93326920</v>
      </c>
      <c r="E14" s="16">
        <f>-'- 15 -'!H14-'- 16 -'!B14</f>
        <v>-1911765</v>
      </c>
      <c r="F14" s="16">
        <f t="shared" si="1"/>
        <v>91415155</v>
      </c>
    </row>
    <row r="15" spans="1:55" ht="14.1" customHeight="1" x14ac:dyDescent="0.2">
      <c r="A15" s="271" t="s">
        <v>111</v>
      </c>
      <c r="B15" s="272">
        <v>20865777</v>
      </c>
      <c r="C15" s="272">
        <f>-Data!L15</f>
        <v>-85500</v>
      </c>
      <c r="D15" s="272">
        <f t="shared" si="0"/>
        <v>20780277</v>
      </c>
      <c r="E15" s="272">
        <f>-'- 15 -'!H15-'- 16 -'!B15</f>
        <v>-78470</v>
      </c>
      <c r="F15" s="272">
        <f t="shared" si="1"/>
        <v>20701807</v>
      </c>
    </row>
    <row r="16" spans="1:55" ht="14.1" customHeight="1" x14ac:dyDescent="0.2">
      <c r="A16" s="15" t="s">
        <v>112</v>
      </c>
      <c r="B16" s="16">
        <v>14867436</v>
      </c>
      <c r="C16" s="16">
        <f>-Data!L16</f>
        <v>0</v>
      </c>
      <c r="D16" s="16">
        <f t="shared" si="0"/>
        <v>14867436</v>
      </c>
      <c r="E16" s="16">
        <f>-'- 15 -'!H16-'- 16 -'!B16</f>
        <v>-103465</v>
      </c>
      <c r="F16" s="16">
        <f t="shared" si="1"/>
        <v>14763971</v>
      </c>
    </row>
    <row r="17" spans="1:6" ht="14.1" customHeight="1" x14ac:dyDescent="0.2">
      <c r="A17" s="271" t="s">
        <v>113</v>
      </c>
      <c r="B17" s="272">
        <v>18771832</v>
      </c>
      <c r="C17" s="272">
        <f>-Data!L17</f>
        <v>-71050</v>
      </c>
      <c r="D17" s="272">
        <f t="shared" si="0"/>
        <v>18700782</v>
      </c>
      <c r="E17" s="272">
        <f>-'- 15 -'!H17-'- 16 -'!B17</f>
        <v>-287540</v>
      </c>
      <c r="F17" s="272">
        <f t="shared" si="1"/>
        <v>18413242</v>
      </c>
    </row>
    <row r="18" spans="1:6" ht="14.1" customHeight="1" x14ac:dyDescent="0.2">
      <c r="A18" s="15" t="s">
        <v>114</v>
      </c>
      <c r="B18" s="16">
        <v>139624526</v>
      </c>
      <c r="C18" s="16">
        <f>-Data!L18</f>
        <v>-4951943</v>
      </c>
      <c r="D18" s="16">
        <f t="shared" si="0"/>
        <v>134672583</v>
      </c>
      <c r="E18" s="16">
        <f>-'- 15 -'!H18-'- 16 -'!B18</f>
        <v>-4515827</v>
      </c>
      <c r="F18" s="16">
        <f t="shared" si="1"/>
        <v>130156756</v>
      </c>
    </row>
    <row r="19" spans="1:6" ht="14.1" customHeight="1" x14ac:dyDescent="0.2">
      <c r="A19" s="271" t="s">
        <v>115</v>
      </c>
      <c r="B19" s="272">
        <v>50783600</v>
      </c>
      <c r="C19" s="272">
        <f>-Data!L19</f>
        <v>-462000</v>
      </c>
      <c r="D19" s="272">
        <f t="shared" si="0"/>
        <v>50321600</v>
      </c>
      <c r="E19" s="272">
        <f>-'- 15 -'!H19-'- 16 -'!B19</f>
        <v>-84300</v>
      </c>
      <c r="F19" s="272">
        <f t="shared" si="1"/>
        <v>50237300</v>
      </c>
    </row>
    <row r="20" spans="1:6" ht="14.1" customHeight="1" x14ac:dyDescent="0.2">
      <c r="A20" s="15" t="s">
        <v>116</v>
      </c>
      <c r="B20" s="16">
        <v>89171100</v>
      </c>
      <c r="C20" s="16">
        <f>-Data!L20</f>
        <v>-1918800</v>
      </c>
      <c r="D20" s="16">
        <f t="shared" si="0"/>
        <v>87252300</v>
      </c>
      <c r="E20" s="16">
        <f>-'- 15 -'!H20-'- 16 -'!B20</f>
        <v>-162500</v>
      </c>
      <c r="F20" s="16">
        <f t="shared" si="1"/>
        <v>87089800</v>
      </c>
    </row>
    <row r="21" spans="1:6" ht="14.1" customHeight="1" x14ac:dyDescent="0.2">
      <c r="A21" s="271" t="s">
        <v>117</v>
      </c>
      <c r="B21" s="272">
        <v>37895320</v>
      </c>
      <c r="C21" s="272">
        <f>-Data!L21</f>
        <v>-335700</v>
      </c>
      <c r="D21" s="272">
        <f t="shared" si="0"/>
        <v>37559620</v>
      </c>
      <c r="E21" s="272">
        <f>-'- 15 -'!H21-'- 16 -'!B21</f>
        <v>-293000</v>
      </c>
      <c r="F21" s="272">
        <f t="shared" si="1"/>
        <v>37266620</v>
      </c>
    </row>
    <row r="22" spans="1:6" ht="14.1" customHeight="1" x14ac:dyDescent="0.2">
      <c r="A22" s="15" t="s">
        <v>118</v>
      </c>
      <c r="B22" s="16">
        <v>20903280</v>
      </c>
      <c r="C22" s="16">
        <f>-Data!L22</f>
        <v>-20500</v>
      </c>
      <c r="D22" s="16">
        <f t="shared" si="0"/>
        <v>20882780</v>
      </c>
      <c r="E22" s="16">
        <f>-'- 15 -'!H22-'- 16 -'!B22</f>
        <v>-702495</v>
      </c>
      <c r="F22" s="16">
        <f t="shared" si="1"/>
        <v>20180285</v>
      </c>
    </row>
    <row r="23" spans="1:6" ht="14.1" customHeight="1" x14ac:dyDescent="0.2">
      <c r="A23" s="271" t="s">
        <v>119</v>
      </c>
      <c r="B23" s="272">
        <v>17045512</v>
      </c>
      <c r="C23" s="272">
        <f>-Data!L23</f>
        <v>-75700</v>
      </c>
      <c r="D23" s="272">
        <f t="shared" si="0"/>
        <v>16969812</v>
      </c>
      <c r="E23" s="272">
        <f>-'- 15 -'!H23-'- 16 -'!B23</f>
        <v>-554690</v>
      </c>
      <c r="F23" s="272">
        <f t="shared" si="1"/>
        <v>16415122</v>
      </c>
    </row>
    <row r="24" spans="1:6" ht="14.1" customHeight="1" x14ac:dyDescent="0.2">
      <c r="A24" s="15" t="s">
        <v>120</v>
      </c>
      <c r="B24" s="16">
        <v>58604418</v>
      </c>
      <c r="C24" s="16">
        <f>-Data!L24</f>
        <v>-186000</v>
      </c>
      <c r="D24" s="16">
        <f t="shared" si="0"/>
        <v>58418418</v>
      </c>
      <c r="E24" s="16">
        <f>-'- 15 -'!H24-'- 16 -'!B24</f>
        <v>-778295</v>
      </c>
      <c r="F24" s="16">
        <f t="shared" si="1"/>
        <v>57640123</v>
      </c>
    </row>
    <row r="25" spans="1:6" ht="14.1" customHeight="1" x14ac:dyDescent="0.2">
      <c r="A25" s="271" t="s">
        <v>121</v>
      </c>
      <c r="B25" s="272">
        <v>188729811</v>
      </c>
      <c r="C25" s="272">
        <f>-Data!L25</f>
        <v>-832500</v>
      </c>
      <c r="D25" s="272">
        <f t="shared" si="0"/>
        <v>187897311</v>
      </c>
      <c r="E25" s="272">
        <f>-'- 15 -'!H25-'- 16 -'!B25</f>
        <v>-2882743</v>
      </c>
      <c r="F25" s="272">
        <f t="shared" si="1"/>
        <v>185014568</v>
      </c>
    </row>
    <row r="26" spans="1:6" ht="14.1" customHeight="1" x14ac:dyDescent="0.2">
      <c r="A26" s="15" t="s">
        <v>122</v>
      </c>
      <c r="B26" s="16">
        <v>41028591</v>
      </c>
      <c r="C26" s="16">
        <f>-Data!L26</f>
        <v>-6000</v>
      </c>
      <c r="D26" s="16">
        <f t="shared" si="0"/>
        <v>41022591</v>
      </c>
      <c r="E26" s="16">
        <f>-'- 15 -'!H26-'- 16 -'!B26</f>
        <v>-99500</v>
      </c>
      <c r="F26" s="16">
        <f t="shared" si="1"/>
        <v>40923091</v>
      </c>
    </row>
    <row r="27" spans="1:6" ht="14.1" customHeight="1" x14ac:dyDescent="0.2">
      <c r="A27" s="271" t="s">
        <v>123</v>
      </c>
      <c r="B27" s="272">
        <v>42734725</v>
      </c>
      <c r="C27" s="272">
        <f>-Data!L27</f>
        <v>-10300</v>
      </c>
      <c r="D27" s="272">
        <f t="shared" si="0"/>
        <v>42724425</v>
      </c>
      <c r="E27" s="272">
        <f>-'- 15 -'!H27-'- 16 -'!B27</f>
        <v>-57508</v>
      </c>
      <c r="F27" s="272">
        <f t="shared" si="1"/>
        <v>42666917</v>
      </c>
    </row>
    <row r="28" spans="1:6" ht="14.1" customHeight="1" x14ac:dyDescent="0.2">
      <c r="A28" s="15" t="s">
        <v>124</v>
      </c>
      <c r="B28" s="16">
        <v>28927798</v>
      </c>
      <c r="C28" s="16">
        <f>-Data!L28</f>
        <v>-135000</v>
      </c>
      <c r="D28" s="16">
        <f t="shared" si="0"/>
        <v>28792798</v>
      </c>
      <c r="E28" s="16">
        <f>-'- 15 -'!H28-'- 16 -'!B28</f>
        <v>-225382</v>
      </c>
      <c r="F28" s="16">
        <f t="shared" si="1"/>
        <v>28567416</v>
      </c>
    </row>
    <row r="29" spans="1:6" ht="14.1" customHeight="1" x14ac:dyDescent="0.2">
      <c r="A29" s="271" t="s">
        <v>125</v>
      </c>
      <c r="B29" s="272">
        <v>171861662</v>
      </c>
      <c r="C29" s="272">
        <f>-Data!L29</f>
        <v>-2009500</v>
      </c>
      <c r="D29" s="272">
        <f t="shared" si="0"/>
        <v>169852162</v>
      </c>
      <c r="E29" s="272">
        <f>-'- 15 -'!H29-'- 16 -'!B29</f>
        <v>-600538</v>
      </c>
      <c r="F29" s="272">
        <f t="shared" si="1"/>
        <v>169251624</v>
      </c>
    </row>
    <row r="30" spans="1:6" ht="14.1" customHeight="1" x14ac:dyDescent="0.2">
      <c r="A30" s="15" t="s">
        <v>126</v>
      </c>
      <c r="B30" s="16">
        <v>15310754</v>
      </c>
      <c r="C30" s="16">
        <f>-Data!L30</f>
        <v>-32661</v>
      </c>
      <c r="D30" s="16">
        <f t="shared" si="0"/>
        <v>15278093</v>
      </c>
      <c r="E30" s="16">
        <f>-'- 15 -'!H30-'- 16 -'!B30</f>
        <v>-15300</v>
      </c>
      <c r="F30" s="16">
        <f t="shared" si="1"/>
        <v>15262793</v>
      </c>
    </row>
    <row r="31" spans="1:6" ht="14.1" customHeight="1" x14ac:dyDescent="0.2">
      <c r="A31" s="271" t="s">
        <v>127</v>
      </c>
      <c r="B31" s="272">
        <v>38954942</v>
      </c>
      <c r="C31" s="272">
        <f>-Data!L31</f>
        <v>-43000</v>
      </c>
      <c r="D31" s="272">
        <f t="shared" si="0"/>
        <v>38911942</v>
      </c>
      <c r="E31" s="272">
        <f>-'- 15 -'!H31-'- 16 -'!B31</f>
        <v>-60944</v>
      </c>
      <c r="F31" s="272">
        <f t="shared" si="1"/>
        <v>38850998</v>
      </c>
    </row>
    <row r="32" spans="1:6" ht="14.1" customHeight="1" x14ac:dyDescent="0.2">
      <c r="A32" s="15" t="s">
        <v>128</v>
      </c>
      <c r="B32" s="16">
        <v>31264588</v>
      </c>
      <c r="C32" s="16">
        <f>-Data!L32</f>
        <v>-235100</v>
      </c>
      <c r="D32" s="16">
        <f t="shared" si="0"/>
        <v>31029488</v>
      </c>
      <c r="E32" s="16">
        <f>-'- 15 -'!H32-'- 16 -'!B32</f>
        <v>-315462</v>
      </c>
      <c r="F32" s="16">
        <f t="shared" si="1"/>
        <v>30714026</v>
      </c>
    </row>
    <row r="33" spans="1:7" ht="14.1" customHeight="1" x14ac:dyDescent="0.2">
      <c r="A33" s="271" t="s">
        <v>129</v>
      </c>
      <c r="B33" s="272">
        <v>28619130</v>
      </c>
      <c r="C33" s="272">
        <f>-Data!L33</f>
        <v>-97000</v>
      </c>
      <c r="D33" s="272">
        <f t="shared" si="0"/>
        <v>28522130</v>
      </c>
      <c r="E33" s="272">
        <f>-'- 15 -'!H33-'- 16 -'!B33</f>
        <v>-28394</v>
      </c>
      <c r="F33" s="272">
        <f t="shared" si="1"/>
        <v>28493736</v>
      </c>
    </row>
    <row r="34" spans="1:7" ht="14.1" customHeight="1" x14ac:dyDescent="0.2">
      <c r="A34" s="15" t="s">
        <v>130</v>
      </c>
      <c r="B34" s="16">
        <v>31601578</v>
      </c>
      <c r="C34" s="16">
        <f>-Data!L34</f>
        <v>-453343</v>
      </c>
      <c r="D34" s="16">
        <f t="shared" si="0"/>
        <v>31148235</v>
      </c>
      <c r="E34" s="16">
        <f>-'- 15 -'!H34-'- 16 -'!B34</f>
        <v>-62057</v>
      </c>
      <c r="F34" s="16">
        <f t="shared" si="1"/>
        <v>31086178</v>
      </c>
    </row>
    <row r="35" spans="1:7" ht="14.1" customHeight="1" x14ac:dyDescent="0.2">
      <c r="A35" s="271" t="s">
        <v>131</v>
      </c>
      <c r="B35" s="272">
        <v>190966299</v>
      </c>
      <c r="C35" s="272">
        <f>-Data!L35</f>
        <v>-58800</v>
      </c>
      <c r="D35" s="272">
        <f t="shared" si="0"/>
        <v>190907499</v>
      </c>
      <c r="E35" s="272">
        <f>-'- 15 -'!H35-'- 16 -'!B35</f>
        <v>-597790</v>
      </c>
      <c r="F35" s="272">
        <f t="shared" si="1"/>
        <v>190309709</v>
      </c>
    </row>
    <row r="36" spans="1:7" ht="14.1" customHeight="1" x14ac:dyDescent="0.2">
      <c r="A36" s="15" t="s">
        <v>132</v>
      </c>
      <c r="B36" s="16">
        <v>24487000</v>
      </c>
      <c r="C36" s="16">
        <f>-Data!L36</f>
        <v>-380000</v>
      </c>
      <c r="D36" s="16">
        <f t="shared" si="0"/>
        <v>24107000</v>
      </c>
      <c r="E36" s="16">
        <f>-'- 15 -'!H36-'- 16 -'!B36</f>
        <v>-32070</v>
      </c>
      <c r="F36" s="16">
        <f t="shared" si="1"/>
        <v>24074930</v>
      </c>
    </row>
    <row r="37" spans="1:7" ht="14.1" customHeight="1" x14ac:dyDescent="0.2">
      <c r="A37" s="271" t="s">
        <v>133</v>
      </c>
      <c r="B37" s="272">
        <v>53498000</v>
      </c>
      <c r="C37" s="272">
        <f>-Data!L37</f>
        <v>-450400</v>
      </c>
      <c r="D37" s="272">
        <f t="shared" si="0"/>
        <v>53047600</v>
      </c>
      <c r="E37" s="272">
        <f>-'- 15 -'!H37-'- 16 -'!B37</f>
        <v>-365424</v>
      </c>
      <c r="F37" s="272">
        <f t="shared" si="1"/>
        <v>52682176</v>
      </c>
    </row>
    <row r="38" spans="1:7" ht="14.1" customHeight="1" x14ac:dyDescent="0.2">
      <c r="A38" s="15" t="s">
        <v>134</v>
      </c>
      <c r="B38" s="16">
        <v>145994330</v>
      </c>
      <c r="C38" s="16">
        <f>-Data!L38</f>
        <v>-1242450</v>
      </c>
      <c r="D38" s="16">
        <f t="shared" si="0"/>
        <v>144751880</v>
      </c>
      <c r="E38" s="16">
        <f>-'- 15 -'!H38-'- 16 -'!B38</f>
        <v>-2929790</v>
      </c>
      <c r="F38" s="16">
        <f t="shared" si="1"/>
        <v>141822090</v>
      </c>
    </row>
    <row r="39" spans="1:7" ht="14.1" customHeight="1" x14ac:dyDescent="0.2">
      <c r="A39" s="271" t="s">
        <v>135</v>
      </c>
      <c r="B39" s="272">
        <v>23562228</v>
      </c>
      <c r="C39" s="272">
        <f>-Data!L39</f>
        <v>-260000</v>
      </c>
      <c r="D39" s="272">
        <f t="shared" si="0"/>
        <v>23302228</v>
      </c>
      <c r="E39" s="272">
        <f>-'- 15 -'!H39-'- 16 -'!B39</f>
        <v>-159400</v>
      </c>
      <c r="F39" s="272">
        <f t="shared" si="1"/>
        <v>23142828</v>
      </c>
    </row>
    <row r="40" spans="1:7" ht="14.1" customHeight="1" x14ac:dyDescent="0.2">
      <c r="A40" s="15" t="s">
        <v>136</v>
      </c>
      <c r="B40" s="16">
        <v>108772302</v>
      </c>
      <c r="C40" s="16">
        <f>-Data!L40</f>
        <v>-427000</v>
      </c>
      <c r="D40" s="16">
        <f t="shared" si="0"/>
        <v>108345302</v>
      </c>
      <c r="E40" s="16">
        <f>-'- 15 -'!H40-'- 16 -'!B40</f>
        <v>-937773</v>
      </c>
      <c r="F40" s="16">
        <f t="shared" si="1"/>
        <v>107407529</v>
      </c>
    </row>
    <row r="41" spans="1:7" ht="14.1" customHeight="1" x14ac:dyDescent="0.2">
      <c r="A41" s="271" t="s">
        <v>137</v>
      </c>
      <c r="B41" s="272">
        <v>65822774</v>
      </c>
      <c r="C41" s="272">
        <f>-Data!L41</f>
        <v>-814000</v>
      </c>
      <c r="D41" s="272">
        <f t="shared" si="0"/>
        <v>65008774</v>
      </c>
      <c r="E41" s="272">
        <f>-'- 15 -'!H41-'- 16 -'!B41</f>
        <v>-1294034</v>
      </c>
      <c r="F41" s="272">
        <f t="shared" si="1"/>
        <v>63714740</v>
      </c>
    </row>
    <row r="42" spans="1:7" ht="14.1" customHeight="1" x14ac:dyDescent="0.2">
      <c r="A42" s="15" t="s">
        <v>138</v>
      </c>
      <c r="B42" s="16">
        <v>21355552</v>
      </c>
      <c r="C42" s="16">
        <f>-Data!L42</f>
        <v>-62600</v>
      </c>
      <c r="D42" s="16">
        <f t="shared" si="0"/>
        <v>21292952</v>
      </c>
      <c r="E42" s="16">
        <f>-'- 15 -'!H42-'- 16 -'!B42</f>
        <v>-65485</v>
      </c>
      <c r="F42" s="16">
        <f t="shared" si="1"/>
        <v>21227467</v>
      </c>
    </row>
    <row r="43" spans="1:7" ht="14.1" customHeight="1" x14ac:dyDescent="0.2">
      <c r="A43" s="271" t="s">
        <v>139</v>
      </c>
      <c r="B43" s="272">
        <v>13805857</v>
      </c>
      <c r="C43" s="272">
        <f>-Data!L43</f>
        <v>-26000</v>
      </c>
      <c r="D43" s="272">
        <f t="shared" si="0"/>
        <v>13779857</v>
      </c>
      <c r="E43" s="272">
        <f>-'- 15 -'!H43-'- 16 -'!B43</f>
        <v>-248029</v>
      </c>
      <c r="F43" s="272">
        <f t="shared" si="1"/>
        <v>13531828</v>
      </c>
    </row>
    <row r="44" spans="1:7" ht="14.1" customHeight="1" x14ac:dyDescent="0.2">
      <c r="A44" s="15" t="s">
        <v>140</v>
      </c>
      <c r="B44" s="16">
        <v>11466012</v>
      </c>
      <c r="C44" s="16">
        <f>-Data!L44</f>
        <v>-183436</v>
      </c>
      <c r="D44" s="16">
        <f t="shared" si="0"/>
        <v>11282576</v>
      </c>
      <c r="E44" s="16">
        <f>-'- 15 -'!H44-'- 16 -'!B44</f>
        <v>-18500</v>
      </c>
      <c r="F44" s="16">
        <f t="shared" si="1"/>
        <v>11264076</v>
      </c>
    </row>
    <row r="45" spans="1:7" ht="14.1" customHeight="1" x14ac:dyDescent="0.2">
      <c r="A45" s="271" t="s">
        <v>141</v>
      </c>
      <c r="B45" s="272">
        <v>20982804</v>
      </c>
      <c r="C45" s="272">
        <f>-Data!L45</f>
        <v>-262750</v>
      </c>
      <c r="D45" s="272">
        <f t="shared" si="0"/>
        <v>20720054</v>
      </c>
      <c r="E45" s="272">
        <f>-'- 15 -'!H45-'- 16 -'!B45</f>
        <v>-456447</v>
      </c>
      <c r="F45" s="272">
        <f t="shared" si="1"/>
        <v>20263607</v>
      </c>
    </row>
    <row r="46" spans="1:7" ht="14.1" customHeight="1" x14ac:dyDescent="0.2">
      <c r="A46" s="15" t="s">
        <v>142</v>
      </c>
      <c r="B46" s="16">
        <v>408898200</v>
      </c>
      <c r="C46" s="16">
        <f>-Data!L46</f>
        <v>-2414150</v>
      </c>
      <c r="D46" s="16">
        <f t="shared" si="0"/>
        <v>406484050</v>
      </c>
      <c r="E46" s="16">
        <f>-'- 15 -'!H46-'- 16 -'!B46</f>
        <v>-10403400</v>
      </c>
      <c r="F46" s="16">
        <f t="shared" si="1"/>
        <v>396080650</v>
      </c>
    </row>
    <row r="47" spans="1:7" ht="5.0999999999999996" customHeight="1" x14ac:dyDescent="0.2">
      <c r="A47"/>
      <c r="B47"/>
      <c r="C47"/>
      <c r="D47"/>
      <c r="E47"/>
      <c r="F47"/>
      <c r="G47"/>
    </row>
    <row r="48" spans="1:7" ht="14.1" customHeight="1" x14ac:dyDescent="0.2">
      <c r="A48" s="274" t="s">
        <v>143</v>
      </c>
      <c r="B48" s="275">
        <f>SUM(B11:B46)</f>
        <v>2431888152</v>
      </c>
      <c r="C48" s="275">
        <f>SUM(C11:C46)</f>
        <v>-20544332</v>
      </c>
      <c r="D48" s="275">
        <f>SUM(D11:D46)</f>
        <v>2411343820</v>
      </c>
      <c r="E48" s="275">
        <f>SUM(E11:E46)</f>
        <v>-32481693</v>
      </c>
      <c r="F48" s="275">
        <f>SUM(F11:F46)</f>
        <v>2378862127</v>
      </c>
    </row>
    <row r="49" spans="1:6" ht="5.0999999999999996" customHeight="1" x14ac:dyDescent="0.2">
      <c r="A49" s="17" t="s">
        <v>1</v>
      </c>
      <c r="B49" s="18"/>
      <c r="C49" s="18"/>
      <c r="D49" s="18"/>
      <c r="E49" s="18"/>
      <c r="F49" s="18"/>
    </row>
    <row r="50" spans="1:6" ht="14.1" customHeight="1" x14ac:dyDescent="0.2">
      <c r="A50" s="15" t="s">
        <v>144</v>
      </c>
      <c r="B50" s="16">
        <v>3607082</v>
      </c>
      <c r="C50" s="16">
        <f>-Data!L50</f>
        <v>-14200</v>
      </c>
      <c r="D50" s="16">
        <f>B50+C50</f>
        <v>3592882</v>
      </c>
      <c r="E50" s="16">
        <f>-'- 15 -'!H50-'- 16 -'!B50</f>
        <v>-192900</v>
      </c>
      <c r="F50" s="16">
        <f>D50+E50</f>
        <v>3399982</v>
      </c>
    </row>
    <row r="51" spans="1:6" ht="14.1" customHeight="1" x14ac:dyDescent="0.2">
      <c r="A51" s="360" t="s">
        <v>514</v>
      </c>
      <c r="B51" s="272">
        <v>32854660</v>
      </c>
      <c r="C51" s="272">
        <f>-Data!L51</f>
        <v>0</v>
      </c>
      <c r="D51" s="272">
        <f>B51+C51</f>
        <v>32854660</v>
      </c>
      <c r="E51" s="272">
        <f>-'- 15 -'!H51-'- 16 -'!B51</f>
        <v>-13753504</v>
      </c>
      <c r="F51" s="272">
        <f>D51+E51</f>
        <v>19101156</v>
      </c>
    </row>
    <row r="52" spans="1:6" ht="50.1" customHeight="1" x14ac:dyDescent="0.2">
      <c r="A52" s="19"/>
      <c r="B52" s="19"/>
      <c r="C52" s="19"/>
      <c r="D52" s="19"/>
      <c r="E52" s="19"/>
      <c r="F52" s="19"/>
    </row>
    <row r="53" spans="1:6" ht="15" customHeight="1" x14ac:dyDescent="0.2">
      <c r="A53" s="2" t="s">
        <v>327</v>
      </c>
      <c r="B53" s="20"/>
      <c r="C53" s="20"/>
      <c r="D53" s="20"/>
      <c r="E53" s="20"/>
      <c r="F53" s="20"/>
    </row>
    <row r="54" spans="1:6" ht="12" customHeight="1" x14ac:dyDescent="0.2">
      <c r="A54" s="427" t="s">
        <v>328</v>
      </c>
      <c r="B54" s="20"/>
      <c r="C54" s="20"/>
      <c r="D54" s="20"/>
      <c r="E54" s="20"/>
      <c r="F54" s="20"/>
    </row>
    <row r="55" spans="1:6" ht="12" customHeight="1" x14ac:dyDescent="0.2">
      <c r="A55" s="356" t="s">
        <v>357</v>
      </c>
      <c r="B55" s="20"/>
      <c r="C55" s="20"/>
      <c r="D55" s="20"/>
      <c r="E55" s="20"/>
      <c r="F55" s="20"/>
    </row>
    <row r="56" spans="1:6" ht="12" customHeight="1" x14ac:dyDescent="0.2">
      <c r="A56" s="427" t="s">
        <v>329</v>
      </c>
      <c r="B56" s="20"/>
      <c r="C56" s="20"/>
      <c r="D56" s="20"/>
      <c r="E56" s="20"/>
      <c r="F56" s="20"/>
    </row>
    <row r="57" spans="1:6" ht="12" customHeight="1" x14ac:dyDescent="0.2">
      <c r="A57" s="427" t="s">
        <v>330</v>
      </c>
    </row>
    <row r="58" spans="1:6" ht="12" customHeight="1" x14ac:dyDescent="0.2">
      <c r="A58" s="427" t="s">
        <v>331</v>
      </c>
    </row>
    <row r="59" spans="1:6" ht="14.45" customHeight="1" x14ac:dyDescent="0.2"/>
    <row r="64" spans="1:6" x14ac:dyDescent="0.2">
      <c r="B64" s="1">
        <v>0</v>
      </c>
    </row>
    <row r="65536" spans="2:2" x14ac:dyDescent="0.2">
      <c r="B65536" s="1">
        <v>0</v>
      </c>
    </row>
  </sheetData>
  <mergeCells count="5">
    <mergeCell ref="C6:C9"/>
    <mergeCell ref="D6:D9"/>
    <mergeCell ref="E6:E9"/>
    <mergeCell ref="F6:F9"/>
    <mergeCell ref="B8:B9"/>
  </mergeCells>
  <phoneticPr fontId="0" type="noConversion"/>
  <printOptions horizontalCentered="1"/>
  <pageMargins left="0.5" right="0.5" top="0.6" bottom="0" header="0.3" footer="0"/>
  <pageSetup scale="90"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9"/>
  <sheetViews>
    <sheetView showGridLines="0" showZeros="0" workbookViewId="0"/>
  </sheetViews>
  <sheetFormatPr defaultColWidth="15.83203125" defaultRowHeight="12" x14ac:dyDescent="0.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2" t="s">
        <v>528</v>
      </c>
    </row>
    <row r="3" spans="1:9" ht="15.95" customHeight="1" x14ac:dyDescent="0.2">
      <c r="A3" s="135"/>
      <c r="B3" s="7" t="str">
        <f>OPYEAR</f>
        <v>OPERATING FUND 2018/2019 BUDGET</v>
      </c>
      <c r="C3" s="8"/>
      <c r="D3" s="8"/>
      <c r="E3" s="8"/>
      <c r="F3" s="8"/>
      <c r="G3" s="87"/>
      <c r="H3" s="87"/>
      <c r="I3" s="81"/>
    </row>
    <row r="4" spans="1:9" ht="15.95" customHeight="1" x14ac:dyDescent="0.2">
      <c r="B4" s="4"/>
      <c r="C4" s="4"/>
      <c r="D4" s="4"/>
      <c r="E4" s="4"/>
      <c r="F4" s="4"/>
      <c r="G4" s="4"/>
      <c r="H4" s="4"/>
      <c r="I4" s="4"/>
    </row>
    <row r="5" spans="1:9" ht="15.95" customHeight="1" x14ac:dyDescent="0.2">
      <c r="B5" s="670" t="s">
        <v>7</v>
      </c>
      <c r="C5" s="671"/>
      <c r="D5" s="660"/>
      <c r="E5" s="660"/>
      <c r="F5" s="660"/>
      <c r="G5" s="660"/>
      <c r="H5" s="660"/>
      <c r="I5" s="661"/>
    </row>
    <row r="6" spans="1:9" ht="15.95" customHeight="1" x14ac:dyDescent="0.2">
      <c r="B6" s="503"/>
      <c r="C6" s="504"/>
      <c r="D6" s="621" t="s">
        <v>416</v>
      </c>
      <c r="E6" s="612"/>
      <c r="F6" s="301"/>
      <c r="G6" s="302"/>
      <c r="H6" s="268"/>
      <c r="I6" s="270"/>
    </row>
    <row r="7" spans="1:9" ht="15.95" customHeight="1" x14ac:dyDescent="0.2">
      <c r="B7" s="672" t="s">
        <v>414</v>
      </c>
      <c r="C7" s="673"/>
      <c r="D7" s="676"/>
      <c r="E7" s="677"/>
      <c r="F7" s="678" t="s">
        <v>417</v>
      </c>
      <c r="G7" s="677"/>
      <c r="H7" s="678" t="s">
        <v>418</v>
      </c>
      <c r="I7" s="677"/>
    </row>
    <row r="8" spans="1:9" ht="15.95" customHeight="1" x14ac:dyDescent="0.2">
      <c r="A8" s="249"/>
      <c r="B8" s="674"/>
      <c r="C8" s="675"/>
      <c r="D8" s="622"/>
      <c r="E8" s="614"/>
      <c r="F8" s="613"/>
      <c r="G8" s="614"/>
      <c r="H8" s="613"/>
      <c r="I8" s="614"/>
    </row>
    <row r="9" spans="1:9" ht="15.95" customHeight="1" x14ac:dyDescent="0.2">
      <c r="A9" s="27" t="s">
        <v>37</v>
      </c>
      <c r="B9" s="89" t="s">
        <v>38</v>
      </c>
      <c r="C9" s="89" t="s">
        <v>39</v>
      </c>
      <c r="D9" s="151" t="s">
        <v>38</v>
      </c>
      <c r="E9" s="151" t="s">
        <v>39</v>
      </c>
      <c r="F9" s="151" t="s">
        <v>38</v>
      </c>
      <c r="G9" s="151" t="s">
        <v>39</v>
      </c>
      <c r="H9" s="151" t="s">
        <v>38</v>
      </c>
      <c r="I9" s="151" t="s">
        <v>39</v>
      </c>
    </row>
    <row r="10" spans="1:9" ht="5.0999999999999996" customHeight="1" x14ac:dyDescent="0.2">
      <c r="A10" s="29"/>
    </row>
    <row r="11" spans="1:9" ht="14.1" customHeight="1" x14ac:dyDescent="0.2">
      <c r="A11" s="271" t="s">
        <v>108</v>
      </c>
      <c r="B11" s="272">
        <v>0</v>
      </c>
      <c r="C11" s="273">
        <f>B11/'- 3 -'!$D11*100</f>
        <v>0</v>
      </c>
      <c r="D11" s="272">
        <v>0</v>
      </c>
      <c r="E11" s="273">
        <f>D11/'- 3 -'!$D11*100</f>
        <v>0</v>
      </c>
      <c r="F11" s="272">
        <v>0</v>
      </c>
      <c r="G11" s="273">
        <f>F11/'- 3 -'!$D11*100</f>
        <v>0</v>
      </c>
      <c r="H11" s="272">
        <v>21590</v>
      </c>
      <c r="I11" s="273">
        <f>H11/'- 3 -'!$D11*100</f>
        <v>0.10608256495947932</v>
      </c>
    </row>
    <row r="12" spans="1:9" ht="14.1" customHeight="1" x14ac:dyDescent="0.2">
      <c r="A12" s="15" t="s">
        <v>109</v>
      </c>
      <c r="B12" s="16">
        <v>0</v>
      </c>
      <c r="C12" s="267">
        <f>B12/'- 3 -'!$D12*100</f>
        <v>0</v>
      </c>
      <c r="D12" s="16">
        <v>0</v>
      </c>
      <c r="E12" s="267">
        <f>D12/'- 3 -'!$D12*100</f>
        <v>0</v>
      </c>
      <c r="F12" s="16">
        <v>0</v>
      </c>
      <c r="G12" s="267">
        <f>F12/'- 3 -'!$D12*100</f>
        <v>0</v>
      </c>
      <c r="H12" s="16">
        <v>50319</v>
      </c>
      <c r="I12" s="267">
        <f>H12/'- 3 -'!$D12*100</f>
        <v>0.1441141447951492</v>
      </c>
    </row>
    <row r="13" spans="1:9" ht="14.1" customHeight="1" x14ac:dyDescent="0.2">
      <c r="A13" s="271" t="s">
        <v>110</v>
      </c>
      <c r="B13" s="272">
        <v>0</v>
      </c>
      <c r="C13" s="273">
        <f>B13/'- 3 -'!$D13*100</f>
        <v>0</v>
      </c>
      <c r="D13" s="272">
        <v>0</v>
      </c>
      <c r="E13" s="273">
        <f>D13/'- 3 -'!$D13*100</f>
        <v>0</v>
      </c>
      <c r="F13" s="272">
        <v>152000</v>
      </c>
      <c r="G13" s="273">
        <f>F13/'- 3 -'!$D13*100</f>
        <v>0.1459935340232168</v>
      </c>
      <c r="H13" s="272">
        <v>212300</v>
      </c>
      <c r="I13" s="273">
        <f>H13/'- 3 -'!$D13*100</f>
        <v>0.20391070574426925</v>
      </c>
    </row>
    <row r="14" spans="1:9" ht="14.1" customHeight="1" x14ac:dyDescent="0.2">
      <c r="A14" s="15" t="s">
        <v>319</v>
      </c>
      <c r="B14" s="16">
        <v>0</v>
      </c>
      <c r="C14" s="267">
        <f>B14/'- 3 -'!$D14*100</f>
        <v>0</v>
      </c>
      <c r="D14" s="16">
        <v>0</v>
      </c>
      <c r="E14" s="267">
        <f>D14/'- 3 -'!$D14*100</f>
        <v>0</v>
      </c>
      <c r="F14" s="16">
        <v>0</v>
      </c>
      <c r="G14" s="267">
        <f>F14/'- 3 -'!$D14*100</f>
        <v>0</v>
      </c>
      <c r="H14" s="16">
        <v>1652845</v>
      </c>
      <c r="I14" s="267">
        <f>H14/'- 3 -'!$D14*100</f>
        <v>1.7710270520017162</v>
      </c>
    </row>
    <row r="15" spans="1:9" ht="14.1" customHeight="1" x14ac:dyDescent="0.2">
      <c r="A15" s="271" t="s">
        <v>111</v>
      </c>
      <c r="B15" s="272">
        <v>0</v>
      </c>
      <c r="C15" s="273">
        <f>B15/'- 3 -'!$D15*100</f>
        <v>0</v>
      </c>
      <c r="D15" s="272">
        <v>0</v>
      </c>
      <c r="E15" s="273">
        <f>D15/'- 3 -'!$D15*100</f>
        <v>0</v>
      </c>
      <c r="F15" s="272">
        <v>0</v>
      </c>
      <c r="G15" s="273">
        <f>F15/'- 3 -'!$D15*100</f>
        <v>0</v>
      </c>
      <c r="H15" s="272">
        <v>78470</v>
      </c>
      <c r="I15" s="273">
        <f>H15/'- 3 -'!$D15*100</f>
        <v>0.37761768045729133</v>
      </c>
    </row>
    <row r="16" spans="1:9" ht="14.1" customHeight="1" x14ac:dyDescent="0.2">
      <c r="A16" s="15" t="s">
        <v>112</v>
      </c>
      <c r="B16" s="16">
        <v>0</v>
      </c>
      <c r="C16" s="267">
        <f>B16/'- 3 -'!$D16*100</f>
        <v>0</v>
      </c>
      <c r="D16" s="16">
        <v>0</v>
      </c>
      <c r="E16" s="267">
        <f>D16/'- 3 -'!$D16*100</f>
        <v>0</v>
      </c>
      <c r="F16" s="16">
        <v>0</v>
      </c>
      <c r="G16" s="267">
        <f>F16/'- 3 -'!$D16*100</f>
        <v>0</v>
      </c>
      <c r="H16" s="16">
        <v>8840</v>
      </c>
      <c r="I16" s="267">
        <f>H16/'- 3 -'!$D16*100</f>
        <v>5.9458806481494188E-2</v>
      </c>
    </row>
    <row r="17" spans="1:9" ht="14.1" customHeight="1" x14ac:dyDescent="0.2">
      <c r="A17" s="271" t="s">
        <v>113</v>
      </c>
      <c r="B17" s="272">
        <v>0</v>
      </c>
      <c r="C17" s="273">
        <f>B17/'- 3 -'!$D17*100</f>
        <v>0</v>
      </c>
      <c r="D17" s="272">
        <v>0</v>
      </c>
      <c r="E17" s="273">
        <f>D17/'- 3 -'!$D17*100</f>
        <v>0</v>
      </c>
      <c r="F17" s="272">
        <v>80240</v>
      </c>
      <c r="G17" s="273">
        <f>F17/'- 3 -'!$D17*100</f>
        <v>0.42907296603960199</v>
      </c>
      <c r="H17" s="272">
        <v>207300</v>
      </c>
      <c r="I17" s="273">
        <f>H17/'- 3 -'!$D17*100</f>
        <v>1.1085097938685131</v>
      </c>
    </row>
    <row r="18" spans="1:9" ht="14.1" customHeight="1" x14ac:dyDescent="0.2">
      <c r="A18" s="15" t="s">
        <v>114</v>
      </c>
      <c r="B18" s="16">
        <v>0</v>
      </c>
      <c r="C18" s="267">
        <f>B18/'- 3 -'!$D18*100</f>
        <v>0</v>
      </c>
      <c r="D18" s="16">
        <v>0</v>
      </c>
      <c r="E18" s="267">
        <f>D18/'- 3 -'!$D18*100</f>
        <v>0</v>
      </c>
      <c r="F18" s="16">
        <v>796502</v>
      </c>
      <c r="G18" s="267">
        <f>F18/'- 3 -'!$D18*100</f>
        <v>0.59143589753528381</v>
      </c>
      <c r="H18" s="16">
        <v>1557087</v>
      </c>
      <c r="I18" s="267">
        <f>H18/'- 3 -'!$D18*100</f>
        <v>1.1562019271584032</v>
      </c>
    </row>
    <row r="19" spans="1:9" ht="14.1" customHeight="1" x14ac:dyDescent="0.2">
      <c r="A19" s="271" t="s">
        <v>115</v>
      </c>
      <c r="B19" s="272">
        <v>0</v>
      </c>
      <c r="C19" s="273">
        <f>B19/'- 3 -'!$D19*100</f>
        <v>0</v>
      </c>
      <c r="D19" s="272">
        <v>0</v>
      </c>
      <c r="E19" s="273">
        <f>D19/'- 3 -'!$D19*100</f>
        <v>0</v>
      </c>
      <c r="F19" s="272">
        <v>0</v>
      </c>
      <c r="G19" s="273">
        <f>F19/'- 3 -'!$D19*100</f>
        <v>0</v>
      </c>
      <c r="H19" s="272">
        <v>84300</v>
      </c>
      <c r="I19" s="273">
        <f>H19/'- 3 -'!$D19*100</f>
        <v>0.16752249531016503</v>
      </c>
    </row>
    <row r="20" spans="1:9" ht="14.1" customHeight="1" x14ac:dyDescent="0.2">
      <c r="A20" s="15" t="s">
        <v>116</v>
      </c>
      <c r="B20" s="16">
        <v>0</v>
      </c>
      <c r="C20" s="267">
        <f>B20/'- 3 -'!$D20*100</f>
        <v>0</v>
      </c>
      <c r="D20" s="16">
        <v>0</v>
      </c>
      <c r="E20" s="267">
        <f>D20/'- 3 -'!$D20*100</f>
        <v>0</v>
      </c>
      <c r="F20" s="16">
        <v>0</v>
      </c>
      <c r="G20" s="267">
        <f>F20/'- 3 -'!$D20*100</f>
        <v>0</v>
      </c>
      <c r="H20" s="16">
        <v>162500</v>
      </c>
      <c r="I20" s="267">
        <f>H20/'- 3 -'!$D20*100</f>
        <v>0.18624150881982479</v>
      </c>
    </row>
    <row r="21" spans="1:9" ht="14.1" customHeight="1" x14ac:dyDescent="0.2">
      <c r="A21" s="271" t="s">
        <v>117</v>
      </c>
      <c r="B21" s="272">
        <v>144000</v>
      </c>
      <c r="C21" s="273">
        <f>B21/'- 3 -'!$D21*100</f>
        <v>0.38339046028687196</v>
      </c>
      <c r="D21" s="272">
        <v>0</v>
      </c>
      <c r="E21" s="273">
        <f>D21/'- 3 -'!$D21*100</f>
        <v>0</v>
      </c>
      <c r="F21" s="272">
        <v>0</v>
      </c>
      <c r="G21" s="273">
        <f>F21/'- 3 -'!$D21*100</f>
        <v>0</v>
      </c>
      <c r="H21" s="272">
        <v>149000</v>
      </c>
      <c r="I21" s="273">
        <f>H21/'- 3 -'!$D21*100</f>
        <v>0.39670262904683273</v>
      </c>
    </row>
    <row r="22" spans="1:9" ht="14.1" customHeight="1" x14ac:dyDescent="0.2">
      <c r="A22" s="15" t="s">
        <v>118</v>
      </c>
      <c r="B22" s="16">
        <v>0</v>
      </c>
      <c r="C22" s="267">
        <f>B22/'- 3 -'!$D22*100</f>
        <v>0</v>
      </c>
      <c r="D22" s="16">
        <v>0</v>
      </c>
      <c r="E22" s="267">
        <f>D22/'- 3 -'!$D22*100</f>
        <v>0</v>
      </c>
      <c r="F22" s="16">
        <v>82850</v>
      </c>
      <c r="G22" s="267">
        <f>F22/'- 3 -'!$D22*100</f>
        <v>0.39673836529427592</v>
      </c>
      <c r="H22" s="16">
        <v>0</v>
      </c>
      <c r="I22" s="267">
        <f>H22/'- 3 -'!$D22*100</f>
        <v>0</v>
      </c>
    </row>
    <row r="23" spans="1:9" ht="14.1" customHeight="1" x14ac:dyDescent="0.2">
      <c r="A23" s="271" t="s">
        <v>119</v>
      </c>
      <c r="B23" s="272">
        <v>117000</v>
      </c>
      <c r="C23" s="273">
        <f>B23/'- 3 -'!$D23*100</f>
        <v>0.68945961216305751</v>
      </c>
      <c r="D23" s="272">
        <v>0</v>
      </c>
      <c r="E23" s="273">
        <f>D23/'- 3 -'!$D23*100</f>
        <v>0</v>
      </c>
      <c r="F23" s="272">
        <v>120000</v>
      </c>
      <c r="G23" s="273">
        <f>F23/'- 3 -'!$D23*100</f>
        <v>0.70713806375698207</v>
      </c>
      <c r="H23" s="272">
        <v>40000</v>
      </c>
      <c r="I23" s="273">
        <f>H23/'- 3 -'!$D23*100</f>
        <v>0.23571268791899402</v>
      </c>
    </row>
    <row r="24" spans="1:9" ht="14.1" customHeight="1" x14ac:dyDescent="0.2">
      <c r="A24" s="15" t="s">
        <v>120</v>
      </c>
      <c r="B24" s="16">
        <v>188485</v>
      </c>
      <c r="C24" s="267">
        <f>B24/'- 3 -'!$D24*100</f>
        <v>0.32264653246857866</v>
      </c>
      <c r="D24" s="16">
        <v>0</v>
      </c>
      <c r="E24" s="267">
        <f>D24/'- 3 -'!$D24*100</f>
        <v>0</v>
      </c>
      <c r="F24" s="16">
        <v>234345</v>
      </c>
      <c r="G24" s="267">
        <f>F24/'- 3 -'!$D24*100</f>
        <v>0.40114917182454346</v>
      </c>
      <c r="H24" s="16">
        <v>0</v>
      </c>
      <c r="I24" s="267">
        <f>H24/'- 3 -'!$D24*100</f>
        <v>0</v>
      </c>
    </row>
    <row r="25" spans="1:9" ht="14.1" customHeight="1" x14ac:dyDescent="0.2">
      <c r="A25" s="271" t="s">
        <v>121</v>
      </c>
      <c r="B25" s="272">
        <v>355558</v>
      </c>
      <c r="C25" s="273">
        <f>B25/'- 3 -'!$D25*100</f>
        <v>0.18922995656920286</v>
      </c>
      <c r="D25" s="272">
        <v>0</v>
      </c>
      <c r="E25" s="273">
        <f>D25/'- 3 -'!$D25*100</f>
        <v>0</v>
      </c>
      <c r="F25" s="272">
        <v>675268</v>
      </c>
      <c r="G25" s="273">
        <f>F25/'- 3 -'!$D25*100</f>
        <v>0.35938140700693688</v>
      </c>
      <c r="H25" s="272">
        <v>1080020</v>
      </c>
      <c r="I25" s="273">
        <f>H25/'- 3 -'!$D25*100</f>
        <v>0.57479268556429741</v>
      </c>
    </row>
    <row r="26" spans="1:9" ht="14.1" customHeight="1" x14ac:dyDescent="0.2">
      <c r="A26" s="15" t="s">
        <v>122</v>
      </c>
      <c r="B26" s="16">
        <v>0</v>
      </c>
      <c r="C26" s="267">
        <f>B26/'- 3 -'!$D26*100</f>
        <v>0</v>
      </c>
      <c r="D26" s="16">
        <v>0</v>
      </c>
      <c r="E26" s="267">
        <f>D26/'- 3 -'!$D26*100</f>
        <v>0</v>
      </c>
      <c r="F26" s="16">
        <v>0</v>
      </c>
      <c r="G26" s="267">
        <f>F26/'- 3 -'!$D26*100</f>
        <v>0</v>
      </c>
      <c r="H26" s="16">
        <v>99500</v>
      </c>
      <c r="I26" s="267">
        <f>H26/'- 3 -'!$D26*100</f>
        <v>0.24254928217478997</v>
      </c>
    </row>
    <row r="27" spans="1:9" ht="14.1" customHeight="1" x14ac:dyDescent="0.2">
      <c r="A27" s="271" t="s">
        <v>123</v>
      </c>
      <c r="B27" s="272">
        <v>0</v>
      </c>
      <c r="C27" s="273">
        <f>B27/'- 3 -'!$D27*100</f>
        <v>0</v>
      </c>
      <c r="D27" s="272">
        <v>0</v>
      </c>
      <c r="E27" s="273">
        <f>D27/'- 3 -'!$D27*100</f>
        <v>0</v>
      </c>
      <c r="F27" s="272">
        <v>0</v>
      </c>
      <c r="G27" s="273">
        <f>F27/'- 3 -'!$D27*100</f>
        <v>0</v>
      </c>
      <c r="H27" s="272">
        <v>57508</v>
      </c>
      <c r="I27" s="273">
        <f>H27/'- 3 -'!$D27*100</f>
        <v>0.13460216258030389</v>
      </c>
    </row>
    <row r="28" spans="1:9" ht="14.1" customHeight="1" x14ac:dyDescent="0.2">
      <c r="A28" s="15" t="s">
        <v>124</v>
      </c>
      <c r="B28" s="16">
        <v>0</v>
      </c>
      <c r="C28" s="267">
        <f>B28/'- 3 -'!$D28*100</f>
        <v>0</v>
      </c>
      <c r="D28" s="16">
        <v>0</v>
      </c>
      <c r="E28" s="267">
        <f>D28/'- 3 -'!$D28*100</f>
        <v>0</v>
      </c>
      <c r="F28" s="16">
        <v>0</v>
      </c>
      <c r="G28" s="267">
        <f>F28/'- 3 -'!$D28*100</f>
        <v>0</v>
      </c>
      <c r="H28" s="16">
        <v>108631</v>
      </c>
      <c r="I28" s="267">
        <f>H28/'- 3 -'!$D28*100</f>
        <v>0.37728531975252977</v>
      </c>
    </row>
    <row r="29" spans="1:9" ht="14.1" customHeight="1" x14ac:dyDescent="0.2">
      <c r="A29" s="271" t="s">
        <v>125</v>
      </c>
      <c r="B29" s="272">
        <v>0</v>
      </c>
      <c r="C29" s="273">
        <f>B29/'- 3 -'!$D29*100</f>
        <v>0</v>
      </c>
      <c r="D29" s="272">
        <v>0</v>
      </c>
      <c r="E29" s="273">
        <f>D29/'- 3 -'!$D29*100</f>
        <v>0</v>
      </c>
      <c r="F29" s="272">
        <v>255552</v>
      </c>
      <c r="G29" s="273">
        <f>F29/'- 3 -'!$D29*100</f>
        <v>0.15045554733651256</v>
      </c>
      <c r="H29" s="272">
        <v>344986</v>
      </c>
      <c r="I29" s="273">
        <f>H29/'- 3 -'!$D29*100</f>
        <v>0.2031095724292282</v>
      </c>
    </row>
    <row r="30" spans="1:9" ht="14.1" customHeight="1" x14ac:dyDescent="0.2">
      <c r="A30" s="15" t="s">
        <v>126</v>
      </c>
      <c r="B30" s="16">
        <v>0</v>
      </c>
      <c r="C30" s="267">
        <f>B30/'- 3 -'!$D30*100</f>
        <v>0</v>
      </c>
      <c r="D30" s="16">
        <v>0</v>
      </c>
      <c r="E30" s="267">
        <f>D30/'- 3 -'!$D30*100</f>
        <v>0</v>
      </c>
      <c r="F30" s="16">
        <v>0</v>
      </c>
      <c r="G30" s="267">
        <f>F30/'- 3 -'!$D30*100</f>
        <v>0</v>
      </c>
      <c r="H30" s="16">
        <v>15300</v>
      </c>
      <c r="I30" s="267">
        <f>H30/'- 3 -'!$D30*100</f>
        <v>0.1001433883142353</v>
      </c>
    </row>
    <row r="31" spans="1:9" ht="14.1" customHeight="1" x14ac:dyDescent="0.2">
      <c r="A31" s="271" t="s">
        <v>127</v>
      </c>
      <c r="B31" s="272">
        <v>0</v>
      </c>
      <c r="C31" s="273">
        <f>B31/'- 3 -'!$D31*100</f>
        <v>0</v>
      </c>
      <c r="D31" s="272">
        <v>0</v>
      </c>
      <c r="E31" s="273">
        <f>D31/'- 3 -'!$D31*100</f>
        <v>0</v>
      </c>
      <c r="F31" s="272">
        <v>0</v>
      </c>
      <c r="G31" s="273">
        <f>F31/'- 3 -'!$D31*100</f>
        <v>0</v>
      </c>
      <c r="H31" s="272">
        <v>60944</v>
      </c>
      <c r="I31" s="273">
        <f>H31/'- 3 -'!$D31*100</f>
        <v>0.15662029923872728</v>
      </c>
    </row>
    <row r="32" spans="1:9" ht="14.1" customHeight="1" x14ac:dyDescent="0.2">
      <c r="A32" s="15" t="s">
        <v>128</v>
      </c>
      <c r="B32" s="16">
        <v>0</v>
      </c>
      <c r="C32" s="267">
        <f>B32/'- 3 -'!$D32*100</f>
        <v>0</v>
      </c>
      <c r="D32" s="16">
        <v>0</v>
      </c>
      <c r="E32" s="267">
        <f>D32/'- 3 -'!$D32*100</f>
        <v>0</v>
      </c>
      <c r="F32" s="16">
        <v>0</v>
      </c>
      <c r="G32" s="267">
        <f>F32/'- 3 -'!$D32*100</f>
        <v>0</v>
      </c>
      <c r="H32" s="16">
        <v>34543</v>
      </c>
      <c r="I32" s="267">
        <f>H32/'- 3 -'!$D32*100</f>
        <v>0.11132313881556796</v>
      </c>
    </row>
    <row r="33" spans="1:9" ht="14.1" customHeight="1" x14ac:dyDescent="0.2">
      <c r="A33" s="271" t="s">
        <v>129</v>
      </c>
      <c r="B33" s="272">
        <v>0</v>
      </c>
      <c r="C33" s="273">
        <f>B33/'- 3 -'!$D33*100</f>
        <v>0</v>
      </c>
      <c r="D33" s="272">
        <v>0</v>
      </c>
      <c r="E33" s="273">
        <f>D33/'- 3 -'!$D33*100</f>
        <v>0</v>
      </c>
      <c r="F33" s="272">
        <v>0</v>
      </c>
      <c r="G33" s="273">
        <f>F33/'- 3 -'!$D33*100</f>
        <v>0</v>
      </c>
      <c r="H33" s="272">
        <v>28394</v>
      </c>
      <c r="I33" s="273">
        <f>H33/'- 3 -'!$D33*100</f>
        <v>9.955076987588235E-2</v>
      </c>
    </row>
    <row r="34" spans="1:9" ht="14.1" customHeight="1" x14ac:dyDescent="0.2">
      <c r="A34" s="15" t="s">
        <v>130</v>
      </c>
      <c r="B34" s="16">
        <v>0</v>
      </c>
      <c r="C34" s="267">
        <f>B34/'- 3 -'!$D34*100</f>
        <v>0</v>
      </c>
      <c r="D34" s="16">
        <v>0</v>
      </c>
      <c r="E34" s="267">
        <f>D34/'- 3 -'!$D34*100</f>
        <v>0</v>
      </c>
      <c r="F34" s="16">
        <v>0</v>
      </c>
      <c r="G34" s="267">
        <f>F34/'- 3 -'!$D34*100</f>
        <v>0</v>
      </c>
      <c r="H34" s="16">
        <v>62057</v>
      </c>
      <c r="I34" s="267">
        <f>H34/'- 3 -'!$D34*100</f>
        <v>0.19923119239340525</v>
      </c>
    </row>
    <row r="35" spans="1:9" ht="14.1" customHeight="1" x14ac:dyDescent="0.2">
      <c r="A35" s="271" t="s">
        <v>131</v>
      </c>
      <c r="B35" s="272">
        <v>361600</v>
      </c>
      <c r="C35" s="273">
        <f>B35/'- 3 -'!$D35*100</f>
        <v>0.18941110322753743</v>
      </c>
      <c r="D35" s="272">
        <v>0</v>
      </c>
      <c r="E35" s="273">
        <f>D35/'- 3 -'!$D35*100</f>
        <v>0</v>
      </c>
      <c r="F35" s="272">
        <v>0</v>
      </c>
      <c r="G35" s="273">
        <f>F35/'- 3 -'!$D35*100</f>
        <v>0</v>
      </c>
      <c r="H35" s="272">
        <v>236190</v>
      </c>
      <c r="I35" s="273">
        <f>H35/'- 3 -'!$D35*100</f>
        <v>0.12371960307331878</v>
      </c>
    </row>
    <row r="36" spans="1:9" ht="14.1" customHeight="1" x14ac:dyDescent="0.2">
      <c r="A36" s="15" t="s">
        <v>132</v>
      </c>
      <c r="B36" s="16">
        <v>0</v>
      </c>
      <c r="C36" s="267">
        <f>B36/'- 3 -'!$D36*100</f>
        <v>0</v>
      </c>
      <c r="D36" s="16">
        <v>0</v>
      </c>
      <c r="E36" s="267">
        <f>D36/'- 3 -'!$D36*100</f>
        <v>0</v>
      </c>
      <c r="F36" s="16">
        <v>0</v>
      </c>
      <c r="G36" s="267">
        <f>F36/'- 3 -'!$D36*100</f>
        <v>0</v>
      </c>
      <c r="H36" s="16">
        <v>32070</v>
      </c>
      <c r="I36" s="267">
        <f>H36/'- 3 -'!$D36*100</f>
        <v>0.13303189944829302</v>
      </c>
    </row>
    <row r="37" spans="1:9" ht="14.1" customHeight="1" x14ac:dyDescent="0.2">
      <c r="A37" s="271" t="s">
        <v>133</v>
      </c>
      <c r="B37" s="272">
        <v>0</v>
      </c>
      <c r="C37" s="273">
        <f>B37/'- 3 -'!$D37*100</f>
        <v>0</v>
      </c>
      <c r="D37" s="272">
        <v>0</v>
      </c>
      <c r="E37" s="273">
        <f>D37/'- 3 -'!$D37*100</f>
        <v>0</v>
      </c>
      <c r="F37" s="272">
        <v>5000</v>
      </c>
      <c r="G37" s="273">
        <f>F37/'- 3 -'!$D37*100</f>
        <v>9.4254971007170923E-3</v>
      </c>
      <c r="H37" s="272">
        <v>360424</v>
      </c>
      <c r="I37" s="273">
        <f>H37/'- 3 -'!$D37*100</f>
        <v>0.67943507340577136</v>
      </c>
    </row>
    <row r="38" spans="1:9" ht="14.1" customHeight="1" x14ac:dyDescent="0.2">
      <c r="A38" s="15" t="s">
        <v>134</v>
      </c>
      <c r="B38" s="16">
        <v>0</v>
      </c>
      <c r="C38" s="267">
        <f>B38/'- 3 -'!$D38*100</f>
        <v>0</v>
      </c>
      <c r="D38" s="16">
        <v>628780</v>
      </c>
      <c r="E38" s="267">
        <f>D38/'- 3 -'!$D38*100</f>
        <v>0.43438468640269129</v>
      </c>
      <c r="F38" s="16">
        <v>916500</v>
      </c>
      <c r="G38" s="267">
        <f>F38/'- 3 -'!$D38*100</f>
        <v>0.63315239843517057</v>
      </c>
      <c r="H38" s="16">
        <v>485480</v>
      </c>
      <c r="I38" s="267">
        <f>H38/'- 3 -'!$D38*100</f>
        <v>0.33538769928238582</v>
      </c>
    </row>
    <row r="39" spans="1:9" ht="14.1" customHeight="1" x14ac:dyDescent="0.2">
      <c r="A39" s="271" t="s">
        <v>135</v>
      </c>
      <c r="B39" s="272">
        <v>0</v>
      </c>
      <c r="C39" s="273">
        <f>B39/'- 3 -'!$D39*100</f>
        <v>0</v>
      </c>
      <c r="D39" s="272">
        <v>0</v>
      </c>
      <c r="E39" s="273">
        <f>D39/'- 3 -'!$D39*100</f>
        <v>0</v>
      </c>
      <c r="F39" s="272">
        <v>0</v>
      </c>
      <c r="G39" s="273">
        <f>F39/'- 3 -'!$D39*100</f>
        <v>0</v>
      </c>
      <c r="H39" s="272">
        <v>159400</v>
      </c>
      <c r="I39" s="273">
        <f>H39/'- 3 -'!$D39*100</f>
        <v>0.68405476077223171</v>
      </c>
    </row>
    <row r="40" spans="1:9" ht="14.1" customHeight="1" x14ac:dyDescent="0.2">
      <c r="A40" s="15" t="s">
        <v>136</v>
      </c>
      <c r="B40" s="16">
        <v>495923</v>
      </c>
      <c r="C40" s="267">
        <f>B40/'- 3 -'!$D40*100</f>
        <v>0.45772450751948612</v>
      </c>
      <c r="D40" s="16">
        <v>0</v>
      </c>
      <c r="E40" s="267">
        <f>D40/'- 3 -'!$D40*100</f>
        <v>0</v>
      </c>
      <c r="F40" s="16">
        <v>349752</v>
      </c>
      <c r="G40" s="267">
        <f>F40/'- 3 -'!$D40*100</f>
        <v>0.32281233569315265</v>
      </c>
      <c r="H40" s="16">
        <v>92098</v>
      </c>
      <c r="I40" s="267">
        <f>H40/'- 3 -'!$D40*100</f>
        <v>8.5004147203355432E-2</v>
      </c>
    </row>
    <row r="41" spans="1:9" ht="14.1" customHeight="1" x14ac:dyDescent="0.2">
      <c r="A41" s="271" t="s">
        <v>137</v>
      </c>
      <c r="B41" s="272">
        <v>0</v>
      </c>
      <c r="C41" s="273">
        <f>B41/'- 3 -'!$D41*100</f>
        <v>0</v>
      </c>
      <c r="D41" s="272">
        <v>0</v>
      </c>
      <c r="E41" s="273">
        <f>D41/'- 3 -'!$D41*100</f>
        <v>0</v>
      </c>
      <c r="F41" s="272">
        <v>0</v>
      </c>
      <c r="G41" s="273">
        <f>F41/'- 3 -'!$D41*100</f>
        <v>0</v>
      </c>
      <c r="H41" s="272">
        <v>300914</v>
      </c>
      <c r="I41" s="273">
        <f>H41/'- 3 -'!$D41*100</f>
        <v>0.4628821334178676</v>
      </c>
    </row>
    <row r="42" spans="1:9" ht="14.1" customHeight="1" x14ac:dyDescent="0.2">
      <c r="A42" s="15" t="s">
        <v>138</v>
      </c>
      <c r="B42" s="16">
        <v>0</v>
      </c>
      <c r="C42" s="267">
        <f>B42/'- 3 -'!$D42*100</f>
        <v>0</v>
      </c>
      <c r="D42" s="16">
        <v>0</v>
      </c>
      <c r="E42" s="267">
        <f>D42/'- 3 -'!$D42*100</f>
        <v>0</v>
      </c>
      <c r="F42" s="16">
        <v>0</v>
      </c>
      <c r="G42" s="267">
        <f>F42/'- 3 -'!$D42*100</f>
        <v>0</v>
      </c>
      <c r="H42" s="16">
        <v>65485</v>
      </c>
      <c r="I42" s="267">
        <f>H42/'- 3 -'!$D42*100</f>
        <v>0.30754307810396608</v>
      </c>
    </row>
    <row r="43" spans="1:9" ht="14.1" customHeight="1" x14ac:dyDescent="0.2">
      <c r="A43" s="271" t="s">
        <v>139</v>
      </c>
      <c r="B43" s="272">
        <v>0</v>
      </c>
      <c r="C43" s="273">
        <f>B43/'- 3 -'!$D43*100</f>
        <v>0</v>
      </c>
      <c r="D43" s="272">
        <v>0</v>
      </c>
      <c r="E43" s="273">
        <f>D43/'- 3 -'!$D43*100</f>
        <v>0</v>
      </c>
      <c r="F43" s="272">
        <v>0</v>
      </c>
      <c r="G43" s="273">
        <f>F43/'- 3 -'!$D43*100</f>
        <v>0</v>
      </c>
      <c r="H43" s="272">
        <v>12592</v>
      </c>
      <c r="I43" s="273">
        <f>H43/'- 3 -'!$D43*100</f>
        <v>9.1379758149885013E-2</v>
      </c>
    </row>
    <row r="44" spans="1:9" ht="14.1" customHeight="1" x14ac:dyDescent="0.2">
      <c r="A44" s="15" t="s">
        <v>140</v>
      </c>
      <c r="B44" s="16">
        <v>0</v>
      </c>
      <c r="C44" s="267">
        <f>B44/'- 3 -'!$D44*100</f>
        <v>0</v>
      </c>
      <c r="D44" s="16">
        <v>0</v>
      </c>
      <c r="E44" s="267">
        <f>D44/'- 3 -'!$D44*100</f>
        <v>0</v>
      </c>
      <c r="F44" s="16">
        <v>0</v>
      </c>
      <c r="G44" s="267">
        <f>F44/'- 3 -'!$D44*100</f>
        <v>0</v>
      </c>
      <c r="H44" s="16">
        <v>18500</v>
      </c>
      <c r="I44" s="267">
        <f>H44/'- 3 -'!$D44*100</f>
        <v>0.16396964664807046</v>
      </c>
    </row>
    <row r="45" spans="1:9" ht="14.1" customHeight="1" x14ac:dyDescent="0.2">
      <c r="A45" s="271" t="s">
        <v>141</v>
      </c>
      <c r="B45" s="272">
        <v>0</v>
      </c>
      <c r="C45" s="273">
        <f>B45/'- 3 -'!$D45*100</f>
        <v>0</v>
      </c>
      <c r="D45" s="272">
        <v>0</v>
      </c>
      <c r="E45" s="273">
        <f>D45/'- 3 -'!$D45*100</f>
        <v>0</v>
      </c>
      <c r="F45" s="272">
        <v>0</v>
      </c>
      <c r="G45" s="273">
        <f>F45/'- 3 -'!$D45*100</f>
        <v>0</v>
      </c>
      <c r="H45" s="272">
        <v>48442</v>
      </c>
      <c r="I45" s="273">
        <f>H45/'- 3 -'!$D45*100</f>
        <v>0.23379282698780612</v>
      </c>
    </row>
    <row r="46" spans="1:9" ht="14.1" customHeight="1" x14ac:dyDescent="0.2">
      <c r="A46" s="15" t="s">
        <v>142</v>
      </c>
      <c r="B46" s="16">
        <v>0</v>
      </c>
      <c r="C46" s="267">
        <f>B46/'- 3 -'!$D46*100</f>
        <v>0</v>
      </c>
      <c r="D46" s="16">
        <v>3686100</v>
      </c>
      <c r="E46" s="267">
        <f>D46/'- 3 -'!$D46*100</f>
        <v>0.90682524935480247</v>
      </c>
      <c r="F46" s="16">
        <v>172700</v>
      </c>
      <c r="G46" s="267">
        <f>F46/'- 3 -'!$D46*100</f>
        <v>4.2486291897554158E-2</v>
      </c>
      <c r="H46" s="16">
        <v>5759800</v>
      </c>
      <c r="I46" s="267">
        <f>H46/'- 3 -'!$D46*100</f>
        <v>1.4169805678722205</v>
      </c>
    </row>
    <row r="47" spans="1:9" ht="5.0999999999999996" customHeight="1" x14ac:dyDescent="0.2">
      <c r="A47"/>
      <c r="B47"/>
      <c r="C47"/>
      <c r="D47"/>
      <c r="E47"/>
      <c r="F47"/>
      <c r="G47"/>
      <c r="H47" s="507"/>
      <c r="I47"/>
    </row>
    <row r="48" spans="1:9" ht="14.1" customHeight="1" x14ac:dyDescent="0.2">
      <c r="A48" s="274" t="s">
        <v>143</v>
      </c>
      <c r="B48" s="275">
        <f>SUM(B11:B46)</f>
        <v>1662566</v>
      </c>
      <c r="C48" s="276">
        <f>B48/'- 3 -'!$D48*100</f>
        <v>6.8947695729263528E-2</v>
      </c>
      <c r="D48" s="275">
        <f>SUM(D11:D46)</f>
        <v>4314880</v>
      </c>
      <c r="E48" s="276">
        <f>D48/'- 3 -'!$D48*100</f>
        <v>0.17894088616529186</v>
      </c>
      <c r="F48" s="275">
        <f>SUM(F11:F46)</f>
        <v>3840709</v>
      </c>
      <c r="G48" s="276">
        <f>F48/'- 3 -'!$D48*100</f>
        <v>0.15927670571673183</v>
      </c>
      <c r="H48" s="275">
        <f>SUM(H11:H46)</f>
        <v>13687829</v>
      </c>
      <c r="I48" s="276">
        <f>H48/'- 3 -'!$D48*100</f>
        <v>0.5676431907582552</v>
      </c>
    </row>
    <row r="49" spans="1:9" ht="5.0999999999999996" customHeight="1" x14ac:dyDescent="0.2">
      <c r="A49" s="17" t="s">
        <v>1</v>
      </c>
      <c r="B49" s="18"/>
      <c r="C49" s="266"/>
      <c r="D49" s="18"/>
      <c r="E49" s="266"/>
      <c r="F49" s="18"/>
      <c r="G49" s="266"/>
      <c r="H49" s="18"/>
      <c r="I49" s="266"/>
    </row>
    <row r="50" spans="1:9" ht="14.1" customHeight="1" x14ac:dyDescent="0.2">
      <c r="A50" s="15" t="s">
        <v>144</v>
      </c>
      <c r="B50" s="16">
        <v>0</v>
      </c>
      <c r="C50" s="267">
        <f>B50/'- 3 -'!$D50*100</f>
        <v>0</v>
      </c>
      <c r="D50" s="16">
        <v>0</v>
      </c>
      <c r="E50" s="267">
        <f>D50/'- 3 -'!$D50*100</f>
        <v>0</v>
      </c>
      <c r="F50" s="16">
        <v>61600</v>
      </c>
      <c r="G50" s="267">
        <f>F50/'- 3 -'!$D50*100</f>
        <v>1.7145010607083673</v>
      </c>
      <c r="H50" s="16">
        <v>131300</v>
      </c>
      <c r="I50" s="267">
        <f>H50/'- 3 -'!$D50*100</f>
        <v>3.6544478777761138</v>
      </c>
    </row>
    <row r="51" spans="1:9" ht="14.1" customHeight="1" x14ac:dyDescent="0.2">
      <c r="A51" s="360" t="s">
        <v>514</v>
      </c>
      <c r="B51" s="272">
        <v>0</v>
      </c>
      <c r="C51" s="273">
        <f>B51/'- 3 -'!$D51*100</f>
        <v>0</v>
      </c>
      <c r="D51" s="272">
        <v>1877998</v>
      </c>
      <c r="E51" s="273">
        <f>D51/'- 3 -'!$D51*100</f>
        <v>5.7160780236350028</v>
      </c>
      <c r="F51" s="272">
        <v>9071839</v>
      </c>
      <c r="G51" s="273">
        <f>F51/'- 3 -'!$D51*100</f>
        <v>27.612031291755873</v>
      </c>
      <c r="H51" s="272">
        <v>0</v>
      </c>
      <c r="I51" s="273">
        <f>H51/'- 3 -'!$D51*100</f>
        <v>0</v>
      </c>
    </row>
    <row r="52" spans="1:9" ht="50.1" customHeight="1" x14ac:dyDescent="0.2"/>
    <row r="53" spans="1:9" ht="15" customHeight="1" x14ac:dyDescent="0.2"/>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5:I5"/>
    <mergeCell ref="B7:C8"/>
    <mergeCell ref="D6:E8"/>
    <mergeCell ref="F7:G8"/>
    <mergeCell ref="H7:I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9"/>
  <sheetViews>
    <sheetView showGridLines="0" showZeros="0" workbookViewId="0"/>
  </sheetViews>
  <sheetFormatPr defaultColWidth="15.83203125" defaultRowHeight="12" x14ac:dyDescent="0.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6"/>
      <c r="E2" s="6"/>
      <c r="F2" s="6"/>
      <c r="G2" s="85"/>
      <c r="H2" s="85"/>
      <c r="I2" s="141"/>
      <c r="J2" s="502" t="s">
        <v>529</v>
      </c>
    </row>
    <row r="3" spans="1:10" ht="15.95" customHeight="1" x14ac:dyDescent="0.2">
      <c r="A3" s="135"/>
      <c r="B3" s="7" t="str">
        <f>OPYEAR</f>
        <v>OPERATING FUND 2018/2019 BUDGET</v>
      </c>
      <c r="C3" s="8"/>
      <c r="D3" s="8"/>
      <c r="E3" s="8"/>
      <c r="F3" s="8"/>
      <c r="G3" s="87"/>
      <c r="H3" s="87"/>
      <c r="I3" s="87"/>
      <c r="J3" s="81"/>
    </row>
    <row r="4" spans="1:10" ht="15.95" customHeight="1" x14ac:dyDescent="0.2">
      <c r="B4" s="4"/>
      <c r="C4" s="4"/>
      <c r="D4" s="4"/>
      <c r="E4" s="4"/>
      <c r="F4" s="4"/>
      <c r="G4" s="4"/>
      <c r="H4" s="4"/>
      <c r="I4" s="4"/>
      <c r="J4" s="4"/>
    </row>
    <row r="5" spans="1:10" ht="15.95" customHeight="1" x14ac:dyDescent="0.2">
      <c r="B5" s="659" t="s">
        <v>87</v>
      </c>
      <c r="C5" s="660"/>
      <c r="D5" s="660"/>
      <c r="E5" s="660"/>
      <c r="F5" s="660"/>
      <c r="G5" s="660"/>
      <c r="H5" s="660"/>
      <c r="I5" s="660"/>
      <c r="J5" s="661"/>
    </row>
    <row r="6" spans="1:10" ht="15.95" customHeight="1" x14ac:dyDescent="0.2">
      <c r="B6" s="268"/>
      <c r="C6" s="269"/>
      <c r="D6" s="270"/>
      <c r="E6" s="611" t="s">
        <v>419</v>
      </c>
      <c r="F6" s="621"/>
      <c r="G6" s="612"/>
      <c r="H6" s="611" t="s">
        <v>420</v>
      </c>
      <c r="I6" s="621"/>
      <c r="J6" s="612"/>
    </row>
    <row r="7" spans="1:10" ht="15.95" customHeight="1" x14ac:dyDescent="0.2">
      <c r="B7" s="618" t="s">
        <v>18</v>
      </c>
      <c r="C7" s="620"/>
      <c r="D7" s="606"/>
      <c r="E7" s="613"/>
      <c r="F7" s="622"/>
      <c r="G7" s="614"/>
      <c r="H7" s="613"/>
      <c r="I7" s="622"/>
      <c r="J7" s="614"/>
    </row>
    <row r="8" spans="1:10" ht="15.95" customHeight="1" x14ac:dyDescent="0.2">
      <c r="A8" s="82"/>
      <c r="B8" s="138"/>
      <c r="C8" s="137"/>
      <c r="D8" s="529" t="s">
        <v>396</v>
      </c>
      <c r="E8" s="138"/>
      <c r="F8" s="137"/>
      <c r="G8" s="529" t="s">
        <v>396</v>
      </c>
      <c r="H8" s="138"/>
      <c r="I8" s="137"/>
      <c r="J8" s="529" t="s">
        <v>396</v>
      </c>
    </row>
    <row r="9" spans="1:10" ht="15.95" customHeight="1" x14ac:dyDescent="0.2">
      <c r="A9" s="27" t="s">
        <v>37</v>
      </c>
      <c r="B9" s="89" t="s">
        <v>38</v>
      </c>
      <c r="C9" s="89" t="s">
        <v>39</v>
      </c>
      <c r="D9" s="569"/>
      <c r="E9" s="89" t="s">
        <v>38</v>
      </c>
      <c r="F9" s="89" t="s">
        <v>39</v>
      </c>
      <c r="G9" s="569"/>
      <c r="H9" s="89" t="s">
        <v>38</v>
      </c>
      <c r="I9" s="89" t="s">
        <v>39</v>
      </c>
      <c r="J9" s="569"/>
    </row>
    <row r="10" spans="1:10" ht="5.0999999999999996" customHeight="1" x14ac:dyDescent="0.2">
      <c r="A10" s="29"/>
    </row>
    <row r="11" spans="1:10" ht="14.1" customHeight="1" x14ac:dyDescent="0.2">
      <c r="A11" s="271" t="s">
        <v>108</v>
      </c>
      <c r="B11" s="272">
        <v>139500</v>
      </c>
      <c r="C11" s="273">
        <f>B11/'- 3 -'!$D11*100</f>
        <v>0.6854338958706514</v>
      </c>
      <c r="D11" s="272">
        <f>B11/'- 7 -'!$E11</f>
        <v>77.34959800388134</v>
      </c>
      <c r="E11" s="272">
        <v>155101</v>
      </c>
      <c r="F11" s="273">
        <f>E11/'- 3 -'!$D11*100</f>
        <v>0.76208948160167678</v>
      </c>
      <c r="G11" s="272">
        <f>E11/'- 7 -'!$E11</f>
        <v>86</v>
      </c>
      <c r="H11" s="272">
        <v>351286</v>
      </c>
      <c r="I11" s="273">
        <f>H11/'- 3 -'!$D11*100</f>
        <v>1.7260453874180477</v>
      </c>
      <c r="J11" s="272">
        <f>H11/'- 7 -'!$E11</f>
        <v>194.78014970889936</v>
      </c>
    </row>
    <row r="12" spans="1:10" ht="14.1" customHeight="1" x14ac:dyDescent="0.2">
      <c r="A12" s="15" t="s">
        <v>109</v>
      </c>
      <c r="B12" s="16">
        <v>180917</v>
      </c>
      <c r="C12" s="267">
        <f>B12/'- 3 -'!$D12*100</f>
        <v>0.51814818923078776</v>
      </c>
      <c r="D12" s="16">
        <f>B12/'- 7 -'!$E12</f>
        <v>84.917624970664164</v>
      </c>
      <c r="E12" s="16">
        <v>191749</v>
      </c>
      <c r="F12" s="267">
        <f>E12/'- 3 -'!$D12*100</f>
        <v>0.54917115106272119</v>
      </c>
      <c r="G12" s="16">
        <f>E12/'- 7 -'!$E12</f>
        <v>90.001877493546118</v>
      </c>
      <c r="H12" s="16">
        <v>781475</v>
      </c>
      <c r="I12" s="267">
        <f>H12/'- 3 -'!$D12*100</f>
        <v>2.238152612408618</v>
      </c>
      <c r="J12" s="16">
        <f>H12/'- 7 -'!$E12</f>
        <v>366.80356723773764</v>
      </c>
    </row>
    <row r="13" spans="1:10" ht="14.1" customHeight="1" x14ac:dyDescent="0.2">
      <c r="A13" s="271" t="s">
        <v>110</v>
      </c>
      <c r="B13" s="272">
        <v>390600</v>
      </c>
      <c r="C13" s="273">
        <f>B13/'- 3 -'!$D13*100</f>
        <v>0.37516496308860847</v>
      </c>
      <c r="D13" s="272">
        <f>B13/'- 7 -'!$E13</f>
        <v>45.45031417267861</v>
      </c>
      <c r="E13" s="272">
        <v>662900</v>
      </c>
      <c r="F13" s="273">
        <f>E13/'- 3 -'!$D13*100</f>
        <v>0.63670469542098962</v>
      </c>
      <c r="G13" s="272">
        <f>E13/'- 7 -'!$E13</f>
        <v>77.135210612054919</v>
      </c>
      <c r="H13" s="272">
        <v>1852000</v>
      </c>
      <c r="I13" s="273">
        <f>H13/'- 3 -'!$D13*100</f>
        <v>1.7788159540197208</v>
      </c>
      <c r="J13" s="272">
        <f>H13/'- 7 -'!$E13</f>
        <v>215.49918547824063</v>
      </c>
    </row>
    <row r="14" spans="1:10" ht="14.1" customHeight="1" x14ac:dyDescent="0.2">
      <c r="A14" s="15" t="s">
        <v>319</v>
      </c>
      <c r="B14" s="16">
        <v>810968</v>
      </c>
      <c r="C14" s="267">
        <f>B14/'- 3 -'!$D14*100</f>
        <v>0.86895399526738903</v>
      </c>
      <c r="D14" s="16">
        <f>B14/'- 7 -'!$E14</f>
        <v>140.0635578583765</v>
      </c>
      <c r="E14" s="16">
        <v>1522886</v>
      </c>
      <c r="F14" s="267">
        <f>E14/'- 3 -'!$D14*100</f>
        <v>1.6317756977300868</v>
      </c>
      <c r="G14" s="16">
        <f>E14/'- 7 -'!$E14</f>
        <v>263.02003454231436</v>
      </c>
      <c r="H14" s="16">
        <v>1061851</v>
      </c>
      <c r="I14" s="267">
        <f>H14/'- 3 -'!$D14*100</f>
        <v>1.1377756814432534</v>
      </c>
      <c r="J14" s="16">
        <f>H14/'- 7 -'!$E14</f>
        <v>183.39395509499136</v>
      </c>
    </row>
    <row r="15" spans="1:10" ht="14.1" customHeight="1" x14ac:dyDescent="0.2">
      <c r="A15" s="271" t="s">
        <v>111</v>
      </c>
      <c r="B15" s="272">
        <v>195000</v>
      </c>
      <c r="C15" s="273">
        <f>B15/'- 3 -'!$D15*100</f>
        <v>0.93838980105991843</v>
      </c>
      <c r="D15" s="272">
        <f>B15/'- 7 -'!$E15</f>
        <v>144.55151964418087</v>
      </c>
      <c r="E15" s="272">
        <v>188850</v>
      </c>
      <c r="F15" s="273">
        <f>E15/'- 3 -'!$D15*100</f>
        <v>0.90879443041110564</v>
      </c>
      <c r="G15" s="272">
        <f>E15/'- 7 -'!$E15</f>
        <v>139.99258710155672</v>
      </c>
      <c r="H15" s="272">
        <v>365635</v>
      </c>
      <c r="I15" s="273">
        <f>H15/'- 3 -'!$D15*100</f>
        <v>1.7595289995412478</v>
      </c>
      <c r="J15" s="272">
        <f>H15/'- 7 -'!$E15</f>
        <v>271.04151223128241</v>
      </c>
    </row>
    <row r="16" spans="1:10" ht="14.1" customHeight="1" x14ac:dyDescent="0.2">
      <c r="A16" s="15" t="s">
        <v>112</v>
      </c>
      <c r="B16" s="16">
        <v>125848</v>
      </c>
      <c r="C16" s="267">
        <f>B16/'- 3 -'!$D16*100</f>
        <v>0.84646740702297285</v>
      </c>
      <c r="D16" s="16">
        <f>B16/'- 7 -'!$E16</f>
        <v>136.34669555796316</v>
      </c>
      <c r="E16" s="16">
        <v>175532</v>
      </c>
      <c r="F16" s="267">
        <f>E16/'- 3 -'!$D16*100</f>
        <v>1.1806474229988277</v>
      </c>
      <c r="G16" s="16">
        <f>E16/'- 7 -'!$E16</f>
        <v>190.17551462621884</v>
      </c>
      <c r="H16" s="16">
        <v>342846</v>
      </c>
      <c r="I16" s="267">
        <f>H16/'- 3 -'!$D16*100</f>
        <v>2.3060196795197236</v>
      </c>
      <c r="J16" s="16">
        <f>H16/'- 7 -'!$E16</f>
        <v>371.44745395449621</v>
      </c>
    </row>
    <row r="17" spans="1:10" ht="14.1" customHeight="1" x14ac:dyDescent="0.2">
      <c r="A17" s="271" t="s">
        <v>113</v>
      </c>
      <c r="B17" s="272">
        <v>130650</v>
      </c>
      <c r="C17" s="273">
        <f>B17/'- 3 -'!$D17*100</f>
        <v>0.69863388600540877</v>
      </c>
      <c r="D17" s="272">
        <f>B17/'- 7 -'!$E17</f>
        <v>93.723098995695835</v>
      </c>
      <c r="E17" s="272">
        <v>174280</v>
      </c>
      <c r="F17" s="273">
        <f>E17/'- 3 -'!$D17*100</f>
        <v>0.93193963760445953</v>
      </c>
      <c r="G17" s="272">
        <f>E17/'- 7 -'!$E17</f>
        <v>125.02152080344332</v>
      </c>
      <c r="H17" s="272">
        <v>305890</v>
      </c>
      <c r="I17" s="273">
        <f>H17/'- 3 -'!$D17*100</f>
        <v>1.6357069987768424</v>
      </c>
      <c r="J17" s="272">
        <f>H17/'- 7 -'!$E17</f>
        <v>219.43328550932569</v>
      </c>
    </row>
    <row r="18" spans="1:10" ht="14.1" customHeight="1" x14ac:dyDescent="0.2">
      <c r="A18" s="15" t="s">
        <v>114</v>
      </c>
      <c r="B18" s="16">
        <v>1225190</v>
      </c>
      <c r="C18" s="267">
        <f>B18/'- 3 -'!$D18*100</f>
        <v>0.90975458605408943</v>
      </c>
      <c r="D18" s="16">
        <f>B18/'- 7 -'!$E18</f>
        <v>199.6984613378537</v>
      </c>
      <c r="E18" s="16">
        <v>2434706</v>
      </c>
      <c r="F18" s="267">
        <f>E18/'- 3 -'!$D18*100</f>
        <v>1.8078705745177546</v>
      </c>
      <c r="G18" s="16">
        <f>E18/'- 7 -'!$E18</f>
        <v>396.84215673490678</v>
      </c>
      <c r="H18" s="16">
        <v>3088754</v>
      </c>
      <c r="I18" s="267">
        <f>H18/'- 3 -'!$D18*100</f>
        <v>2.2935284459495371</v>
      </c>
      <c r="J18" s="16">
        <f>H18/'- 7 -'!$E18</f>
        <v>503.4479723562394</v>
      </c>
    </row>
    <row r="19" spans="1:10" ht="14.1" customHeight="1" x14ac:dyDescent="0.2">
      <c r="A19" s="271" t="s">
        <v>115</v>
      </c>
      <c r="B19" s="272">
        <v>212000</v>
      </c>
      <c r="C19" s="273">
        <f>B19/'- 3 -'!$D19*100</f>
        <v>0.42129026104098433</v>
      </c>
      <c r="D19" s="272">
        <f>B19/'- 7 -'!$E19</f>
        <v>48.607130574343692</v>
      </c>
      <c r="E19" s="272">
        <v>404100</v>
      </c>
      <c r="F19" s="273">
        <f>E19/'- 3 -'!$D19*100</f>
        <v>0.80303487965406506</v>
      </c>
      <c r="G19" s="272">
        <f>E19/'- 7 -'!$E19</f>
        <v>92.651610684397568</v>
      </c>
      <c r="H19" s="272">
        <v>768700</v>
      </c>
      <c r="I19" s="273">
        <f>H19/'- 3 -'!$D19*100</f>
        <v>1.5275746399160599</v>
      </c>
      <c r="J19" s="272">
        <f>H19/'- 7 -'!$E19</f>
        <v>176.24670411555658</v>
      </c>
    </row>
    <row r="20" spans="1:10" ht="14.1" customHeight="1" x14ac:dyDescent="0.2">
      <c r="A20" s="15" t="s">
        <v>116</v>
      </c>
      <c r="B20" s="16">
        <v>336800</v>
      </c>
      <c r="C20" s="267">
        <f>B20/'- 3 -'!$D20*100</f>
        <v>0.38600701643395074</v>
      </c>
      <c r="D20" s="16">
        <f>B20/'- 7 -'!$E20</f>
        <v>42.828077314343844</v>
      </c>
      <c r="E20" s="16">
        <v>657100</v>
      </c>
      <c r="F20" s="267">
        <f>E20/'- 3 -'!$D20*100</f>
        <v>0.75310335658773464</v>
      </c>
      <c r="G20" s="16">
        <f>E20/'- 7 -'!$E20</f>
        <v>83.557985757884026</v>
      </c>
      <c r="H20" s="16">
        <v>1339100</v>
      </c>
      <c r="I20" s="267">
        <f>H20/'- 3 -'!$D20*100</f>
        <v>1.5347446428346301</v>
      </c>
      <c r="J20" s="16">
        <f>H20/'- 7 -'!$E20</f>
        <v>170.28229908443541</v>
      </c>
    </row>
    <row r="21" spans="1:10" ht="14.1" customHeight="1" x14ac:dyDescent="0.2">
      <c r="A21" s="271" t="s">
        <v>117</v>
      </c>
      <c r="B21" s="272">
        <v>179000</v>
      </c>
      <c r="C21" s="273">
        <f>B21/'- 3 -'!$D21*100</f>
        <v>0.47657564160659771</v>
      </c>
      <c r="D21" s="272">
        <f>B21/'- 7 -'!$E21</f>
        <v>63.803243628586706</v>
      </c>
      <c r="E21" s="272">
        <v>397500</v>
      </c>
      <c r="F21" s="273">
        <f>E21/'- 3 -'!$D21*100</f>
        <v>1.058317416416886</v>
      </c>
      <c r="G21" s="272">
        <f>E21/'- 7 -'!$E21</f>
        <v>141.68597397968276</v>
      </c>
      <c r="H21" s="272">
        <v>702000</v>
      </c>
      <c r="I21" s="273">
        <f>H21/'- 3 -'!$D21*100</f>
        <v>1.8690284938985007</v>
      </c>
      <c r="J21" s="272">
        <f>H21/'- 7 -'!$E21</f>
        <v>250.22277668864729</v>
      </c>
    </row>
    <row r="22" spans="1:10" ht="14.1" customHeight="1" x14ac:dyDescent="0.2">
      <c r="A22" s="15" t="s">
        <v>118</v>
      </c>
      <c r="B22" s="16">
        <v>124210</v>
      </c>
      <c r="C22" s="267">
        <f>B22/'- 3 -'!$D22*100</f>
        <v>0.5947962867012917</v>
      </c>
      <c r="D22" s="16">
        <f>B22/'- 7 -'!$E22</f>
        <v>85.238814164150426</v>
      </c>
      <c r="E22" s="16">
        <v>137375</v>
      </c>
      <c r="F22" s="267">
        <f>E22/'- 3 -'!$D22*100</f>
        <v>0.65783865941220465</v>
      </c>
      <c r="G22" s="16">
        <f>E22/'- 7 -'!$E22</f>
        <v>94.273263793576717</v>
      </c>
      <c r="H22" s="16">
        <v>521045</v>
      </c>
      <c r="I22" s="267">
        <f>H22/'- 3 -'!$D22*100</f>
        <v>2.4950940439922271</v>
      </c>
      <c r="J22" s="16">
        <f>H22/'- 7 -'!$E22</f>
        <v>357.5658797694208</v>
      </c>
    </row>
    <row r="23" spans="1:10" ht="14.1" customHeight="1" x14ac:dyDescent="0.2">
      <c r="A23" s="271" t="s">
        <v>119</v>
      </c>
      <c r="B23" s="272">
        <v>111700</v>
      </c>
      <c r="C23" s="273">
        <f>B23/'- 3 -'!$D23*100</f>
        <v>0.65822768101379092</v>
      </c>
      <c r="D23" s="272">
        <f>B23/'- 7 -'!$E23</f>
        <v>107.40384615384616</v>
      </c>
      <c r="E23" s="272">
        <v>171500</v>
      </c>
      <c r="F23" s="273">
        <f>E23/'- 3 -'!$D23*100</f>
        <v>1.0106181494526869</v>
      </c>
      <c r="G23" s="272">
        <f>E23/'- 7 -'!$E23</f>
        <v>164.90384615384616</v>
      </c>
      <c r="H23" s="272">
        <v>317050</v>
      </c>
      <c r="I23" s="273">
        <f>H23/'- 3 -'!$D23*100</f>
        <v>1.8683176926179264</v>
      </c>
      <c r="J23" s="272">
        <f>H23/'- 7 -'!$E23</f>
        <v>304.85576923076923</v>
      </c>
    </row>
    <row r="24" spans="1:10" ht="14.1" customHeight="1" x14ac:dyDescent="0.2">
      <c r="A24" s="15" t="s">
        <v>120</v>
      </c>
      <c r="B24" s="16">
        <v>363405</v>
      </c>
      <c r="C24" s="267">
        <f>B24/'- 3 -'!$D24*100</f>
        <v>0.62207264838975962</v>
      </c>
      <c r="D24" s="16">
        <f>B24/'- 7 -'!$E24</f>
        <v>96.240730932203391</v>
      </c>
      <c r="E24" s="16">
        <v>338240</v>
      </c>
      <c r="F24" s="267">
        <f>E24/'- 3 -'!$D24*100</f>
        <v>0.57899548050068728</v>
      </c>
      <c r="G24" s="16">
        <f>E24/'- 7 -'!$E24</f>
        <v>89.576271186440678</v>
      </c>
      <c r="H24" s="16">
        <v>1139305</v>
      </c>
      <c r="I24" s="267">
        <f>H24/'- 3 -'!$D24*100</f>
        <v>1.9502496627005546</v>
      </c>
      <c r="J24" s="16">
        <f>H24/'- 7 -'!$E24</f>
        <v>301.72272245762713</v>
      </c>
    </row>
    <row r="25" spans="1:10" ht="14.1" customHeight="1" x14ac:dyDescent="0.2">
      <c r="A25" s="271" t="s">
        <v>121</v>
      </c>
      <c r="B25" s="272">
        <v>493852</v>
      </c>
      <c r="C25" s="273">
        <f>B25/'- 3 -'!$D25*100</f>
        <v>0.26283079697718503</v>
      </c>
      <c r="D25" s="272">
        <f>B25/'- 7 -'!$E25</f>
        <v>33.177830030231775</v>
      </c>
      <c r="E25" s="272">
        <v>601169</v>
      </c>
      <c r="F25" s="273">
        <f>E25/'- 3 -'!$D25*100</f>
        <v>0.31994550470176764</v>
      </c>
      <c r="G25" s="272">
        <f>E25/'- 7 -'!$E25</f>
        <v>40.387571380584482</v>
      </c>
      <c r="H25" s="272">
        <v>4154221</v>
      </c>
      <c r="I25" s="273">
        <f>H25/'- 3 -'!$D25*100</f>
        <v>2.2108996546523221</v>
      </c>
      <c r="J25" s="272">
        <f>H25/'- 7 -'!$E25</f>
        <v>279.0877393349009</v>
      </c>
    </row>
    <row r="26" spans="1:10" ht="14.1" customHeight="1" x14ac:dyDescent="0.2">
      <c r="A26" s="15" t="s">
        <v>122</v>
      </c>
      <c r="B26" s="16">
        <v>228759</v>
      </c>
      <c r="C26" s="267">
        <f>B26/'- 3 -'!$D26*100</f>
        <v>0.55764152001027922</v>
      </c>
      <c r="D26" s="16">
        <f>B26/'- 7 -'!$E26</f>
        <v>80.591509600140924</v>
      </c>
      <c r="E26" s="16">
        <v>397503</v>
      </c>
      <c r="F26" s="267">
        <f>E26/'- 3 -'!$D26*100</f>
        <v>0.96898560112889998</v>
      </c>
      <c r="G26" s="16">
        <f>E26/'- 7 -'!$E26</f>
        <v>140.03980975867535</v>
      </c>
      <c r="H26" s="16">
        <v>747154</v>
      </c>
      <c r="I26" s="267">
        <f>H26/'- 3 -'!$D26*100</f>
        <v>1.8213232801409351</v>
      </c>
      <c r="J26" s="16">
        <f>H26/'- 7 -'!$E26</f>
        <v>263.22141976395983</v>
      </c>
    </row>
    <row r="27" spans="1:10" ht="14.1" customHeight="1" x14ac:dyDescent="0.2">
      <c r="A27" s="271" t="s">
        <v>123</v>
      </c>
      <c r="B27" s="272">
        <v>225700</v>
      </c>
      <c r="C27" s="273">
        <f>B27/'- 3 -'!$D27*100</f>
        <v>0.52826925113679124</v>
      </c>
      <c r="D27" s="272">
        <f>B27/'- 7 -'!$E27</f>
        <v>74.072858549392848</v>
      </c>
      <c r="E27" s="272">
        <v>528625</v>
      </c>
      <c r="F27" s="273">
        <f>E27/'- 3 -'!$D27*100</f>
        <v>1.2372899108648039</v>
      </c>
      <c r="G27" s="272">
        <f>E27/'- 7 -'!$E27</f>
        <v>173.49031834591401</v>
      </c>
      <c r="H27" s="272">
        <v>932900</v>
      </c>
      <c r="I27" s="273">
        <f>H27/'- 3 -'!$D27*100</f>
        <v>2.183528508575598</v>
      </c>
      <c r="J27" s="272">
        <f>H27/'- 7 -'!$E27</f>
        <v>306.17000328191665</v>
      </c>
    </row>
    <row r="28" spans="1:10" ht="14.1" customHeight="1" x14ac:dyDescent="0.2">
      <c r="A28" s="15" t="s">
        <v>124</v>
      </c>
      <c r="B28" s="16">
        <v>165617</v>
      </c>
      <c r="C28" s="267">
        <f>B28/'- 3 -'!$D28*100</f>
        <v>0.57520286843953128</v>
      </c>
      <c r="D28" s="16">
        <f>B28/'- 7 -'!$E28</f>
        <v>84.628002043944818</v>
      </c>
      <c r="E28" s="16">
        <v>389229</v>
      </c>
      <c r="F28" s="267">
        <f>E28/'- 3 -'!$D28*100</f>
        <v>1.351827634118782</v>
      </c>
      <c r="G28" s="16">
        <f>E28/'- 7 -'!$E28</f>
        <v>198.89064895247827</v>
      </c>
      <c r="H28" s="16">
        <v>515112</v>
      </c>
      <c r="I28" s="267">
        <f>H28/'- 3 -'!$D28*100</f>
        <v>1.7890307152503899</v>
      </c>
      <c r="J28" s="16">
        <f>H28/'- 7 -'!$E28</f>
        <v>263.21512519161985</v>
      </c>
    </row>
    <row r="29" spans="1:10" ht="14.1" customHeight="1" x14ac:dyDescent="0.2">
      <c r="A29" s="271" t="s">
        <v>125</v>
      </c>
      <c r="B29" s="272">
        <v>561626</v>
      </c>
      <c r="C29" s="273">
        <f>B29/'- 3 -'!$D29*100</f>
        <v>0.33065578523516231</v>
      </c>
      <c r="D29" s="272">
        <f>B29/'- 7 -'!$E29</f>
        <v>41.568363321466371</v>
      </c>
      <c r="E29" s="272">
        <v>2223593</v>
      </c>
      <c r="F29" s="273">
        <f>E29/'- 3 -'!$D29*100</f>
        <v>1.3091343517899996</v>
      </c>
      <c r="G29" s="272">
        <f>E29/'- 7 -'!$E29</f>
        <v>164.57771132937111</v>
      </c>
      <c r="H29" s="272">
        <v>1791867</v>
      </c>
      <c r="I29" s="273">
        <f>H29/'- 3 -'!$D29*100</f>
        <v>1.0549568394660764</v>
      </c>
      <c r="J29" s="272">
        <f>H29/'- 7 -'!$E29</f>
        <v>132.62380744435976</v>
      </c>
    </row>
    <row r="30" spans="1:10" ht="14.1" customHeight="1" x14ac:dyDescent="0.2">
      <c r="A30" s="15" t="s">
        <v>126</v>
      </c>
      <c r="B30" s="16">
        <v>129307</v>
      </c>
      <c r="C30" s="267">
        <f>B30/'- 3 -'!$D30*100</f>
        <v>0.84635562828423683</v>
      </c>
      <c r="D30" s="16">
        <f>B30/'- 7 -'!$E30</f>
        <v>128.02673267326733</v>
      </c>
      <c r="E30" s="16">
        <v>106633</v>
      </c>
      <c r="F30" s="267">
        <f>E30/'- 3 -'!$D30*100</f>
        <v>0.69794705399423862</v>
      </c>
      <c r="G30" s="16">
        <f>E30/'- 7 -'!$E30</f>
        <v>105.57722772277228</v>
      </c>
      <c r="H30" s="16">
        <v>305599</v>
      </c>
      <c r="I30" s="267">
        <f>H30/'- 3 -'!$D30*100</f>
        <v>2.000243093166143</v>
      </c>
      <c r="J30" s="16">
        <f>H30/'- 7 -'!$E30</f>
        <v>302.57326732673266</v>
      </c>
    </row>
    <row r="31" spans="1:10" ht="14.1" customHeight="1" x14ac:dyDescent="0.2">
      <c r="A31" s="271" t="s">
        <v>127</v>
      </c>
      <c r="B31" s="272">
        <v>182830</v>
      </c>
      <c r="C31" s="273">
        <f>B31/'- 3 -'!$D31*100</f>
        <v>0.46985575790588918</v>
      </c>
      <c r="D31" s="272">
        <f>B31/'- 7 -'!$E31</f>
        <v>56.309094828913729</v>
      </c>
      <c r="E31" s="272">
        <v>335106</v>
      </c>
      <c r="F31" s="273">
        <f>E31/'- 3 -'!$D31*100</f>
        <v>0.86119063397041462</v>
      </c>
      <c r="G31" s="272">
        <f>E31/'- 7 -'!$E31</f>
        <v>103.20798299916844</v>
      </c>
      <c r="H31" s="272">
        <v>645701</v>
      </c>
      <c r="I31" s="273">
        <f>H31/'- 3 -'!$D31*100</f>
        <v>1.6593903228988158</v>
      </c>
      <c r="J31" s="272">
        <f>H31/'- 7 -'!$E31</f>
        <v>198.86691921525147</v>
      </c>
    </row>
    <row r="32" spans="1:10" ht="14.1" customHeight="1" x14ac:dyDescent="0.2">
      <c r="A32" s="15" t="s">
        <v>128</v>
      </c>
      <c r="B32" s="16">
        <v>185315</v>
      </c>
      <c r="C32" s="267">
        <f>B32/'- 3 -'!$D32*100</f>
        <v>0.59722222938386871</v>
      </c>
      <c r="D32" s="16">
        <f>B32/'- 7 -'!$E32</f>
        <v>81.870996244753698</v>
      </c>
      <c r="E32" s="16">
        <v>179649</v>
      </c>
      <c r="F32" s="267">
        <f>E32/'- 3 -'!$D32*100</f>
        <v>0.57896217945974482</v>
      </c>
      <c r="G32" s="16">
        <f>E32/'- 7 -'!$E32</f>
        <v>79.367793240556665</v>
      </c>
      <c r="H32" s="16">
        <v>671479</v>
      </c>
      <c r="I32" s="267">
        <f>H32/'- 3 -'!$D32*100</f>
        <v>2.1640028349807126</v>
      </c>
      <c r="J32" s="16">
        <f>H32/'- 7 -'!$E32</f>
        <v>296.65518003092558</v>
      </c>
    </row>
    <row r="33" spans="1:10" ht="14.1" customHeight="1" x14ac:dyDescent="0.2">
      <c r="A33" s="271" t="s">
        <v>129</v>
      </c>
      <c r="B33" s="272">
        <v>216850</v>
      </c>
      <c r="C33" s="273">
        <f>B33/'- 3 -'!$D33*100</f>
        <v>0.76028683692276833</v>
      </c>
      <c r="D33" s="272">
        <f>B33/'- 7 -'!$E33</f>
        <v>105.65164433617539</v>
      </c>
      <c r="E33" s="272">
        <v>235165</v>
      </c>
      <c r="F33" s="273">
        <f>E33/'- 3 -'!$D33*100</f>
        <v>0.82450013375578901</v>
      </c>
      <c r="G33" s="272">
        <f>E33/'- 7 -'!$E33</f>
        <v>114.57490864799026</v>
      </c>
      <c r="H33" s="272">
        <v>403610</v>
      </c>
      <c r="I33" s="273">
        <f>H33/'- 3 -'!$D33*100</f>
        <v>1.4150766439953819</v>
      </c>
      <c r="J33" s="272">
        <f>H33/'- 7 -'!$E33</f>
        <v>196.64311814859926</v>
      </c>
    </row>
    <row r="34" spans="1:10" ht="14.1" customHeight="1" x14ac:dyDescent="0.2">
      <c r="A34" s="15" t="s">
        <v>130</v>
      </c>
      <c r="B34" s="16">
        <v>186484</v>
      </c>
      <c r="C34" s="267">
        <f>B34/'- 3 -'!$D34*100</f>
        <v>0.59869844952691542</v>
      </c>
      <c r="D34" s="16">
        <f>B34/'- 7 -'!$E34</f>
        <v>85.96505785276355</v>
      </c>
      <c r="E34" s="16">
        <v>258688</v>
      </c>
      <c r="F34" s="267">
        <f>E34/'- 3 -'!$D34*100</f>
        <v>0.83050612659112144</v>
      </c>
      <c r="G34" s="16">
        <f>E34/'- 7 -'!$E34</f>
        <v>119.24952749734936</v>
      </c>
      <c r="H34" s="16">
        <v>653363</v>
      </c>
      <c r="I34" s="267">
        <f>H34/'- 3 -'!$D34*100</f>
        <v>2.09759236759322</v>
      </c>
      <c r="J34" s="16">
        <f>H34/'- 7 -'!$E34</f>
        <v>301.18609689761672</v>
      </c>
    </row>
    <row r="35" spans="1:10" ht="14.1" customHeight="1" x14ac:dyDescent="0.2">
      <c r="A35" s="271" t="s">
        <v>131</v>
      </c>
      <c r="B35" s="272">
        <v>473400</v>
      </c>
      <c r="C35" s="273">
        <f>B35/'- 3 -'!$D35*100</f>
        <v>0.24797349631613999</v>
      </c>
      <c r="D35" s="272">
        <f>B35/'- 7 -'!$E35</f>
        <v>29.32358771060456</v>
      </c>
      <c r="E35" s="272">
        <v>1236556</v>
      </c>
      <c r="F35" s="273">
        <f>E35/'- 3 -'!$D35*100</f>
        <v>0.64772521062674437</v>
      </c>
      <c r="G35" s="272">
        <f>E35/'- 7 -'!$E35</f>
        <v>76.595391476709608</v>
      </c>
      <c r="H35" s="272">
        <v>2352078</v>
      </c>
      <c r="I35" s="273">
        <f>H35/'- 3 -'!$D35*100</f>
        <v>1.2320511306892141</v>
      </c>
      <c r="J35" s="272">
        <f>H35/'- 7 -'!$E35</f>
        <v>145.69363230921704</v>
      </c>
    </row>
    <row r="36" spans="1:10" ht="14.1" customHeight="1" x14ac:dyDescent="0.2">
      <c r="A36" s="15" t="s">
        <v>132</v>
      </c>
      <c r="B36" s="16">
        <v>194775</v>
      </c>
      <c r="C36" s="267">
        <f>B36/'- 3 -'!$D36*100</f>
        <v>0.80796034346870205</v>
      </c>
      <c r="D36" s="16">
        <f>B36/'- 7 -'!$E36</f>
        <v>114.40528634361233</v>
      </c>
      <c r="E36" s="16">
        <v>176285</v>
      </c>
      <c r="F36" s="267">
        <f>E36/'- 3 -'!$D36*100</f>
        <v>0.7312606296926204</v>
      </c>
      <c r="G36" s="16">
        <f>E36/'- 7 -'!$E36</f>
        <v>103.54478707782673</v>
      </c>
      <c r="H36" s="16">
        <v>511100</v>
      </c>
      <c r="I36" s="267">
        <f>H36/'- 3 -'!$D36*100</f>
        <v>2.1201310822582653</v>
      </c>
      <c r="J36" s="16">
        <f>H36/'- 7 -'!$E36</f>
        <v>300.20558002936855</v>
      </c>
    </row>
    <row r="37" spans="1:10" ht="14.1" customHeight="1" x14ac:dyDescent="0.2">
      <c r="A37" s="271" t="s">
        <v>133</v>
      </c>
      <c r="B37" s="272">
        <v>222000</v>
      </c>
      <c r="C37" s="273">
        <f>B37/'- 3 -'!$D37*100</f>
        <v>0.41849207127183885</v>
      </c>
      <c r="D37" s="272">
        <f>B37/'- 7 -'!$E37</f>
        <v>52.051582649472451</v>
      </c>
      <c r="E37" s="272">
        <v>466300</v>
      </c>
      <c r="F37" s="273">
        <f>E37/'- 3 -'!$D37*100</f>
        <v>0.87902185961287604</v>
      </c>
      <c r="G37" s="272">
        <f>E37/'- 7 -'!$E37</f>
        <v>109.33177022274326</v>
      </c>
      <c r="H37" s="272">
        <v>835000</v>
      </c>
      <c r="I37" s="273">
        <f>H37/'- 3 -'!$D37*100</f>
        <v>1.5740580158197544</v>
      </c>
      <c r="J37" s="272">
        <f>H37/'- 7 -'!$E37</f>
        <v>195.77960140679954</v>
      </c>
    </row>
    <row r="38" spans="1:10" ht="14.1" customHeight="1" x14ac:dyDescent="0.2">
      <c r="A38" s="15" t="s">
        <v>134</v>
      </c>
      <c r="B38" s="16">
        <v>445360</v>
      </c>
      <c r="C38" s="267">
        <f>B38/'- 3 -'!$D38*100</f>
        <v>0.30767130623795697</v>
      </c>
      <c r="D38" s="16">
        <f>B38/'- 7 -'!$E38</f>
        <v>39.647467283895665</v>
      </c>
      <c r="E38" s="16">
        <v>1311020</v>
      </c>
      <c r="F38" s="267">
        <f>E38/'- 3 -'!$D38*100</f>
        <v>0.90570153562081546</v>
      </c>
      <c r="G38" s="16">
        <f>E38/'- 7 -'!$E38</f>
        <v>116.71147511795603</v>
      </c>
      <c r="H38" s="16">
        <v>1910330</v>
      </c>
      <c r="I38" s="267">
        <f>H38/'- 3 -'!$D38*100</f>
        <v>1.3197272463749694</v>
      </c>
      <c r="J38" s="16">
        <f>H38/'- 7 -'!$E38</f>
        <v>170.06409685747352</v>
      </c>
    </row>
    <row r="39" spans="1:10" ht="14.1" customHeight="1" x14ac:dyDescent="0.2">
      <c r="A39" s="271" t="s">
        <v>135</v>
      </c>
      <c r="B39" s="272">
        <v>165700</v>
      </c>
      <c r="C39" s="273">
        <f>B39/'- 3 -'!$D39*100</f>
        <v>0.71109080213274023</v>
      </c>
      <c r="D39" s="272">
        <f>B39/'- 7 -'!$E39</f>
        <v>109.51751487111699</v>
      </c>
      <c r="E39" s="272">
        <v>253400</v>
      </c>
      <c r="F39" s="273">
        <f>E39/'- 3 -'!$D39*100</f>
        <v>1.0874496636115654</v>
      </c>
      <c r="G39" s="272">
        <f>E39/'- 7 -'!$E39</f>
        <v>167.4818241903503</v>
      </c>
      <c r="H39" s="272">
        <v>415400</v>
      </c>
      <c r="I39" s="273">
        <f>H39/'- 3 -'!$D39*100</f>
        <v>1.7826621557389277</v>
      </c>
      <c r="J39" s="272">
        <f>H39/'- 7 -'!$E39</f>
        <v>274.5538664904164</v>
      </c>
    </row>
    <row r="40" spans="1:10" ht="14.1" customHeight="1" x14ac:dyDescent="0.2">
      <c r="A40" s="15" t="s">
        <v>136</v>
      </c>
      <c r="B40" s="16">
        <v>501615</v>
      </c>
      <c r="C40" s="267">
        <f>B40/'- 3 -'!$D40*100</f>
        <v>0.4629780809508473</v>
      </c>
      <c r="D40" s="16">
        <f>B40/'- 7 -'!$E40</f>
        <v>60.062862958749925</v>
      </c>
      <c r="E40" s="16">
        <v>1131105</v>
      </c>
      <c r="F40" s="267">
        <f>E40/'- 3 -'!$D40*100</f>
        <v>1.0439815839915236</v>
      </c>
      <c r="G40" s="16">
        <f>E40/'- 7 -'!$E40</f>
        <v>135.43734658444592</v>
      </c>
      <c r="H40" s="16">
        <v>1610245</v>
      </c>
      <c r="I40" s="267">
        <f>H40/'- 3 -'!$D40*100</f>
        <v>1.4862158028780981</v>
      </c>
      <c r="J40" s="16">
        <f>H40/'- 7 -'!$E40</f>
        <v>192.80907621385379</v>
      </c>
    </row>
    <row r="41" spans="1:10" ht="14.1" customHeight="1" x14ac:dyDescent="0.2">
      <c r="A41" s="271" t="s">
        <v>137</v>
      </c>
      <c r="B41" s="272">
        <v>311142</v>
      </c>
      <c r="C41" s="273">
        <f>B41/'- 3 -'!$D41*100</f>
        <v>0.47861539428508526</v>
      </c>
      <c r="D41" s="272">
        <f>B41/'- 7 -'!$E41</f>
        <v>71.379215416379907</v>
      </c>
      <c r="E41" s="272">
        <v>411331</v>
      </c>
      <c r="F41" s="273">
        <f>E41/'- 3 -'!$D41*100</f>
        <v>0.63273151405685635</v>
      </c>
      <c r="G41" s="272">
        <f>E41/'- 7 -'!$E41</f>
        <v>94.363615508144065</v>
      </c>
      <c r="H41" s="272">
        <v>1278597</v>
      </c>
      <c r="I41" s="273">
        <f>H41/'- 3 -'!$D41*100</f>
        <v>1.9668068190303052</v>
      </c>
      <c r="J41" s="272">
        <f>H41/'- 7 -'!$E41</f>
        <v>293.3234686854783</v>
      </c>
    </row>
    <row r="42" spans="1:10" ht="14.1" customHeight="1" x14ac:dyDescent="0.2">
      <c r="A42" s="15" t="s">
        <v>138</v>
      </c>
      <c r="B42" s="16">
        <v>203640</v>
      </c>
      <c r="C42" s="267">
        <f>B42/'- 3 -'!$D42*100</f>
        <v>0.95637279415273191</v>
      </c>
      <c r="D42" s="16">
        <f>B42/'- 7 -'!$E42</f>
        <v>144.83641536273115</v>
      </c>
      <c r="E42" s="16">
        <v>214183</v>
      </c>
      <c r="F42" s="267">
        <f>E42/'- 3 -'!$D42*100</f>
        <v>1.0058868305343476</v>
      </c>
      <c r="G42" s="16">
        <f>E42/'- 7 -'!$E42</f>
        <v>152.33499288762448</v>
      </c>
      <c r="H42" s="16">
        <v>343176</v>
      </c>
      <c r="I42" s="267">
        <f>H42/'- 3 -'!$D42*100</f>
        <v>1.611688224347662</v>
      </c>
      <c r="J42" s="16">
        <f>H42/'- 7 -'!$E42</f>
        <v>244.0796586059744</v>
      </c>
    </row>
    <row r="43" spans="1:10" ht="14.1" customHeight="1" x14ac:dyDescent="0.2">
      <c r="A43" s="271" t="s">
        <v>139</v>
      </c>
      <c r="B43" s="272">
        <v>69080</v>
      </c>
      <c r="C43" s="273">
        <f>B43/'- 3 -'!$D43*100</f>
        <v>0.50131144321744414</v>
      </c>
      <c r="D43" s="272">
        <f>B43/'- 7 -'!$E43</f>
        <v>72.754081095313325</v>
      </c>
      <c r="E43" s="272">
        <v>139971</v>
      </c>
      <c r="F43" s="273">
        <f>E43/'- 3 -'!$D43*100</f>
        <v>1.0157652579413561</v>
      </c>
      <c r="G43" s="272">
        <f>E43/'- 7 -'!$E43</f>
        <v>147.41548183254343</v>
      </c>
      <c r="H43" s="272">
        <v>278159</v>
      </c>
      <c r="I43" s="273">
        <f>H43/'- 3 -'!$D43*100</f>
        <v>2.0185913395182551</v>
      </c>
      <c r="J43" s="272">
        <f>H43/'- 7 -'!$E43</f>
        <v>292.95313322801474</v>
      </c>
    </row>
    <row r="44" spans="1:10" ht="14.1" customHeight="1" x14ac:dyDescent="0.2">
      <c r="A44" s="15" t="s">
        <v>140</v>
      </c>
      <c r="B44" s="16">
        <v>97850</v>
      </c>
      <c r="C44" s="267">
        <f>B44/'- 3 -'!$D44*100</f>
        <v>0.86726648240614568</v>
      </c>
      <c r="D44" s="16">
        <f>B44/'- 7 -'!$E44</f>
        <v>140.89272858171347</v>
      </c>
      <c r="E44" s="16">
        <v>52212</v>
      </c>
      <c r="F44" s="267">
        <f>E44/'- 3 -'!$D44*100</f>
        <v>0.46276665896157049</v>
      </c>
      <c r="G44" s="16">
        <f>E44/'- 7 -'!$E44</f>
        <v>75.179265658747298</v>
      </c>
      <c r="H44" s="16">
        <v>244897</v>
      </c>
      <c r="I44" s="267">
        <f>H44/'- 3 -'!$D44*100</f>
        <v>2.1705770029822977</v>
      </c>
      <c r="J44" s="16">
        <f>H44/'- 7 -'!$E44</f>
        <v>352.62347012239019</v>
      </c>
    </row>
    <row r="45" spans="1:10" ht="14.1" customHeight="1" x14ac:dyDescent="0.2">
      <c r="A45" s="271" t="s">
        <v>141</v>
      </c>
      <c r="B45" s="272">
        <v>144368</v>
      </c>
      <c r="C45" s="273">
        <f>B45/'- 3 -'!$D45*100</f>
        <v>0.69675494088963286</v>
      </c>
      <c r="D45" s="272">
        <f>B45/'- 7 -'!$E45</f>
        <v>80.293659621802007</v>
      </c>
      <c r="E45" s="272">
        <v>176742</v>
      </c>
      <c r="F45" s="273">
        <f>E45/'- 3 -'!$D45*100</f>
        <v>0.85299970743319498</v>
      </c>
      <c r="G45" s="272">
        <f>E45/'- 7 -'!$E45</f>
        <v>98.299221357063402</v>
      </c>
      <c r="H45" s="272">
        <v>388330</v>
      </c>
      <c r="I45" s="273">
        <f>H45/'- 3 -'!$D45*100</f>
        <v>1.8741746522475278</v>
      </c>
      <c r="J45" s="272">
        <f>H45/'- 7 -'!$E45</f>
        <v>215.97886540600666</v>
      </c>
    </row>
    <row r="46" spans="1:10" ht="14.1" customHeight="1" x14ac:dyDescent="0.2">
      <c r="A46" s="15" t="s">
        <v>142</v>
      </c>
      <c r="B46" s="16">
        <v>1157000</v>
      </c>
      <c r="C46" s="267">
        <f>B46/'- 3 -'!$D46*100</f>
        <v>0.284636014623452</v>
      </c>
      <c r="D46" s="16">
        <f>B46/'- 7 -'!$E46</f>
        <v>38.241612956536109</v>
      </c>
      <c r="E46" s="16">
        <v>3175700</v>
      </c>
      <c r="F46" s="267">
        <f>E46/'- 3 -'!$D46*100</f>
        <v>0.78126066693145779</v>
      </c>
      <c r="G46" s="16">
        <f>E46/'- 7 -'!$E46</f>
        <v>104.96446868286233</v>
      </c>
      <c r="H46" s="16">
        <v>6089700</v>
      </c>
      <c r="I46" s="267">
        <f>H46/'- 3 -'!$D46*100</f>
        <v>1.4981399639174033</v>
      </c>
      <c r="J46" s="16">
        <f>H46/'- 7 -'!$E46</f>
        <v>201.27912741695587</v>
      </c>
    </row>
    <row r="47" spans="1:10" ht="5.0999999999999996" customHeight="1" x14ac:dyDescent="0.2">
      <c r="A47"/>
      <c r="B47" s="507"/>
      <c r="C47"/>
      <c r="D47"/>
      <c r="E47"/>
      <c r="F47"/>
      <c r="G47"/>
      <c r="H47"/>
      <c r="I47"/>
      <c r="J47"/>
    </row>
    <row r="48" spans="1:10" ht="14.1" customHeight="1" x14ac:dyDescent="0.2">
      <c r="A48" s="274" t="s">
        <v>143</v>
      </c>
      <c r="B48" s="275">
        <f>SUM(B11:B46)</f>
        <v>11088058</v>
      </c>
      <c r="C48" s="276">
        <f>B48/'- 3 -'!$D48*100</f>
        <v>0.45982899278129491</v>
      </c>
      <c r="D48" s="275">
        <f>B48/'- 7 -'!$E48</f>
        <v>61.918514588859416</v>
      </c>
      <c r="E48" s="275">
        <f>SUM(E11:E46)</f>
        <v>21611984</v>
      </c>
      <c r="F48" s="276">
        <f>E48/'- 3 -'!$D48*100</f>
        <v>0.89626306380481235</v>
      </c>
      <c r="G48" s="275">
        <f>E48/'- 7 -'!$E48</f>
        <v>120.68677369817115</v>
      </c>
      <c r="H48" s="275">
        <f>SUM(H11:H46)</f>
        <v>40014955</v>
      </c>
      <c r="I48" s="276">
        <f>H48/'- 3 -'!$D48*100</f>
        <v>1.6594462667708663</v>
      </c>
      <c r="J48" s="275">
        <f>H48/'- 7 -'!$E48</f>
        <v>223.4536088231188</v>
      </c>
    </row>
    <row r="49" spans="1:10" ht="5.0999999999999996" customHeight="1" x14ac:dyDescent="0.2">
      <c r="A49" s="17" t="s">
        <v>1</v>
      </c>
      <c r="B49" s="18"/>
      <c r="C49" s="266"/>
      <c r="D49" s="18"/>
      <c r="E49" s="18"/>
      <c r="F49" s="266"/>
      <c r="H49" s="18"/>
      <c r="I49" s="266"/>
      <c r="J49" s="18"/>
    </row>
    <row r="50" spans="1:10" ht="14.1" customHeight="1" x14ac:dyDescent="0.2">
      <c r="A50" s="15" t="s">
        <v>144</v>
      </c>
      <c r="B50" s="16">
        <v>48800</v>
      </c>
      <c r="C50" s="267">
        <f>B50/'- 3 -'!$D50*100</f>
        <v>1.3582411000416934</v>
      </c>
      <c r="D50" s="16">
        <f>B50/'- 7 -'!$E50</f>
        <v>290.47619047619048</v>
      </c>
      <c r="E50" s="16">
        <v>16050</v>
      </c>
      <c r="F50" s="267">
        <f>E50/'- 3 -'!$D50*100</f>
        <v>0.44671659130469632</v>
      </c>
      <c r="G50" s="16">
        <f>E50/'- 7 -'!$E50</f>
        <v>95.535714285714292</v>
      </c>
      <c r="H50" s="16">
        <v>79100</v>
      </c>
      <c r="I50" s="267">
        <f>H50/'- 3 -'!$D50*100</f>
        <v>2.2015752256823355</v>
      </c>
      <c r="J50" s="16">
        <f>H50/'- 7 -'!$E50</f>
        <v>470.83333333333331</v>
      </c>
    </row>
    <row r="51" spans="1:10" ht="14.1" customHeight="1" x14ac:dyDescent="0.2">
      <c r="A51" s="360" t="s">
        <v>514</v>
      </c>
      <c r="B51" s="272">
        <v>77045</v>
      </c>
      <c r="C51" s="273">
        <f>B51/'- 3 -'!$D51*100</f>
        <v>0.23450250284130164</v>
      </c>
      <c r="D51" s="272">
        <f>B51/'- 7 -'!$E51</f>
        <v>56.237226277372265</v>
      </c>
      <c r="E51" s="272">
        <v>463497</v>
      </c>
      <c r="F51" s="273">
        <f>E51/'- 3 -'!$D51*100</f>
        <v>1.4107496470820273</v>
      </c>
      <c r="G51" s="272">
        <f>E51/'- 7 -'!$E51</f>
        <v>338.31897810218976</v>
      </c>
      <c r="H51" s="272">
        <v>4016892</v>
      </c>
      <c r="I51" s="273">
        <f>H51/'- 3 -'!$D51*100</f>
        <v>12.226247357300304</v>
      </c>
      <c r="J51" s="272">
        <f>H51/'- 7 -'!$E51</f>
        <v>2932.0379562043795</v>
      </c>
    </row>
    <row r="52" spans="1:10" ht="50.1" customHeight="1" x14ac:dyDescent="0.2">
      <c r="B52"/>
      <c r="C52"/>
      <c r="D52"/>
      <c r="E52"/>
      <c r="F52"/>
      <c r="G52"/>
      <c r="H52"/>
      <c r="I52"/>
      <c r="J52"/>
    </row>
    <row r="53" spans="1:10" ht="15" customHeight="1" x14ac:dyDescent="0.2"/>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B5:J5"/>
    <mergeCell ref="D8:D9"/>
    <mergeCell ref="G8:G9"/>
    <mergeCell ref="J8:J9"/>
    <mergeCell ref="B7: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9"/>
  <sheetViews>
    <sheetView showGridLines="0" showZeros="0" workbookViewId="0"/>
  </sheetViews>
  <sheetFormatPr defaultColWidth="15.83203125" defaultRowHeight="12" x14ac:dyDescent="0.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x14ac:dyDescent="0.2">
      <c r="A1" s="3"/>
      <c r="B1" s="4"/>
      <c r="C1" s="4"/>
      <c r="D1" s="4"/>
      <c r="E1" s="4"/>
    </row>
    <row r="2" spans="1:5" ht="15.95" customHeight="1" x14ac:dyDescent="0.2">
      <c r="A2" s="132"/>
      <c r="B2" s="5" t="str">
        <f>AEXP_BP</f>
        <v>ANALYSIS OF EXPENSE BY PROGRAM</v>
      </c>
      <c r="C2" s="6"/>
      <c r="D2" s="6"/>
      <c r="E2" s="502" t="s">
        <v>530</v>
      </c>
    </row>
    <row r="3" spans="1:5" ht="15.95" customHeight="1" x14ac:dyDescent="0.2">
      <c r="A3" s="135"/>
      <c r="B3" s="7" t="str">
        <f>OPYEAR</f>
        <v>OPERATING FUND 2018/2019 BUDGET</v>
      </c>
      <c r="C3" s="8"/>
      <c r="D3" s="8"/>
      <c r="E3" s="81"/>
    </row>
    <row r="4" spans="1:5" ht="15.95" customHeight="1" x14ac:dyDescent="0.2">
      <c r="B4" s="4"/>
      <c r="C4" s="4"/>
      <c r="D4" s="4"/>
      <c r="E4" s="4"/>
    </row>
    <row r="5" spans="1:5" ht="15.95" customHeight="1" x14ac:dyDescent="0.2">
      <c r="B5" s="659" t="s">
        <v>238</v>
      </c>
      <c r="C5" s="660"/>
      <c r="D5" s="661"/>
      <c r="E5" s="55"/>
    </row>
    <row r="6" spans="1:5" ht="15.95" customHeight="1" x14ac:dyDescent="0.2">
      <c r="B6" s="611" t="s">
        <v>421</v>
      </c>
      <c r="C6" s="621"/>
      <c r="D6" s="612"/>
      <c r="E6" s="84"/>
    </row>
    <row r="7" spans="1:5" ht="15.95" customHeight="1" x14ac:dyDescent="0.2">
      <c r="B7" s="613"/>
      <c r="C7" s="622"/>
      <c r="D7" s="614"/>
      <c r="E7" s="84"/>
    </row>
    <row r="8" spans="1:5" ht="15.95" customHeight="1" x14ac:dyDescent="0.2">
      <c r="A8" s="82"/>
      <c r="B8" s="138"/>
      <c r="C8" s="137"/>
      <c r="D8" s="529" t="s">
        <v>396</v>
      </c>
      <c r="E8" s="84"/>
    </row>
    <row r="9" spans="1:5" ht="15.95" customHeight="1" x14ac:dyDescent="0.2">
      <c r="A9" s="27" t="s">
        <v>37</v>
      </c>
      <c r="B9" s="89" t="s">
        <v>38</v>
      </c>
      <c r="C9" s="89" t="s">
        <v>39</v>
      </c>
      <c r="D9" s="569"/>
    </row>
    <row r="10" spans="1:5" ht="5.0999999999999996" customHeight="1" x14ac:dyDescent="0.2">
      <c r="A10" s="29"/>
    </row>
    <row r="11" spans="1:5" ht="14.1" customHeight="1" x14ac:dyDescent="0.2">
      <c r="A11" s="271" t="s">
        <v>108</v>
      </c>
      <c r="B11" s="272">
        <v>13200</v>
      </c>
      <c r="C11" s="273">
        <f>B11/'- 3 -'!$D11*100</f>
        <v>6.4858261114642282E-2</v>
      </c>
      <c r="D11" s="272">
        <f>B11/'- 7 -'!$E11</f>
        <v>7.3191017466038257</v>
      </c>
    </row>
    <row r="12" spans="1:5" ht="14.1" customHeight="1" x14ac:dyDescent="0.2">
      <c r="A12" s="15" t="s">
        <v>109</v>
      </c>
      <c r="B12" s="16">
        <v>90852</v>
      </c>
      <c r="C12" s="267">
        <f>B12/'- 3 -'!$D12*100</f>
        <v>0.26020108275062892</v>
      </c>
      <c r="D12" s="16">
        <f>B12/'- 7 -'!$E12</f>
        <v>42.643510912931234</v>
      </c>
    </row>
    <row r="13" spans="1:5" ht="14.1" customHeight="1" x14ac:dyDescent="0.2">
      <c r="A13" s="271" t="s">
        <v>110</v>
      </c>
      <c r="B13" s="272">
        <v>340400</v>
      </c>
      <c r="C13" s="273">
        <f>B13/'- 3 -'!$D13*100</f>
        <v>0.32694867750988815</v>
      </c>
      <c r="D13" s="272">
        <f>B13/'- 7 -'!$E13</f>
        <v>39.609029555503838</v>
      </c>
    </row>
    <row r="14" spans="1:5" ht="14.1" customHeight="1" x14ac:dyDescent="0.2">
      <c r="A14" s="15" t="s">
        <v>319</v>
      </c>
      <c r="B14" s="16">
        <v>122265</v>
      </c>
      <c r="C14" s="267">
        <f>B14/'- 3 -'!$D14*100</f>
        <v>0.13100721635300941</v>
      </c>
      <c r="D14" s="16">
        <f>B14/'- 7 -'!$E14</f>
        <v>21.116580310880828</v>
      </c>
    </row>
    <row r="15" spans="1:5" ht="14.1" customHeight="1" x14ac:dyDescent="0.2">
      <c r="A15" s="271" t="s">
        <v>111</v>
      </c>
      <c r="B15" s="272">
        <v>44500</v>
      </c>
      <c r="C15" s="273">
        <f>B15/'- 3 -'!$D15*100</f>
        <v>0.21414536485726346</v>
      </c>
      <c r="D15" s="272">
        <f>B15/'- 7 -'!$E15</f>
        <v>32.987398072646407</v>
      </c>
    </row>
    <row r="16" spans="1:5" ht="14.1" customHeight="1" x14ac:dyDescent="0.2">
      <c r="A16" s="15" t="s">
        <v>112</v>
      </c>
      <c r="B16" s="16">
        <v>7817</v>
      </c>
      <c r="C16" s="267">
        <f>B16/'- 3 -'!$D16*100</f>
        <v>5.2577996636407248E-2</v>
      </c>
      <c r="D16" s="16">
        <f>B16/'- 7 -'!$E16</f>
        <v>8.4691224268689052</v>
      </c>
    </row>
    <row r="17" spans="1:4" ht="14.1" customHeight="1" x14ac:dyDescent="0.2">
      <c r="A17" s="271" t="s">
        <v>113</v>
      </c>
      <c r="B17" s="272">
        <v>88000</v>
      </c>
      <c r="C17" s="273">
        <f>B17/'- 3 -'!$D17*100</f>
        <v>0.47056855697264427</v>
      </c>
      <c r="D17" s="272">
        <f>B17/'- 7 -'!$E17</f>
        <v>63.127690100430414</v>
      </c>
    </row>
    <row r="18" spans="1:4" ht="14.1" customHeight="1" x14ac:dyDescent="0.2">
      <c r="A18" s="15" t="s">
        <v>114</v>
      </c>
      <c r="B18" s="16">
        <v>639964</v>
      </c>
      <c r="C18" s="267">
        <f>B18/'- 3 -'!$D18*100</f>
        <v>0.47519991504135622</v>
      </c>
      <c r="D18" s="16">
        <f>B18/'- 7 -'!$E18</f>
        <v>104.3102099361064</v>
      </c>
    </row>
    <row r="19" spans="1:4" ht="14.1" customHeight="1" x14ac:dyDescent="0.2">
      <c r="A19" s="271" t="s">
        <v>115</v>
      </c>
      <c r="B19" s="272">
        <v>164300</v>
      </c>
      <c r="C19" s="273">
        <f>B19/'- 3 -'!$D19*100</f>
        <v>0.32649995230676288</v>
      </c>
      <c r="D19" s="272">
        <f>B19/'- 7 -'!$E19</f>
        <v>37.670526195116359</v>
      </c>
    </row>
    <row r="20" spans="1:4" ht="14.1" customHeight="1" x14ac:dyDescent="0.2">
      <c r="A20" s="15" t="s">
        <v>116</v>
      </c>
      <c r="B20" s="16">
        <v>103300</v>
      </c>
      <c r="C20" s="267">
        <f>B20/'- 3 -'!$D20*100</f>
        <v>0.11839229452977171</v>
      </c>
      <c r="D20" s="16">
        <f>B20/'- 7 -'!$E20</f>
        <v>13.135808748728383</v>
      </c>
    </row>
    <row r="21" spans="1:4" ht="14.1" customHeight="1" x14ac:dyDescent="0.2">
      <c r="A21" s="271" t="s">
        <v>117</v>
      </c>
      <c r="B21" s="272">
        <v>40000</v>
      </c>
      <c r="C21" s="273">
        <f>B21/'- 3 -'!$D21*100</f>
        <v>0.10649735007968665</v>
      </c>
      <c r="D21" s="272">
        <f>B21/'- 7 -'!$E21</f>
        <v>14.257708073427196</v>
      </c>
    </row>
    <row r="22" spans="1:4" ht="14.1" customHeight="1" x14ac:dyDescent="0.2">
      <c r="A22" s="15" t="s">
        <v>118</v>
      </c>
      <c r="B22" s="16">
        <v>65000</v>
      </c>
      <c r="C22" s="267">
        <f>B22/'- 3 -'!$D22*100</f>
        <v>0.31126124012224426</v>
      </c>
      <c r="D22" s="16">
        <f>B22/'- 7 -'!$E22</f>
        <v>44.606093878671423</v>
      </c>
    </row>
    <row r="23" spans="1:4" ht="14.1" customHeight="1" x14ac:dyDescent="0.2">
      <c r="A23" s="271" t="s">
        <v>119</v>
      </c>
      <c r="B23" s="272">
        <v>40000</v>
      </c>
      <c r="C23" s="273">
        <f>B23/'- 3 -'!$D23*100</f>
        <v>0.23571268791899402</v>
      </c>
      <c r="D23" s="272">
        <f>B23/'- 7 -'!$E23</f>
        <v>38.46153846153846</v>
      </c>
    </row>
    <row r="24" spans="1:4" ht="14.1" customHeight="1" x14ac:dyDescent="0.2">
      <c r="A24" s="15" t="s">
        <v>120</v>
      </c>
      <c r="B24" s="16">
        <v>133515</v>
      </c>
      <c r="C24" s="267">
        <f>B24/'- 3 -'!$D24*100</f>
        <v>0.22854949615376435</v>
      </c>
      <c r="D24" s="16">
        <f>B24/'- 7 -'!$E24</f>
        <v>35.358845338983052</v>
      </c>
    </row>
    <row r="25" spans="1:4" ht="14.1" customHeight="1" x14ac:dyDescent="0.2">
      <c r="A25" s="271" t="s">
        <v>121</v>
      </c>
      <c r="B25" s="272">
        <v>977432</v>
      </c>
      <c r="C25" s="273">
        <f>B25/'- 3 -'!$D25*100</f>
        <v>0.52019477809344494</v>
      </c>
      <c r="D25" s="272">
        <f>B25/'- 7 -'!$E25</f>
        <v>65.665569365132683</v>
      </c>
    </row>
    <row r="26" spans="1:4" ht="14.1" customHeight="1" x14ac:dyDescent="0.2">
      <c r="A26" s="15" t="s">
        <v>122</v>
      </c>
      <c r="B26" s="16">
        <v>32000</v>
      </c>
      <c r="C26" s="267">
        <f>B26/'- 3 -'!$D26*100</f>
        <v>7.8005799292394776E-2</v>
      </c>
      <c r="D26" s="16">
        <f>B26/'- 7 -'!$E26</f>
        <v>11.273559978862075</v>
      </c>
    </row>
    <row r="27" spans="1:4" ht="14.1" customHeight="1" x14ac:dyDescent="0.2">
      <c r="A27" s="271" t="s">
        <v>123</v>
      </c>
      <c r="B27" s="272">
        <v>219256</v>
      </c>
      <c r="C27" s="273">
        <f>B27/'- 3 -'!$D27*100</f>
        <v>0.51318654376273054</v>
      </c>
      <c r="D27" s="272">
        <f>B27/'- 7 -'!$E27</f>
        <v>71.95799146701674</v>
      </c>
    </row>
    <row r="28" spans="1:4" ht="14.1" customHeight="1" x14ac:dyDescent="0.2">
      <c r="A28" s="15" t="s">
        <v>124</v>
      </c>
      <c r="B28" s="16">
        <v>82500</v>
      </c>
      <c r="C28" s="267">
        <f>B28/'- 3 -'!$D28*100</f>
        <v>0.28652998572768096</v>
      </c>
      <c r="D28" s="16">
        <f>B28/'- 7 -'!$E28</f>
        <v>42.156361778231989</v>
      </c>
    </row>
    <row r="29" spans="1:4" ht="14.1" customHeight="1" x14ac:dyDescent="0.2">
      <c r="A29" s="271" t="s">
        <v>125</v>
      </c>
      <c r="B29" s="272">
        <v>1632232</v>
      </c>
      <c r="C29" s="273">
        <f>B29/'- 3 -'!$D29*100</f>
        <v>0.96097216590036694</v>
      </c>
      <c r="D29" s="272">
        <f>B29/'- 7 -'!$E29</f>
        <v>120.80853237016039</v>
      </c>
    </row>
    <row r="30" spans="1:4" ht="14.1" customHeight="1" x14ac:dyDescent="0.2">
      <c r="A30" s="15" t="s">
        <v>126</v>
      </c>
      <c r="B30" s="16">
        <v>36757</v>
      </c>
      <c r="C30" s="267">
        <f>B30/'- 3 -'!$D30*100</f>
        <v>0.24058630877557821</v>
      </c>
      <c r="D30" s="16">
        <f>B30/'- 7 -'!$E30</f>
        <v>36.393069306930691</v>
      </c>
    </row>
    <row r="31" spans="1:4" ht="14.1" customHeight="1" x14ac:dyDescent="0.2">
      <c r="A31" s="271" t="s">
        <v>127</v>
      </c>
      <c r="B31" s="272">
        <v>77983</v>
      </c>
      <c r="C31" s="273">
        <f>B31/'- 3 -'!$D31*100</f>
        <v>0.20040891302726552</v>
      </c>
      <c r="D31" s="272">
        <f>B31/'- 7 -'!$E31</f>
        <v>24.017678400936276</v>
      </c>
    </row>
    <row r="32" spans="1:4" ht="14.1" customHeight="1" x14ac:dyDescent="0.2">
      <c r="A32" s="15" t="s">
        <v>128</v>
      </c>
      <c r="B32" s="16">
        <v>70000</v>
      </c>
      <c r="C32" s="267">
        <f>B32/'- 3 -'!$D32*100</f>
        <v>0.22559186281127164</v>
      </c>
      <c r="D32" s="16">
        <f>B32/'- 7 -'!$E32</f>
        <v>30.925557764523969</v>
      </c>
    </row>
    <row r="33" spans="1:5" ht="14.1" customHeight="1" x14ac:dyDescent="0.2">
      <c r="A33" s="271" t="s">
        <v>129</v>
      </c>
      <c r="B33" s="272">
        <v>55000</v>
      </c>
      <c r="C33" s="273">
        <f>B33/'- 3 -'!$D33*100</f>
        <v>0.1928327232222839</v>
      </c>
      <c r="D33" s="272">
        <f>B33/'- 7 -'!$E33</f>
        <v>26.796589524969548</v>
      </c>
    </row>
    <row r="34" spans="1:5" ht="14.1" customHeight="1" x14ac:dyDescent="0.2">
      <c r="A34" s="15" t="s">
        <v>130</v>
      </c>
      <c r="B34" s="16">
        <v>42490</v>
      </c>
      <c r="C34" s="267">
        <f>B34/'- 3 -'!$D34*100</f>
        <v>0.13641222367816347</v>
      </c>
      <c r="D34" s="16">
        <f>B34/'- 7 -'!$E34</f>
        <v>19.586963536624715</v>
      </c>
    </row>
    <row r="35" spans="1:5" ht="14.1" customHeight="1" x14ac:dyDescent="0.2">
      <c r="A35" s="271" t="s">
        <v>131</v>
      </c>
      <c r="B35" s="272">
        <v>1068851</v>
      </c>
      <c r="C35" s="273">
        <f>B35/'- 3 -'!$D35*100</f>
        <v>0.55987900192438222</v>
      </c>
      <c r="D35" s="272">
        <f>B35/'- 7 -'!$E35</f>
        <v>66.20732160555005</v>
      </c>
    </row>
    <row r="36" spans="1:5" ht="14.1" customHeight="1" x14ac:dyDescent="0.2">
      <c r="A36" s="15" t="s">
        <v>132</v>
      </c>
      <c r="B36" s="16">
        <v>43000</v>
      </c>
      <c r="C36" s="267">
        <f>B36/'- 3 -'!$D36*100</f>
        <v>0.17837142738623635</v>
      </c>
      <c r="D36" s="16">
        <f>B36/'- 7 -'!$E36</f>
        <v>25.25697503671072</v>
      </c>
    </row>
    <row r="37" spans="1:5" ht="14.1" customHeight="1" x14ac:dyDescent="0.2">
      <c r="A37" s="271" t="s">
        <v>133</v>
      </c>
      <c r="B37" s="272">
        <v>192800</v>
      </c>
      <c r="C37" s="273">
        <f>B37/'- 3 -'!$D37*100</f>
        <v>0.36344716820365103</v>
      </c>
      <c r="D37" s="272">
        <f>B37/'- 7 -'!$E37</f>
        <v>45.205158264947244</v>
      </c>
    </row>
    <row r="38" spans="1:5" ht="14.1" customHeight="1" x14ac:dyDescent="0.2">
      <c r="A38" s="15" t="s">
        <v>134</v>
      </c>
      <c r="B38" s="16">
        <v>580280</v>
      </c>
      <c r="C38" s="267">
        <f>B38/'- 3 -'!$D38*100</f>
        <v>0.4008790766655328</v>
      </c>
      <c r="D38" s="16">
        <f>B38/'- 7 -'!$E38</f>
        <v>51.658506187127216</v>
      </c>
    </row>
    <row r="39" spans="1:5" ht="14.1" customHeight="1" x14ac:dyDescent="0.2">
      <c r="A39" s="271" t="s">
        <v>135</v>
      </c>
      <c r="B39" s="272">
        <v>55900</v>
      </c>
      <c r="C39" s="273">
        <f>B39/'- 3 -'!$D39*100</f>
        <v>0.23989122413530586</v>
      </c>
      <c r="D39" s="272">
        <f>B39/'- 7 -'!$E39</f>
        <v>36.94646397884997</v>
      </c>
    </row>
    <row r="40" spans="1:5" ht="14.1" customHeight="1" x14ac:dyDescent="0.2">
      <c r="A40" s="15" t="s">
        <v>136</v>
      </c>
      <c r="B40" s="16">
        <v>433183</v>
      </c>
      <c r="C40" s="267">
        <f>B40/'- 3 -'!$D40*100</f>
        <v>0.39981705898055458</v>
      </c>
      <c r="D40" s="16">
        <f>B40/'- 7 -'!$E40</f>
        <v>51.868885828893013</v>
      </c>
    </row>
    <row r="41" spans="1:5" ht="14.1" customHeight="1" x14ac:dyDescent="0.2">
      <c r="A41" s="271" t="s">
        <v>137</v>
      </c>
      <c r="B41" s="272">
        <v>117473</v>
      </c>
      <c r="C41" s="273">
        <f>B41/'- 3 -'!$D41*100</f>
        <v>0.18070330014222388</v>
      </c>
      <c r="D41" s="272">
        <f>B41/'- 7 -'!$E41</f>
        <v>26.949529708648772</v>
      </c>
    </row>
    <row r="42" spans="1:5" ht="14.1" customHeight="1" x14ac:dyDescent="0.2">
      <c r="A42" s="15" t="s">
        <v>138</v>
      </c>
      <c r="B42" s="16">
        <v>19000</v>
      </c>
      <c r="C42" s="267">
        <f>B42/'- 3 -'!$D42*100</f>
        <v>8.9231403893645186E-2</v>
      </c>
      <c r="D42" s="16">
        <f>B42/'- 7 -'!$E42</f>
        <v>13.513513513513514</v>
      </c>
    </row>
    <row r="43" spans="1:5" ht="14.1" customHeight="1" x14ac:dyDescent="0.2">
      <c r="A43" s="271" t="s">
        <v>139</v>
      </c>
      <c r="B43" s="272">
        <v>12500</v>
      </c>
      <c r="C43" s="273">
        <f>B43/'- 3 -'!$D43*100</f>
        <v>9.0712116968993228E-2</v>
      </c>
      <c r="D43" s="272">
        <f>B43/'- 7 -'!$E43</f>
        <v>13.164823591363875</v>
      </c>
    </row>
    <row r="44" spans="1:5" ht="14.1" customHeight="1" x14ac:dyDescent="0.2">
      <c r="A44" s="15" t="s">
        <v>140</v>
      </c>
      <c r="B44" s="16">
        <v>5500</v>
      </c>
      <c r="C44" s="267">
        <f>B44/'- 3 -'!$D44*100</f>
        <v>4.8747732787264186E-2</v>
      </c>
      <c r="D44" s="16">
        <f>B44/'- 7 -'!$E44</f>
        <v>7.9193664506839454</v>
      </c>
    </row>
    <row r="45" spans="1:5" ht="14.1" customHeight="1" x14ac:dyDescent="0.2">
      <c r="A45" s="271" t="s">
        <v>141</v>
      </c>
      <c r="B45" s="272">
        <v>57200</v>
      </c>
      <c r="C45" s="273">
        <f>B45/'- 3 -'!$D45*100</f>
        <v>0.27606105659763241</v>
      </c>
      <c r="D45" s="272">
        <f>B45/'- 7 -'!$E45</f>
        <v>31.813125695216907</v>
      </c>
    </row>
    <row r="46" spans="1:5" ht="14.1" customHeight="1" x14ac:dyDescent="0.2">
      <c r="A46" s="15" t="s">
        <v>142</v>
      </c>
      <c r="B46" s="16">
        <v>1282500</v>
      </c>
      <c r="C46" s="267">
        <f>B46/'- 3 -'!$D46*100</f>
        <v>0.31551053479220154</v>
      </c>
      <c r="D46" s="16">
        <f>B46/'- 7 -'!$E46</f>
        <v>42.38968765493307</v>
      </c>
    </row>
    <row r="47" spans="1:5" ht="5.0999999999999996" customHeight="1" x14ac:dyDescent="0.2">
      <c r="A47"/>
      <c r="B47"/>
      <c r="C47"/>
      <c r="D47"/>
    </row>
    <row r="48" spans="1:5" ht="14.1" customHeight="1" x14ac:dyDescent="0.2">
      <c r="A48" s="274" t="s">
        <v>143</v>
      </c>
      <c r="B48" s="275">
        <f>SUM(B11:B46)</f>
        <v>8986950</v>
      </c>
      <c r="C48" s="276">
        <f>B48/'- 3 -'!$D48*100</f>
        <v>0.37269467445749815</v>
      </c>
      <c r="D48" s="275">
        <f>B48/'- 7 -'!$E48</f>
        <v>50.185397179952531</v>
      </c>
      <c r="E48" s="29"/>
    </row>
    <row r="49" spans="1:4" ht="5.0999999999999996" customHeight="1" x14ac:dyDescent="0.2">
      <c r="A49" s="17" t="s">
        <v>1</v>
      </c>
      <c r="B49" s="18"/>
      <c r="C49" s="266"/>
      <c r="D49" s="18"/>
    </row>
    <row r="50" spans="1:4" ht="14.1" customHeight="1" x14ac:dyDescent="0.2">
      <c r="A50" s="15" t="s">
        <v>144</v>
      </c>
      <c r="B50" s="16">
        <v>2000</v>
      </c>
      <c r="C50" s="267">
        <f>B50/'- 3 -'!$D50*100</f>
        <v>5.5665618854167771E-2</v>
      </c>
      <c r="D50" s="16">
        <f>B50/'- 7 -'!$E50</f>
        <v>11.904761904761905</v>
      </c>
    </row>
    <row r="51" spans="1:4" ht="14.1" customHeight="1" x14ac:dyDescent="0.2">
      <c r="A51" s="360" t="s">
        <v>514</v>
      </c>
      <c r="B51" s="272">
        <v>1578767</v>
      </c>
      <c r="C51" s="273">
        <f>B51/'- 3 -'!$D51*100</f>
        <v>4.8053061574826827</v>
      </c>
      <c r="D51" s="272">
        <f>B51/'- 7 -'!$E51</f>
        <v>1152.3846715328468</v>
      </c>
    </row>
    <row r="52" spans="1:4" ht="50.1" customHeight="1" x14ac:dyDescent="0.2"/>
    <row r="53" spans="1:4" ht="15" customHeight="1" x14ac:dyDescent="0.2"/>
    <row r="54" spans="1:4" ht="14.45" customHeight="1" x14ac:dyDescent="0.2"/>
    <row r="55" spans="1:4" ht="14.45" customHeight="1" x14ac:dyDescent="0.2"/>
    <row r="56" spans="1:4" ht="14.45" customHeight="1" x14ac:dyDescent="0.2"/>
    <row r="57" spans="1:4" ht="14.45" customHeight="1" x14ac:dyDescent="0.2"/>
    <row r="58" spans="1:4" ht="14.45" customHeight="1" x14ac:dyDescent="0.2"/>
    <row r="59" spans="1:4" ht="14.45" customHeight="1" x14ac:dyDescent="0.2"/>
  </sheetData>
  <mergeCells count="3">
    <mergeCell ref="D8:D9"/>
    <mergeCell ref="B6:D7"/>
    <mergeCell ref="B5:D5"/>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9"/>
  <sheetViews>
    <sheetView showGridLines="0" showZeros="0" workbookViewId="0"/>
  </sheetViews>
  <sheetFormatPr defaultColWidth="15.83203125" defaultRowHeight="12" x14ac:dyDescent="0.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133"/>
      <c r="E2" s="6"/>
      <c r="F2" s="6"/>
      <c r="G2" s="6"/>
      <c r="H2" s="85"/>
      <c r="I2" s="85"/>
      <c r="J2" s="502" t="s">
        <v>531</v>
      </c>
    </row>
    <row r="3" spans="1:10" ht="15.95" customHeight="1" x14ac:dyDescent="0.2">
      <c r="A3" s="135"/>
      <c r="B3" s="7" t="str">
        <f>OPYEAR</f>
        <v>OPERATING FUND 2018/2019 BUDGET</v>
      </c>
      <c r="C3" s="8"/>
      <c r="D3" s="144"/>
      <c r="E3" s="8"/>
      <c r="F3" s="8"/>
      <c r="G3" s="8"/>
      <c r="H3" s="87"/>
      <c r="I3" s="87"/>
      <c r="J3" s="8"/>
    </row>
    <row r="4" spans="1:10" ht="15.95" customHeight="1" x14ac:dyDescent="0.2">
      <c r="B4" s="4"/>
      <c r="C4" s="4"/>
      <c r="D4" s="4"/>
      <c r="E4" s="4"/>
      <c r="F4" s="4"/>
      <c r="G4" s="4"/>
      <c r="H4" s="4"/>
      <c r="I4" s="4"/>
      <c r="J4" s="4"/>
    </row>
    <row r="5" spans="1:10" ht="15.95" customHeight="1" x14ac:dyDescent="0.2">
      <c r="B5" s="679" t="s">
        <v>250</v>
      </c>
      <c r="C5" s="680"/>
      <c r="D5" s="680"/>
      <c r="E5" s="680"/>
      <c r="F5" s="680"/>
      <c r="G5" s="680"/>
      <c r="H5" s="680"/>
      <c r="I5" s="680"/>
      <c r="J5" s="681"/>
    </row>
    <row r="6" spans="1:10" ht="15.95" customHeight="1" x14ac:dyDescent="0.2">
      <c r="B6" s="615" t="s">
        <v>422</v>
      </c>
      <c r="C6" s="621"/>
      <c r="D6" s="612"/>
      <c r="E6" s="615" t="s">
        <v>423</v>
      </c>
      <c r="F6" s="621"/>
      <c r="G6" s="612"/>
      <c r="H6" s="611" t="s">
        <v>424</v>
      </c>
      <c r="I6" s="619"/>
      <c r="J6" s="604"/>
    </row>
    <row r="7" spans="1:10" ht="15.95" customHeight="1" x14ac:dyDescent="0.2">
      <c r="B7" s="613"/>
      <c r="C7" s="622"/>
      <c r="D7" s="614"/>
      <c r="E7" s="613"/>
      <c r="F7" s="622"/>
      <c r="G7" s="614"/>
      <c r="H7" s="618"/>
      <c r="I7" s="620"/>
      <c r="J7" s="606"/>
    </row>
    <row r="8" spans="1:10" ht="15.95" customHeight="1" x14ac:dyDescent="0.2">
      <c r="A8" s="82"/>
      <c r="B8" s="138"/>
      <c r="C8" s="137"/>
      <c r="D8" s="529" t="s">
        <v>396</v>
      </c>
      <c r="E8" s="138"/>
      <c r="F8" s="137"/>
      <c r="G8" s="529" t="s">
        <v>396</v>
      </c>
      <c r="H8" s="138"/>
      <c r="I8" s="137"/>
      <c r="J8" s="529" t="s">
        <v>396</v>
      </c>
    </row>
    <row r="9" spans="1:10" ht="15.95" customHeight="1" x14ac:dyDescent="0.2">
      <c r="A9" s="27" t="s">
        <v>37</v>
      </c>
      <c r="B9" s="89" t="s">
        <v>38</v>
      </c>
      <c r="C9" s="89" t="s">
        <v>39</v>
      </c>
      <c r="D9" s="569"/>
      <c r="E9" s="89" t="s">
        <v>38</v>
      </c>
      <c r="F9" s="89" t="s">
        <v>39</v>
      </c>
      <c r="G9" s="569"/>
      <c r="H9" s="89" t="s">
        <v>38</v>
      </c>
      <c r="I9" s="89" t="s">
        <v>39</v>
      </c>
      <c r="J9" s="569"/>
    </row>
    <row r="10" spans="1:10" ht="5.0999999999999996" customHeight="1" x14ac:dyDescent="0.2">
      <c r="A10" s="29"/>
    </row>
    <row r="11" spans="1:10" ht="14.1" customHeight="1" x14ac:dyDescent="0.2">
      <c r="A11" s="271" t="s">
        <v>108</v>
      </c>
      <c r="B11" s="272">
        <v>0</v>
      </c>
      <c r="C11" s="273">
        <f>B11/'- 3 -'!$D11*100</f>
        <v>0</v>
      </c>
      <c r="D11" s="272">
        <f>B11/'- 7 -'!$C11</f>
        <v>0</v>
      </c>
      <c r="E11" s="272">
        <v>158720</v>
      </c>
      <c r="F11" s="273">
        <f>E11/'- 3 -'!$D11*100</f>
        <v>0.77987145485727449</v>
      </c>
      <c r="G11" s="272">
        <f>E11/'- 7 -'!$E11</f>
        <v>88.006653728860556</v>
      </c>
      <c r="H11" s="272">
        <v>242647</v>
      </c>
      <c r="I11" s="273">
        <f>H11/'- 3 -'!$D11*100</f>
        <v>1.1922471579306519</v>
      </c>
      <c r="J11" s="272">
        <f>H11/'- 7 -'!$E11</f>
        <v>134.54227890213474</v>
      </c>
    </row>
    <row r="12" spans="1:10" ht="14.1" customHeight="1" x14ac:dyDescent="0.2">
      <c r="A12" s="15" t="s">
        <v>109</v>
      </c>
      <c r="B12" s="16">
        <v>0</v>
      </c>
      <c r="C12" s="267">
        <f>B12/'- 3 -'!$D12*100</f>
        <v>0</v>
      </c>
      <c r="D12" s="16">
        <f>B12/'- 7 -'!$C12</f>
        <v>0</v>
      </c>
      <c r="E12" s="16">
        <v>0</v>
      </c>
      <c r="F12" s="267">
        <f>E12/'- 3 -'!$D12*100</f>
        <v>0</v>
      </c>
      <c r="G12" s="16">
        <f>E12/'- 7 -'!$E12</f>
        <v>0</v>
      </c>
      <c r="H12" s="16">
        <v>276236</v>
      </c>
      <c r="I12" s="267">
        <f>H12/'- 3 -'!$D12*100</f>
        <v>0.79114280692447847</v>
      </c>
      <c r="J12" s="16">
        <f>H12/'- 7 -'!$E12</f>
        <v>129.65782680122038</v>
      </c>
    </row>
    <row r="13" spans="1:10" ht="14.1" customHeight="1" x14ac:dyDescent="0.2">
      <c r="A13" s="271" t="s">
        <v>110</v>
      </c>
      <c r="B13" s="272">
        <v>85800</v>
      </c>
      <c r="C13" s="273">
        <f>B13/'- 3 -'!$D13*100</f>
        <v>8.2409508021000014E-2</v>
      </c>
      <c r="D13" s="272">
        <f>B13/'- 7 -'!$C13</f>
        <v>9.9837095648126599</v>
      </c>
      <c r="E13" s="272">
        <v>583700</v>
      </c>
      <c r="F13" s="273">
        <f>E13/'- 3 -'!$D13*100</f>
        <v>0.56063438032468194</v>
      </c>
      <c r="G13" s="272">
        <f>E13/'- 7 -'!$E13</f>
        <v>67.919478706074003</v>
      </c>
      <c r="H13" s="272">
        <v>964600</v>
      </c>
      <c r="I13" s="273">
        <f>H13/'- 3 -'!$D13*100</f>
        <v>0.92648265078154568</v>
      </c>
      <c r="J13" s="272">
        <f>H13/'- 7 -'!$E13</f>
        <v>112.24109844077263</v>
      </c>
    </row>
    <row r="14" spans="1:10" ht="14.1" customHeight="1" x14ac:dyDescent="0.2">
      <c r="A14" s="15" t="s">
        <v>319</v>
      </c>
      <c r="B14" s="16">
        <v>187964</v>
      </c>
      <c r="C14" s="267">
        <f>B14/'- 3 -'!$D14*100</f>
        <v>0.20140383932095904</v>
      </c>
      <c r="D14" s="16">
        <f>B14/'- 7 -'!$C14</f>
        <v>32.463557858376511</v>
      </c>
      <c r="E14" s="16">
        <v>1755763</v>
      </c>
      <c r="F14" s="267">
        <f>E14/'- 3 -'!$D14*100</f>
        <v>1.8813039153118951</v>
      </c>
      <c r="G14" s="16">
        <f>E14/'- 7 -'!$E14</f>
        <v>303.24058721934369</v>
      </c>
      <c r="H14" s="16">
        <v>786101</v>
      </c>
      <c r="I14" s="267">
        <f>H14/'- 3 -'!$D14*100</f>
        <v>0.84230895008642737</v>
      </c>
      <c r="J14" s="16">
        <f>H14/'- 7 -'!$E14</f>
        <v>135.76873920552677</v>
      </c>
    </row>
    <row r="15" spans="1:10" ht="14.1" customHeight="1" x14ac:dyDescent="0.2">
      <c r="A15" s="271" t="s">
        <v>111</v>
      </c>
      <c r="B15" s="272">
        <v>98350</v>
      </c>
      <c r="C15" s="273">
        <f>B15/'- 3 -'!$D15*100</f>
        <v>0.4732853176115025</v>
      </c>
      <c r="D15" s="272">
        <f>B15/'- 7 -'!$C15</f>
        <v>72.905856189770205</v>
      </c>
      <c r="E15" s="272">
        <v>180950</v>
      </c>
      <c r="F15" s="273">
        <f>E15/'- 3 -'!$D15*100</f>
        <v>0.87077761282970378</v>
      </c>
      <c r="G15" s="272">
        <f>E15/'- 7 -'!$E15</f>
        <v>134.13639733135656</v>
      </c>
      <c r="H15" s="272">
        <v>206160</v>
      </c>
      <c r="I15" s="273">
        <f>H15/'- 3 -'!$D15*100</f>
        <v>0.99209457121288613</v>
      </c>
      <c r="J15" s="272">
        <f>H15/'- 7 -'!$E15</f>
        <v>152.824314306894</v>
      </c>
    </row>
    <row r="16" spans="1:10" ht="14.1" customHeight="1" x14ac:dyDescent="0.2">
      <c r="A16" s="15" t="s">
        <v>112</v>
      </c>
      <c r="B16" s="16">
        <v>0</v>
      </c>
      <c r="C16" s="267">
        <f>B16/'- 3 -'!$D16*100</f>
        <v>0</v>
      </c>
      <c r="D16" s="16">
        <f>B16/'- 7 -'!$C16</f>
        <v>0</v>
      </c>
      <c r="E16" s="16">
        <v>0</v>
      </c>
      <c r="F16" s="267">
        <f>E16/'- 3 -'!$D16*100</f>
        <v>0</v>
      </c>
      <c r="G16" s="16">
        <f>E16/'- 7 -'!$E16</f>
        <v>0</v>
      </c>
      <c r="H16" s="16">
        <v>159350</v>
      </c>
      <c r="I16" s="267">
        <f>H16/'- 3 -'!$D16*100</f>
        <v>1.071805521812907</v>
      </c>
      <c r="J16" s="16">
        <f>H16/'- 7 -'!$E16</f>
        <v>172.64355362946912</v>
      </c>
    </row>
    <row r="17" spans="1:10" ht="14.1" customHeight="1" x14ac:dyDescent="0.2">
      <c r="A17" s="271" t="s">
        <v>113</v>
      </c>
      <c r="B17" s="272">
        <v>0</v>
      </c>
      <c r="C17" s="273">
        <f>B17/'- 3 -'!$D17*100</f>
        <v>0</v>
      </c>
      <c r="D17" s="272">
        <f>B17/'- 7 -'!$C17</f>
        <v>0</v>
      </c>
      <c r="E17" s="272">
        <v>90100</v>
      </c>
      <c r="F17" s="273">
        <f>E17/'- 3 -'!$D17*100</f>
        <v>0.48179803390040049</v>
      </c>
      <c r="G17" s="272">
        <f>E17/'- 7 -'!$E17</f>
        <v>64.634146341463421</v>
      </c>
      <c r="H17" s="272">
        <v>232150</v>
      </c>
      <c r="I17" s="273">
        <f>H17/'- 3 -'!$D17*100</f>
        <v>1.2413919375136291</v>
      </c>
      <c r="J17" s="272">
        <f>H17/'- 7 -'!$E17</f>
        <v>166.5351506456241</v>
      </c>
    </row>
    <row r="18" spans="1:10" ht="14.1" customHeight="1" x14ac:dyDescent="0.2">
      <c r="A18" s="15" t="s">
        <v>114</v>
      </c>
      <c r="B18" s="16">
        <v>0</v>
      </c>
      <c r="C18" s="267">
        <f>B18/'- 3 -'!$D18*100</f>
        <v>0</v>
      </c>
      <c r="D18" s="16">
        <f>B18/'- 7 -'!$C18</f>
        <v>0</v>
      </c>
      <c r="E18" s="16">
        <v>2888319</v>
      </c>
      <c r="F18" s="267">
        <f>E18/'- 3 -'!$D18*100</f>
        <v>2.1446971132943964</v>
      </c>
      <c r="G18" s="16">
        <f>E18/'- 7 -'!$E18</f>
        <v>470.77829573608034</v>
      </c>
      <c r="H18" s="16">
        <v>1937600</v>
      </c>
      <c r="I18" s="267">
        <f>H18/'- 3 -'!$D18*100</f>
        <v>1.4387486724005285</v>
      </c>
      <c r="J18" s="16">
        <f>H18/'- 7 -'!$E18</f>
        <v>315.81692528360935</v>
      </c>
    </row>
    <row r="19" spans="1:10" ht="14.1" customHeight="1" x14ac:dyDescent="0.2">
      <c r="A19" s="271" t="s">
        <v>115</v>
      </c>
      <c r="B19" s="272">
        <v>59300</v>
      </c>
      <c r="C19" s="273">
        <f>B19/'- 3 -'!$D19*100</f>
        <v>0.11784203999872817</v>
      </c>
      <c r="D19" s="272">
        <f>B19/'- 7 -'!$C19</f>
        <v>13.596239825748022</v>
      </c>
      <c r="E19" s="272">
        <v>248500</v>
      </c>
      <c r="F19" s="273">
        <f>E19/'- 3 -'!$D19*100</f>
        <v>0.49382372579568218</v>
      </c>
      <c r="G19" s="272">
        <f>E19/'- 7 -'!$E19</f>
        <v>56.97581107417173</v>
      </c>
      <c r="H19" s="272">
        <v>520400</v>
      </c>
      <c r="I19" s="273">
        <f>H19/'- 3 -'!$D19*100</f>
        <v>1.0341483577628692</v>
      </c>
      <c r="J19" s="272">
        <f>H19/'- 7 -'!$E19</f>
        <v>119.31674882494555</v>
      </c>
    </row>
    <row r="20" spans="1:10" ht="14.1" customHeight="1" x14ac:dyDescent="0.2">
      <c r="A20" s="15" t="s">
        <v>116</v>
      </c>
      <c r="B20" s="16">
        <v>42900</v>
      </c>
      <c r="C20" s="267">
        <f>B20/'- 3 -'!$D20*100</f>
        <v>4.9167758328433751E-2</v>
      </c>
      <c r="D20" s="16">
        <f>B20/'- 7 -'!$C20</f>
        <v>5.4552390640895219</v>
      </c>
      <c r="E20" s="16">
        <v>583200</v>
      </c>
      <c r="F20" s="267">
        <f>E20/'- 3 -'!$D20*100</f>
        <v>0.66840644888444201</v>
      </c>
      <c r="G20" s="16">
        <f>E20/'- 7 -'!$E20</f>
        <v>74.160732451678541</v>
      </c>
      <c r="H20" s="16">
        <v>957200</v>
      </c>
      <c r="I20" s="267">
        <f>H20/'- 3 -'!$D20*100</f>
        <v>1.0970484445682236</v>
      </c>
      <c r="J20" s="16">
        <f>H20/'- 7 -'!$E20</f>
        <v>121.71922685656155</v>
      </c>
    </row>
    <row r="21" spans="1:10" ht="14.1" customHeight="1" x14ac:dyDescent="0.2">
      <c r="A21" s="271" t="s">
        <v>117</v>
      </c>
      <c r="B21" s="272">
        <v>0</v>
      </c>
      <c r="C21" s="273">
        <f>B21/'- 3 -'!$D21*100</f>
        <v>0</v>
      </c>
      <c r="D21" s="272">
        <f>B21/'- 7 -'!$C21</f>
        <v>0</v>
      </c>
      <c r="E21" s="272">
        <v>0</v>
      </c>
      <c r="F21" s="273">
        <f>E21/'- 3 -'!$D21*100</f>
        <v>0</v>
      </c>
      <c r="G21" s="272">
        <f>E21/'- 7 -'!$E21</f>
        <v>0</v>
      </c>
      <c r="H21" s="272">
        <v>553196</v>
      </c>
      <c r="I21" s="273">
        <f>H21/'- 3 -'!$D21*100</f>
        <v>1.4728477018670583</v>
      </c>
      <c r="J21" s="272">
        <f>H21/'- 7 -'!$E21</f>
        <v>197.18267688469078</v>
      </c>
    </row>
    <row r="22" spans="1:10" ht="14.1" customHeight="1" x14ac:dyDescent="0.2">
      <c r="A22" s="15" t="s">
        <v>118</v>
      </c>
      <c r="B22" s="16">
        <v>24410</v>
      </c>
      <c r="C22" s="267">
        <f>B22/'- 3 -'!$D22*100</f>
        <v>0.11689056725206126</v>
      </c>
      <c r="D22" s="16">
        <f>B22/'- 7 -'!$C22</f>
        <v>16.751303870436452</v>
      </c>
      <c r="E22" s="16">
        <v>76850</v>
      </c>
      <c r="F22" s="267">
        <f>E22/'- 3 -'!$D22*100</f>
        <v>0.36800655851376107</v>
      </c>
      <c r="G22" s="16">
        <f>E22/'- 7 -'!$E22</f>
        <v>52.738127916552287</v>
      </c>
      <c r="H22" s="16">
        <v>200390</v>
      </c>
      <c r="I22" s="267">
        <f>H22/'- 3 -'!$D22*100</f>
        <v>0.95959446012456195</v>
      </c>
      <c r="J22" s="16">
        <f>H22/'- 7 -'!$E22</f>
        <v>137.51715618995334</v>
      </c>
    </row>
    <row r="23" spans="1:10" ht="14.1" customHeight="1" x14ac:dyDescent="0.2">
      <c r="A23" s="271" t="s">
        <v>119</v>
      </c>
      <c r="B23" s="272">
        <v>0</v>
      </c>
      <c r="C23" s="273">
        <f>B23/'- 3 -'!$D23*100</f>
        <v>0</v>
      </c>
      <c r="D23" s="272">
        <f>B23/'- 7 -'!$C23</f>
        <v>0</v>
      </c>
      <c r="E23" s="272">
        <v>0</v>
      </c>
      <c r="F23" s="273">
        <f>E23/'- 3 -'!$D23*100</f>
        <v>0</v>
      </c>
      <c r="G23" s="272">
        <f>E23/'- 7 -'!$E23</f>
        <v>0</v>
      </c>
      <c r="H23" s="272">
        <v>103800</v>
      </c>
      <c r="I23" s="273">
        <f>H23/'- 3 -'!$D23*100</f>
        <v>0.61167442514978954</v>
      </c>
      <c r="J23" s="272">
        <f>H23/'- 7 -'!$E23</f>
        <v>99.807692307692307</v>
      </c>
    </row>
    <row r="24" spans="1:10" ht="14.1" customHeight="1" x14ac:dyDescent="0.2">
      <c r="A24" s="15" t="s">
        <v>120</v>
      </c>
      <c r="B24" s="16">
        <v>72665</v>
      </c>
      <c r="C24" s="267">
        <f>B24/'- 3 -'!$D24*100</f>
        <v>0.12438714105541167</v>
      </c>
      <c r="D24" s="16">
        <f>B24/'- 7 -'!$C24</f>
        <v>19.243908898305083</v>
      </c>
      <c r="E24" s="16">
        <v>112740</v>
      </c>
      <c r="F24" s="267">
        <f>E24/'- 3 -'!$D24*100</f>
        <v>0.19298708157417066</v>
      </c>
      <c r="G24" s="16">
        <f>E24/'- 7 -'!$E24</f>
        <v>29.85699152542373</v>
      </c>
      <c r="H24" s="16">
        <v>626985</v>
      </c>
      <c r="I24" s="267">
        <f>H24/'- 3 -'!$D24*100</f>
        <v>1.073265968962049</v>
      </c>
      <c r="J24" s="16">
        <f>H24/'- 7 -'!$E24</f>
        <v>166.04475635593221</v>
      </c>
    </row>
    <row r="25" spans="1:10" ht="14.1" customHeight="1" x14ac:dyDescent="0.2">
      <c r="A25" s="271" t="s">
        <v>121</v>
      </c>
      <c r="B25" s="272">
        <v>240447</v>
      </c>
      <c r="C25" s="273">
        <f>B25/'- 3 -'!$D25*100</f>
        <v>0.12796723844547195</v>
      </c>
      <c r="D25" s="272">
        <f>B25/'- 7 -'!$C25</f>
        <v>16.153644608666443</v>
      </c>
      <c r="E25" s="272">
        <v>1092378</v>
      </c>
      <c r="F25" s="273">
        <f>E25/'- 3 -'!$D25*100</f>
        <v>0.58136968229417607</v>
      </c>
      <c r="G25" s="272">
        <f>E25/'- 7 -'!$E25</f>
        <v>73.38784010749076</v>
      </c>
      <c r="H25" s="272">
        <v>4323725</v>
      </c>
      <c r="I25" s="273">
        <f>H25/'- 3 -'!$D25*100</f>
        <v>2.3011106316470915</v>
      </c>
      <c r="J25" s="272">
        <f>H25/'- 7 -'!$E25</f>
        <v>290.47531071548536</v>
      </c>
    </row>
    <row r="26" spans="1:10" ht="14.1" customHeight="1" x14ac:dyDescent="0.2">
      <c r="A26" s="15" t="s">
        <v>122</v>
      </c>
      <c r="B26" s="16">
        <v>17100</v>
      </c>
      <c r="C26" s="267">
        <f>B26/'- 3 -'!$D26*100</f>
        <v>4.1684348996873455E-2</v>
      </c>
      <c r="D26" s="16">
        <f>B26/'- 7 -'!$C26</f>
        <v>6.0243086137044211</v>
      </c>
      <c r="E26" s="16">
        <v>336288</v>
      </c>
      <c r="F26" s="267">
        <f>E26/'- 3 -'!$D26*100</f>
        <v>0.81976294476377665</v>
      </c>
      <c r="G26" s="16">
        <f>E26/'- 7 -'!$E26</f>
        <v>118.47384181786154</v>
      </c>
      <c r="H26" s="16">
        <v>544494</v>
      </c>
      <c r="I26" s="267">
        <f>H26/'- 3 -'!$D26*100</f>
        <v>1.3273028024972873</v>
      </c>
      <c r="J26" s="16">
        <f>H26/'- 7 -'!$E26</f>
        <v>191.82455522282896</v>
      </c>
    </row>
    <row r="27" spans="1:10" ht="14.1" customHeight="1" x14ac:dyDescent="0.2">
      <c r="A27" s="271" t="s">
        <v>123</v>
      </c>
      <c r="B27" s="272">
        <v>0</v>
      </c>
      <c r="C27" s="273">
        <f>B27/'- 3 -'!$D27*100</f>
        <v>0</v>
      </c>
      <c r="D27" s="272">
        <f>B27/'- 7 -'!$C27</f>
        <v>0</v>
      </c>
      <c r="E27" s="272">
        <v>626752</v>
      </c>
      <c r="F27" s="273">
        <f>E27/'- 3 -'!$D27*100</f>
        <v>1.466964154579026</v>
      </c>
      <c r="G27" s="272">
        <f>E27/'- 7 -'!$E27</f>
        <v>205.69478175254349</v>
      </c>
      <c r="H27" s="272">
        <v>807031</v>
      </c>
      <c r="I27" s="273">
        <f>H27/'- 3 -'!$D27*100</f>
        <v>1.8889218520787583</v>
      </c>
      <c r="J27" s="272">
        <f>H27/'- 7 -'!$E27</f>
        <v>264.86084673449295</v>
      </c>
    </row>
    <row r="28" spans="1:10" ht="14.1" customHeight="1" x14ac:dyDescent="0.2">
      <c r="A28" s="15" t="s">
        <v>124</v>
      </c>
      <c r="B28" s="16">
        <v>111389</v>
      </c>
      <c r="C28" s="267">
        <f>B28/'- 3 -'!$D28*100</f>
        <v>0.38686410400267457</v>
      </c>
      <c r="D28" s="16">
        <f>B28/'- 7 -'!$C28</f>
        <v>56.918242207460402</v>
      </c>
      <c r="E28" s="16">
        <v>0</v>
      </c>
      <c r="F28" s="267">
        <f>E28/'- 3 -'!$D28*100</f>
        <v>0</v>
      </c>
      <c r="G28" s="16">
        <f>E28/'- 7 -'!$E28</f>
        <v>0</v>
      </c>
      <c r="H28" s="16">
        <v>297094</v>
      </c>
      <c r="I28" s="267">
        <f>H28/'- 3 -'!$D28*100</f>
        <v>1.0318344191488442</v>
      </c>
      <c r="J28" s="16">
        <f>H28/'- 7 -'!$E28</f>
        <v>151.81093510475216</v>
      </c>
    </row>
    <row r="29" spans="1:10" ht="14.1" customHeight="1" x14ac:dyDescent="0.2">
      <c r="A29" s="271" t="s">
        <v>125</v>
      </c>
      <c r="B29" s="272">
        <v>361255</v>
      </c>
      <c r="C29" s="273">
        <f>B29/'- 3 -'!$D29*100</f>
        <v>0.21268790208275357</v>
      </c>
      <c r="D29" s="272">
        <f>B29/'- 7 -'!$C29</f>
        <v>26.738041137155928</v>
      </c>
      <c r="E29" s="272">
        <v>593265</v>
      </c>
      <c r="F29" s="273">
        <f>E29/'- 3 -'!$D29*100</f>
        <v>0.34928316072891674</v>
      </c>
      <c r="G29" s="272">
        <f>E29/'- 7 -'!$E29</f>
        <v>43.910102213768141</v>
      </c>
      <c r="H29" s="272">
        <v>3699647</v>
      </c>
      <c r="I29" s="273">
        <f>H29/'- 3 -'!$D29*100</f>
        <v>2.1781571435045968</v>
      </c>
      <c r="J29" s="272">
        <f>H29/'- 7 -'!$E29</f>
        <v>273.82683611010373</v>
      </c>
    </row>
    <row r="30" spans="1:10" ht="14.1" customHeight="1" x14ac:dyDescent="0.2">
      <c r="A30" s="15" t="s">
        <v>126</v>
      </c>
      <c r="B30" s="16">
        <v>0</v>
      </c>
      <c r="C30" s="267">
        <f>B30/'- 3 -'!$D30*100</f>
        <v>0</v>
      </c>
      <c r="D30" s="16">
        <f>B30/'- 7 -'!$C30</f>
        <v>0</v>
      </c>
      <c r="E30" s="16">
        <v>0</v>
      </c>
      <c r="F30" s="267">
        <f>E30/'- 3 -'!$D30*100</f>
        <v>0</v>
      </c>
      <c r="G30" s="16">
        <f>E30/'- 7 -'!$E30</f>
        <v>0</v>
      </c>
      <c r="H30" s="16">
        <v>429998</v>
      </c>
      <c r="I30" s="267">
        <f>H30/'- 3 -'!$D30*100</f>
        <v>2.8144742933558526</v>
      </c>
      <c r="J30" s="16">
        <f>H30/'- 7 -'!$E30</f>
        <v>425.74059405940596</v>
      </c>
    </row>
    <row r="31" spans="1:10" ht="14.1" customHeight="1" x14ac:dyDescent="0.2">
      <c r="A31" s="271" t="s">
        <v>127</v>
      </c>
      <c r="B31" s="272">
        <v>0</v>
      </c>
      <c r="C31" s="273">
        <f>B31/'- 3 -'!$D31*100</f>
        <v>0</v>
      </c>
      <c r="D31" s="272">
        <f>B31/'- 7 -'!$C31</f>
        <v>0</v>
      </c>
      <c r="E31" s="272">
        <v>150755</v>
      </c>
      <c r="F31" s="273">
        <f>E31/'- 3 -'!$D31*100</f>
        <v>0.38742605033693772</v>
      </c>
      <c r="G31" s="272">
        <f>E31/'- 7 -'!$E31</f>
        <v>46.430441344051246</v>
      </c>
      <c r="H31" s="272">
        <v>491094</v>
      </c>
      <c r="I31" s="273">
        <f>H31/'- 3 -'!$D31*100</f>
        <v>1.2620649979381651</v>
      </c>
      <c r="J31" s="272">
        <f>H31/'- 7 -'!$E31</f>
        <v>151.25011549477964</v>
      </c>
    </row>
    <row r="32" spans="1:10" ht="14.1" customHeight="1" x14ac:dyDescent="0.2">
      <c r="A32" s="15" t="s">
        <v>128</v>
      </c>
      <c r="B32" s="16">
        <v>0</v>
      </c>
      <c r="C32" s="267">
        <f>B32/'- 3 -'!$D32*100</f>
        <v>0</v>
      </c>
      <c r="D32" s="16">
        <f>B32/'- 7 -'!$C32</f>
        <v>0</v>
      </c>
      <c r="E32" s="16">
        <v>117808</v>
      </c>
      <c r="F32" s="267">
        <f>E32/'- 3 -'!$D32*100</f>
        <v>0.37966465962957557</v>
      </c>
      <c r="G32" s="16">
        <f>E32/'- 7 -'!$E32</f>
        <v>52.046830130329134</v>
      </c>
      <c r="H32" s="16">
        <v>321189</v>
      </c>
      <c r="I32" s="267">
        <f>H32/'- 3 -'!$D32*100</f>
        <v>1.0351089260641362</v>
      </c>
      <c r="J32" s="16">
        <f>H32/'- 7 -'!$E32</f>
        <v>141.89927104042411</v>
      </c>
    </row>
    <row r="33" spans="1:10" ht="14.1" customHeight="1" x14ac:dyDescent="0.2">
      <c r="A33" s="271" t="s">
        <v>129</v>
      </c>
      <c r="B33" s="272">
        <v>0</v>
      </c>
      <c r="C33" s="273">
        <f>B33/'- 3 -'!$D33*100</f>
        <v>0</v>
      </c>
      <c r="D33" s="272">
        <f>B33/'- 7 -'!$C33</f>
        <v>0</v>
      </c>
      <c r="E33" s="272">
        <v>92975</v>
      </c>
      <c r="F33" s="273">
        <f>E33/'- 3 -'!$D33*100</f>
        <v>0.32597495348348809</v>
      </c>
      <c r="G33" s="272">
        <f>E33/'- 7 -'!$E33</f>
        <v>45.29841656516443</v>
      </c>
      <c r="H33" s="272">
        <v>400675</v>
      </c>
      <c r="I33" s="273">
        <f>H33/'- 3 -'!$D33*100</f>
        <v>1.4047863886743381</v>
      </c>
      <c r="J33" s="272">
        <f>H33/'- 7 -'!$E33</f>
        <v>195.21315468940315</v>
      </c>
    </row>
    <row r="34" spans="1:10" ht="14.1" customHeight="1" x14ac:dyDescent="0.2">
      <c r="A34" s="15" t="s">
        <v>130</v>
      </c>
      <c r="B34" s="16">
        <v>6913</v>
      </c>
      <c r="C34" s="267">
        <f>B34/'- 3 -'!$D34*100</f>
        <v>2.2193873906499035E-2</v>
      </c>
      <c r="D34" s="16">
        <f>B34/'- 7 -'!$C34</f>
        <v>3.1867422670907661</v>
      </c>
      <c r="E34" s="16">
        <v>162866</v>
      </c>
      <c r="F34" s="267">
        <f>E34/'- 3 -'!$D34*100</f>
        <v>0.52287392849065117</v>
      </c>
      <c r="G34" s="16">
        <f>E34/'- 7 -'!$E34</f>
        <v>75.077674825980722</v>
      </c>
      <c r="H34" s="16">
        <v>238368</v>
      </c>
      <c r="I34" s="267">
        <f>H34/'- 3 -'!$D34*100</f>
        <v>0.76526968542519347</v>
      </c>
      <c r="J34" s="16">
        <f>H34/'- 7 -'!$E34</f>
        <v>109.8824505600885</v>
      </c>
    </row>
    <row r="35" spans="1:10" ht="14.1" customHeight="1" x14ac:dyDescent="0.2">
      <c r="A35" s="271" t="s">
        <v>131</v>
      </c>
      <c r="B35" s="272">
        <v>433407</v>
      </c>
      <c r="C35" s="273">
        <f>B35/'- 3 -'!$D35*100</f>
        <v>0.22702460734661867</v>
      </c>
      <c r="D35" s="272">
        <f>B35/'- 7 -'!$C35</f>
        <v>26.846320614469771</v>
      </c>
      <c r="E35" s="272">
        <v>627048</v>
      </c>
      <c r="F35" s="273">
        <f>E35/'- 3 -'!$D35*100</f>
        <v>0.32845645314331001</v>
      </c>
      <c r="G35" s="272">
        <f>E35/'- 7 -'!$E35</f>
        <v>38.840931615460853</v>
      </c>
      <c r="H35" s="272">
        <v>4430216</v>
      </c>
      <c r="I35" s="273">
        <f>H35/'- 3 -'!$D35*100</f>
        <v>2.3206086838946018</v>
      </c>
      <c r="J35" s="272">
        <f>H35/'- 7 -'!$E35</f>
        <v>274.41873141724477</v>
      </c>
    </row>
    <row r="36" spans="1:10" ht="14.1" customHeight="1" x14ac:dyDescent="0.2">
      <c r="A36" s="15" t="s">
        <v>132</v>
      </c>
      <c r="B36" s="16">
        <v>24720</v>
      </c>
      <c r="C36" s="267">
        <f>B36/'- 3 -'!$D36*100</f>
        <v>0.10254282988343634</v>
      </c>
      <c r="D36" s="16">
        <f>B36/'- 7 -'!$C36</f>
        <v>14.519823788546255</v>
      </c>
      <c r="E36" s="16">
        <v>89765</v>
      </c>
      <c r="F36" s="267">
        <f>E36/'- 3 -'!$D36*100</f>
        <v>0.3723607251005932</v>
      </c>
      <c r="G36" s="16">
        <f>E36/'- 7 -'!$E36</f>
        <v>52.725403817914831</v>
      </c>
      <c r="H36" s="16">
        <v>232150</v>
      </c>
      <c r="I36" s="267">
        <f>H36/'- 3 -'!$D36*100</f>
        <v>0.96299829924918079</v>
      </c>
      <c r="J36" s="16">
        <f>H36/'- 7 -'!$E36</f>
        <v>136.35829662261381</v>
      </c>
    </row>
    <row r="37" spans="1:10" ht="14.1" customHeight="1" x14ac:dyDescent="0.2">
      <c r="A37" s="271" t="s">
        <v>133</v>
      </c>
      <c r="B37" s="272">
        <v>64500</v>
      </c>
      <c r="C37" s="273">
        <f>B37/'- 3 -'!$D37*100</f>
        <v>0.12158891259925048</v>
      </c>
      <c r="D37" s="272">
        <f>B37/'- 7 -'!$C37</f>
        <v>15.123094958968347</v>
      </c>
      <c r="E37" s="272">
        <v>395000</v>
      </c>
      <c r="F37" s="273">
        <f>E37/'- 3 -'!$D37*100</f>
        <v>0.74461427095665023</v>
      </c>
      <c r="G37" s="272">
        <f>E37/'- 7 -'!$E37</f>
        <v>92.614302461899186</v>
      </c>
      <c r="H37" s="272">
        <v>576750</v>
      </c>
      <c r="I37" s="273">
        <f>H37/'- 3 -'!$D37*100</f>
        <v>1.0872310905677165</v>
      </c>
      <c r="J37" s="272">
        <f>H37/'- 7 -'!$E37</f>
        <v>135.22860492379837</v>
      </c>
    </row>
    <row r="38" spans="1:10" ht="14.1" customHeight="1" x14ac:dyDescent="0.2">
      <c r="A38" s="15" t="s">
        <v>134</v>
      </c>
      <c r="B38" s="16">
        <v>85090</v>
      </c>
      <c r="C38" s="267">
        <f>B38/'- 3 -'!$D38*100</f>
        <v>5.8783347062573557E-2</v>
      </c>
      <c r="D38" s="16">
        <f>B38/'- 7 -'!$C38</f>
        <v>7.5750022255853287</v>
      </c>
      <c r="E38" s="16">
        <v>555480</v>
      </c>
      <c r="F38" s="267">
        <f>E38/'- 3 -'!$D38*100</f>
        <v>0.38374631127416098</v>
      </c>
      <c r="G38" s="16">
        <f>E38/'- 7 -'!$E38</f>
        <v>49.450725540817238</v>
      </c>
      <c r="H38" s="16">
        <v>1911250</v>
      </c>
      <c r="I38" s="267">
        <f>H38/'- 3 -'!$D38*100</f>
        <v>1.3203628167040042</v>
      </c>
      <c r="J38" s="16">
        <f>H38/'- 7 -'!$E38</f>
        <v>170.14599839757855</v>
      </c>
    </row>
    <row r="39" spans="1:10" ht="14.1" customHeight="1" x14ac:dyDescent="0.2">
      <c r="A39" s="271" t="s">
        <v>135</v>
      </c>
      <c r="B39" s="272">
        <v>0</v>
      </c>
      <c r="C39" s="273">
        <f>B39/'- 3 -'!$D39*100</f>
        <v>0</v>
      </c>
      <c r="D39" s="272">
        <f>B39/'- 7 -'!$C39</f>
        <v>0</v>
      </c>
      <c r="E39" s="272">
        <v>115300</v>
      </c>
      <c r="F39" s="273">
        <f>E39/'- 3 -'!$D39*100</f>
        <v>0.49480247124867205</v>
      </c>
      <c r="G39" s="272">
        <f>E39/'- 7 -'!$E39</f>
        <v>76.206212822207533</v>
      </c>
      <c r="H39" s="272">
        <v>300000</v>
      </c>
      <c r="I39" s="273">
        <f>H39/'- 3 -'!$D39*100</f>
        <v>1.2874305409765967</v>
      </c>
      <c r="J39" s="272">
        <f>H39/'- 7 -'!$E39</f>
        <v>198.28155981493722</v>
      </c>
    </row>
    <row r="40" spans="1:10" ht="14.1" customHeight="1" x14ac:dyDescent="0.2">
      <c r="A40" s="15" t="s">
        <v>136</v>
      </c>
      <c r="B40" s="16">
        <v>38721</v>
      </c>
      <c r="C40" s="267">
        <f>B40/'- 3 -'!$D40*100</f>
        <v>3.5738513147529002E-2</v>
      </c>
      <c r="D40" s="16">
        <f>B40/'- 7 -'!$C40</f>
        <v>4.6364126204873379</v>
      </c>
      <c r="E40" s="16">
        <v>978621</v>
      </c>
      <c r="F40" s="267">
        <f>E40/'- 3 -'!$D40*100</f>
        <v>0.90324267128813773</v>
      </c>
      <c r="G40" s="16">
        <f>E40/'- 7 -'!$E40</f>
        <v>117.1790696282105</v>
      </c>
      <c r="H40" s="16">
        <v>1270995</v>
      </c>
      <c r="I40" s="267">
        <f>H40/'- 3 -'!$D40*100</f>
        <v>1.1730965501392945</v>
      </c>
      <c r="J40" s="16">
        <f>H40/'- 7 -'!$E40</f>
        <v>152.1876309644974</v>
      </c>
    </row>
    <row r="41" spans="1:10" ht="14.1" customHeight="1" x14ac:dyDescent="0.2">
      <c r="A41" s="271" t="s">
        <v>137</v>
      </c>
      <c r="B41" s="272">
        <v>74747</v>
      </c>
      <c r="C41" s="273">
        <f>B41/'- 3 -'!$D41*100</f>
        <v>0.11497986410265175</v>
      </c>
      <c r="D41" s="272">
        <f>B41/'- 7 -'!$C41</f>
        <v>17.147740307409958</v>
      </c>
      <c r="E41" s="272">
        <v>432382</v>
      </c>
      <c r="F41" s="273">
        <f>E41/'- 3 -'!$D41*100</f>
        <v>0.66511329686051301</v>
      </c>
      <c r="G41" s="272">
        <f>E41/'- 7 -'!$E41</f>
        <v>99.192934159210822</v>
      </c>
      <c r="H41" s="272">
        <v>606907</v>
      </c>
      <c r="I41" s="273">
        <f>H41/'- 3 -'!$D41*100</f>
        <v>0.93357705838291916</v>
      </c>
      <c r="J41" s="272">
        <f>H41/'- 7 -'!$E41</f>
        <v>139.23078687772426</v>
      </c>
    </row>
    <row r="42" spans="1:10" ht="14.1" customHeight="1" x14ac:dyDescent="0.2">
      <c r="A42" s="15" t="s">
        <v>138</v>
      </c>
      <c r="B42" s="16">
        <v>18028</v>
      </c>
      <c r="C42" s="267">
        <f>B42/'- 3 -'!$D42*100</f>
        <v>8.4666513126033446E-2</v>
      </c>
      <c r="D42" s="16">
        <f>B42/'- 7 -'!$C42</f>
        <v>12.822190611664295</v>
      </c>
      <c r="E42" s="16">
        <v>0</v>
      </c>
      <c r="F42" s="267">
        <f>E42/'- 3 -'!$D42*100</f>
        <v>0</v>
      </c>
      <c r="G42" s="16">
        <f>E42/'- 7 -'!$E42</f>
        <v>0</v>
      </c>
      <c r="H42" s="16">
        <v>328665</v>
      </c>
      <c r="I42" s="267">
        <f>H42/'- 3 -'!$D42*100</f>
        <v>1.5435389137213102</v>
      </c>
      <c r="J42" s="16">
        <f>H42/'- 7 -'!$E42</f>
        <v>233.7588904694168</v>
      </c>
    </row>
    <row r="43" spans="1:10" ht="14.1" customHeight="1" x14ac:dyDescent="0.2">
      <c r="A43" s="271" t="s">
        <v>139</v>
      </c>
      <c r="B43" s="272">
        <v>0</v>
      </c>
      <c r="C43" s="273">
        <f>B43/'- 3 -'!$D43*100</f>
        <v>0</v>
      </c>
      <c r="D43" s="272">
        <f>B43/'- 7 -'!$C43</f>
        <v>0</v>
      </c>
      <c r="E43" s="272">
        <v>72252</v>
      </c>
      <c r="F43" s="273">
        <f>E43/'- 3 -'!$D43*100</f>
        <v>0.52433055001949591</v>
      </c>
      <c r="G43" s="272">
        <f>E43/'- 7 -'!$E43</f>
        <v>76.094786729857816</v>
      </c>
      <c r="H43" s="272">
        <v>228913</v>
      </c>
      <c r="I43" s="273">
        <f>H43/'- 3 -'!$D43*100</f>
        <v>1.6612146265378516</v>
      </c>
      <c r="J43" s="272">
        <f>H43/'- 7 -'!$E43</f>
        <v>241.0879410215903</v>
      </c>
    </row>
    <row r="44" spans="1:10" ht="14.1" customHeight="1" x14ac:dyDescent="0.2">
      <c r="A44" s="15" t="s">
        <v>140</v>
      </c>
      <c r="B44" s="16">
        <v>0</v>
      </c>
      <c r="C44" s="267">
        <f>B44/'- 3 -'!$D44*100</f>
        <v>0</v>
      </c>
      <c r="D44" s="16">
        <f>B44/'- 7 -'!$C44</f>
        <v>0</v>
      </c>
      <c r="E44" s="16">
        <v>0</v>
      </c>
      <c r="F44" s="267">
        <f>E44/'- 3 -'!$D44*100</f>
        <v>0</v>
      </c>
      <c r="G44" s="16">
        <f>E44/'- 7 -'!$E44</f>
        <v>0</v>
      </c>
      <c r="H44" s="16">
        <v>136936</v>
      </c>
      <c r="I44" s="267">
        <f>H44/'- 3 -'!$D44*100</f>
        <v>1.2136944612648743</v>
      </c>
      <c r="J44" s="16">
        <f>H44/'- 7 -'!$E44</f>
        <v>197.17206623470122</v>
      </c>
    </row>
    <row r="45" spans="1:10" ht="14.1" customHeight="1" x14ac:dyDescent="0.2">
      <c r="A45" s="271" t="s">
        <v>141</v>
      </c>
      <c r="B45" s="272">
        <v>0</v>
      </c>
      <c r="C45" s="273">
        <f>B45/'- 3 -'!$D45*100</f>
        <v>0</v>
      </c>
      <c r="D45" s="272">
        <f>B45/'- 7 -'!$C45</f>
        <v>0</v>
      </c>
      <c r="E45" s="272">
        <v>0</v>
      </c>
      <c r="F45" s="273">
        <f>E45/'- 3 -'!$D45*100</f>
        <v>0</v>
      </c>
      <c r="G45" s="272">
        <f>E45/'- 7 -'!$E45</f>
        <v>0</v>
      </c>
      <c r="H45" s="272">
        <v>237410</v>
      </c>
      <c r="I45" s="273">
        <f>H45/'- 3 -'!$D45*100</f>
        <v>1.1457981721476207</v>
      </c>
      <c r="J45" s="272">
        <f>H45/'- 7 -'!$E45</f>
        <v>132.04115684093438</v>
      </c>
    </row>
    <row r="46" spans="1:10" ht="14.1" customHeight="1" x14ac:dyDescent="0.2">
      <c r="A46" s="15" t="s">
        <v>142</v>
      </c>
      <c r="B46" s="16">
        <v>605700</v>
      </c>
      <c r="C46" s="267">
        <f>B46/'- 3 -'!$D46*100</f>
        <v>0.14900953678256257</v>
      </c>
      <c r="D46" s="16">
        <f>B46/'- 7 -'!$C46</f>
        <v>20.019831432821022</v>
      </c>
      <c r="E46" s="16">
        <v>897200</v>
      </c>
      <c r="F46" s="267">
        <f>E46/'- 3 -'!$D46*100</f>
        <v>0.22072206769244698</v>
      </c>
      <c r="G46" s="16">
        <f>E46/'- 7 -'!$E46</f>
        <v>29.654602545033878</v>
      </c>
      <c r="H46" s="16">
        <v>2115600</v>
      </c>
      <c r="I46" s="267">
        <f>H46/'- 3 -'!$D46*100</f>
        <v>0.52046322604786088</v>
      </c>
      <c r="J46" s="16">
        <f>H46/'- 7 -'!$E46</f>
        <v>69.925632126921172</v>
      </c>
    </row>
    <row r="47" spans="1:10" ht="5.0999999999999996" customHeight="1" x14ac:dyDescent="0.2">
      <c r="A47"/>
      <c r="B47"/>
      <c r="C47"/>
      <c r="D47"/>
      <c r="E47"/>
      <c r="F47"/>
      <c r="G47"/>
      <c r="H47"/>
      <c r="I47"/>
      <c r="J47"/>
    </row>
    <row r="48" spans="1:10" ht="14.1" customHeight="1" x14ac:dyDescent="0.2">
      <c r="A48" s="274" t="s">
        <v>143</v>
      </c>
      <c r="B48" s="275">
        <f>SUM(B11:B46)</f>
        <v>2653406</v>
      </c>
      <c r="C48" s="276">
        <f>B48/'- 3 -'!$D48*100</f>
        <v>0.11003847638782593</v>
      </c>
      <c r="D48" s="275">
        <f>B48/'- 7 -'!$C48</f>
        <v>14.817288845455815</v>
      </c>
      <c r="E48" s="275">
        <f>SUM(E11:E46)</f>
        <v>14014977</v>
      </c>
      <c r="F48" s="276">
        <f>E48/'- 3 -'!$D48*100</f>
        <v>0.58121023156291329</v>
      </c>
      <c r="G48" s="275">
        <f>E48/'- 7 -'!$E48</f>
        <v>78.263169063241662</v>
      </c>
      <c r="H48" s="275">
        <f>SUM(H11:H46)</f>
        <v>31695922</v>
      </c>
      <c r="I48" s="276">
        <f>H48/'- 3 -'!$D48*100</f>
        <v>1.3144505456712514</v>
      </c>
      <c r="J48" s="275">
        <f>H48/'- 7 -'!$E48</f>
        <v>176.99802875889989</v>
      </c>
    </row>
    <row r="49" spans="1:10" ht="5.0999999999999996" customHeight="1" x14ac:dyDescent="0.2">
      <c r="A49" s="17" t="s">
        <v>1</v>
      </c>
      <c r="B49" s="18"/>
      <c r="C49" s="266"/>
      <c r="D49" s="18"/>
      <c r="E49" s="18"/>
      <c r="F49" s="266"/>
      <c r="H49" s="18"/>
      <c r="I49" s="266"/>
      <c r="J49" s="18"/>
    </row>
    <row r="50" spans="1:10" ht="14.1" customHeight="1" x14ac:dyDescent="0.2">
      <c r="A50" s="15" t="s">
        <v>144</v>
      </c>
      <c r="B50" s="16">
        <v>0</v>
      </c>
      <c r="C50" s="267">
        <f>B50/'- 3 -'!$D50*100</f>
        <v>0</v>
      </c>
      <c r="D50" s="16">
        <f>B50/'- 7 -'!$C50</f>
        <v>0</v>
      </c>
      <c r="E50" s="16">
        <v>0</v>
      </c>
      <c r="F50" s="267">
        <f>E50/'- 3 -'!$D50*100</f>
        <v>0</v>
      </c>
      <c r="G50" s="16">
        <f>E50/'- 7 -'!$E50</f>
        <v>0</v>
      </c>
      <c r="H50" s="16">
        <v>19300</v>
      </c>
      <c r="I50" s="267">
        <f>H50/'- 3 -'!$D50*100</f>
        <v>0.53717322194271899</v>
      </c>
      <c r="J50" s="16">
        <f>H50/'- 7 -'!$E50</f>
        <v>114.88095238095238</v>
      </c>
    </row>
    <row r="51" spans="1:10" ht="14.1" customHeight="1" x14ac:dyDescent="0.2">
      <c r="A51" s="360" t="s">
        <v>514</v>
      </c>
      <c r="B51" s="272">
        <v>0</v>
      </c>
      <c r="C51" s="273">
        <f>B51/'- 3 -'!$D51*100</f>
        <v>0</v>
      </c>
      <c r="D51" s="272">
        <f>B51/'- 7 -'!$C51</f>
        <v>0</v>
      </c>
      <c r="E51" s="272">
        <v>617211</v>
      </c>
      <c r="F51" s="273">
        <f>E51/'- 3 -'!$D51*100</f>
        <v>1.8786102184591167</v>
      </c>
      <c r="G51" s="272">
        <f>E51/'- 7 -'!$E51</f>
        <v>450.51897810218981</v>
      </c>
      <c r="H51" s="272">
        <v>0</v>
      </c>
      <c r="I51" s="273">
        <f>H51/'- 3 -'!$D51*100</f>
        <v>0</v>
      </c>
      <c r="J51" s="272">
        <f>H51/'- 7 -'!$E51</f>
        <v>0</v>
      </c>
    </row>
    <row r="52" spans="1:10" ht="50.1" customHeight="1" x14ac:dyDescent="0.2">
      <c r="A52" s="164"/>
      <c r="B52" s="164"/>
      <c r="C52" s="164"/>
      <c r="D52" s="164"/>
      <c r="E52" s="164"/>
      <c r="F52" s="164"/>
      <c r="G52" s="164"/>
      <c r="H52" s="164"/>
      <c r="I52" s="164"/>
      <c r="J52" s="164"/>
    </row>
    <row r="53" spans="1:10" ht="15" customHeight="1" x14ac:dyDescent="0.2">
      <c r="A53" s="130"/>
      <c r="B53" s="164"/>
      <c r="C53" s="164"/>
      <c r="D53" s="164"/>
      <c r="E53" s="164"/>
      <c r="F53" s="164"/>
      <c r="G53" s="164"/>
      <c r="H53" s="164"/>
      <c r="I53" s="164"/>
      <c r="J53" s="164"/>
    </row>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D8:D9"/>
    <mergeCell ref="G8:G9"/>
    <mergeCell ref="J8:J9"/>
    <mergeCell ref="B5:J5"/>
    <mergeCell ref="B6: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59"/>
  <sheetViews>
    <sheetView showGridLines="0" showZeros="0" workbookViewId="0"/>
  </sheetViews>
  <sheetFormatPr defaultColWidth="15.83203125" defaultRowHeight="12" x14ac:dyDescent="0.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x14ac:dyDescent="0.2">
      <c r="A1" s="3"/>
      <c r="B1" s="32"/>
      <c r="C1" s="32"/>
      <c r="D1" s="32"/>
      <c r="E1" s="32"/>
      <c r="F1" s="32"/>
      <c r="G1" s="32"/>
    </row>
    <row r="2" spans="1:7" ht="15.95" customHeight="1" x14ac:dyDescent="0.2">
      <c r="A2" s="132"/>
      <c r="B2" s="5" t="str">
        <f>AEXP_BP</f>
        <v>ANALYSIS OF EXPENSE BY PROGRAM</v>
      </c>
      <c r="C2" s="155"/>
      <c r="D2" s="35"/>
      <c r="E2" s="35"/>
      <c r="F2" s="35"/>
      <c r="G2" s="502" t="s">
        <v>532</v>
      </c>
    </row>
    <row r="3" spans="1:7" ht="15.95" customHeight="1" x14ac:dyDescent="0.2">
      <c r="A3" s="135"/>
      <c r="B3" s="175" t="str">
        <f>OPYEAR</f>
        <v>OPERATING FUND 2018/2019 BUDGET</v>
      </c>
      <c r="C3" s="39"/>
      <c r="D3" s="156"/>
      <c r="E3" s="39"/>
      <c r="F3" s="39"/>
      <c r="G3" s="41"/>
    </row>
    <row r="4" spans="1:7" ht="15.95" customHeight="1" x14ac:dyDescent="0.2">
      <c r="B4" s="32"/>
      <c r="C4" s="32"/>
      <c r="D4" s="32"/>
      <c r="E4" s="32"/>
      <c r="F4" s="32"/>
      <c r="G4" s="32"/>
    </row>
    <row r="5" spans="1:7" ht="15.95" customHeight="1" x14ac:dyDescent="0.2">
      <c r="B5" s="367" t="s">
        <v>251</v>
      </c>
      <c r="C5" s="157"/>
      <c r="D5" s="158"/>
      <c r="E5" s="158"/>
      <c r="F5" s="158"/>
      <c r="G5" s="159"/>
    </row>
    <row r="6" spans="1:7" ht="15.95" customHeight="1" x14ac:dyDescent="0.2">
      <c r="B6" s="637" t="s">
        <v>425</v>
      </c>
      <c r="C6" s="638"/>
      <c r="D6" s="639"/>
      <c r="E6" s="346"/>
      <c r="F6" s="347"/>
      <c r="G6" s="348"/>
    </row>
    <row r="7" spans="1:7" ht="15.95" customHeight="1" x14ac:dyDescent="0.2">
      <c r="B7" s="640"/>
      <c r="C7" s="641"/>
      <c r="D7" s="642"/>
      <c r="E7" s="634" t="s">
        <v>298</v>
      </c>
      <c r="F7" s="635"/>
      <c r="G7" s="636"/>
    </row>
    <row r="8" spans="1:7" ht="15.95" customHeight="1" x14ac:dyDescent="0.2">
      <c r="A8" s="82"/>
      <c r="B8" s="160"/>
      <c r="C8" s="161"/>
      <c r="D8" s="529" t="s">
        <v>396</v>
      </c>
      <c r="E8" s="162"/>
      <c r="F8" s="161"/>
      <c r="G8" s="529" t="s">
        <v>396</v>
      </c>
    </row>
    <row r="9" spans="1:7" ht="15.95" customHeight="1" x14ac:dyDescent="0.2">
      <c r="A9" s="27" t="s">
        <v>37</v>
      </c>
      <c r="B9" s="43" t="s">
        <v>38</v>
      </c>
      <c r="C9" s="43" t="s">
        <v>39</v>
      </c>
      <c r="D9" s="569"/>
      <c r="E9" s="163" t="s">
        <v>38</v>
      </c>
      <c r="F9" s="43" t="s">
        <v>39</v>
      </c>
      <c r="G9" s="569"/>
    </row>
    <row r="10" spans="1:7" ht="5.0999999999999996" customHeight="1" x14ac:dyDescent="0.2">
      <c r="A10" s="29"/>
      <c r="B10" s="46"/>
      <c r="C10" s="46"/>
      <c r="D10" s="46"/>
      <c r="E10" s="46"/>
      <c r="F10" s="46"/>
      <c r="G10" s="46"/>
    </row>
    <row r="11" spans="1:7" ht="14.1" customHeight="1" x14ac:dyDescent="0.2">
      <c r="A11" s="271" t="s">
        <v>108</v>
      </c>
      <c r="B11" s="272">
        <v>172330</v>
      </c>
      <c r="C11" s="273">
        <f>B11/'- 3 -'!$D11*100</f>
        <v>0.84674425287017463</v>
      </c>
      <c r="D11" s="272">
        <f>B11/'- 7 -'!$E11</f>
        <v>95.553091211533129</v>
      </c>
      <c r="E11" s="272">
        <v>12324</v>
      </c>
      <c r="F11" s="273">
        <f>E11/'- 3 -'!$D11*100</f>
        <v>6.0554031058852389E-2</v>
      </c>
      <c r="G11" s="272">
        <f>E11/'- 7 -'!$E11</f>
        <v>6.8333795397837536</v>
      </c>
    </row>
    <row r="12" spans="1:7" ht="14.1" customHeight="1" x14ac:dyDescent="0.2">
      <c r="A12" s="15" t="s">
        <v>109</v>
      </c>
      <c r="B12" s="16">
        <v>491706</v>
      </c>
      <c r="C12" s="267">
        <f>B12/'- 3 -'!$D12*100</f>
        <v>1.4082511512677844</v>
      </c>
      <c r="D12" s="16">
        <f>B12/'- 7 -'!$E12</f>
        <v>230.79371039662053</v>
      </c>
      <c r="E12" s="16">
        <v>140994</v>
      </c>
      <c r="F12" s="267">
        <f>E12/'- 3 -'!$D12*100</f>
        <v>0.40380829768571058</v>
      </c>
      <c r="G12" s="16">
        <f>E12/'- 7 -'!$E12</f>
        <v>66.178831260267543</v>
      </c>
    </row>
    <row r="13" spans="1:7" ht="14.1" customHeight="1" x14ac:dyDescent="0.2">
      <c r="A13" s="271" t="s">
        <v>110</v>
      </c>
      <c r="B13" s="272">
        <v>1547400</v>
      </c>
      <c r="C13" s="273">
        <f>B13/'- 3 -'!$D13*100</f>
        <v>1.4862525957074058</v>
      </c>
      <c r="D13" s="272">
        <f>B13/'- 7 -'!$E13</f>
        <v>180.05585292064231</v>
      </c>
      <c r="E13" s="272">
        <v>122000</v>
      </c>
      <c r="F13" s="273">
        <f>E13/'- 3 -'!$D13*100</f>
        <v>0.11717902072916087</v>
      </c>
      <c r="G13" s="272">
        <f>E13/'- 7 -'!$E13</f>
        <v>14.195950663253432</v>
      </c>
    </row>
    <row r="14" spans="1:7" ht="14.1" customHeight="1" x14ac:dyDescent="0.2">
      <c r="A14" s="15" t="s">
        <v>319</v>
      </c>
      <c r="B14" s="16">
        <v>388402</v>
      </c>
      <c r="C14" s="267">
        <f>B14/'- 3 -'!$D14*100</f>
        <v>0.4161735970714559</v>
      </c>
      <c r="D14" s="16">
        <f>B14/'- 7 -'!$E14</f>
        <v>67.081519861830742</v>
      </c>
      <c r="E14" s="16">
        <v>66019</v>
      </c>
      <c r="F14" s="267">
        <f>E14/'- 3 -'!$D14*100</f>
        <v>7.073950367160943E-2</v>
      </c>
      <c r="G14" s="16">
        <f>E14/'- 7 -'!$E14</f>
        <v>11.402245250431779</v>
      </c>
    </row>
    <row r="15" spans="1:7" ht="14.1" customHeight="1" x14ac:dyDescent="0.2">
      <c r="A15" s="271" t="s">
        <v>111</v>
      </c>
      <c r="B15" s="272">
        <v>205670</v>
      </c>
      <c r="C15" s="273">
        <f>B15/'- 3 -'!$D15*100</f>
        <v>0.9897365660717613</v>
      </c>
      <c r="D15" s="272">
        <f>B15/'- 7 -'!$E15</f>
        <v>152.46108228317271</v>
      </c>
      <c r="E15" s="272">
        <v>8200</v>
      </c>
      <c r="F15" s="273">
        <f>E15/'- 3 -'!$D15*100</f>
        <v>3.9460494198417087E-2</v>
      </c>
      <c r="G15" s="272">
        <f>E15/'- 7 -'!$E15</f>
        <v>6.0785767234988883</v>
      </c>
    </row>
    <row r="16" spans="1:7" ht="14.1" customHeight="1" x14ac:dyDescent="0.2">
      <c r="A16" s="15" t="s">
        <v>112</v>
      </c>
      <c r="B16" s="16">
        <v>107741</v>
      </c>
      <c r="C16" s="267">
        <f>B16/'- 3 -'!$D16*100</f>
        <v>0.72467774537586704</v>
      </c>
      <c r="D16" s="16">
        <f>B16/'- 7 -'!$E16</f>
        <v>116.72914409534128</v>
      </c>
      <c r="E16" s="16">
        <v>48498</v>
      </c>
      <c r="F16" s="267">
        <f>E16/'- 3 -'!$D16*100</f>
        <v>0.32620285030989876</v>
      </c>
      <c r="G16" s="16">
        <f>E16/'- 7 -'!$E16</f>
        <v>52.54387865655471</v>
      </c>
    </row>
    <row r="17" spans="1:7" ht="14.1" customHeight="1" x14ac:dyDescent="0.2">
      <c r="A17" s="271" t="s">
        <v>113</v>
      </c>
      <c r="B17" s="272">
        <v>140640</v>
      </c>
      <c r="C17" s="273">
        <f>B17/'- 3 -'!$D17*100</f>
        <v>0.75205411196173511</v>
      </c>
      <c r="D17" s="272">
        <f>B17/'- 7 -'!$E17</f>
        <v>100.88952654232425</v>
      </c>
      <c r="E17" s="272">
        <v>1500</v>
      </c>
      <c r="F17" s="273">
        <f>E17/'- 3 -'!$D17*100</f>
        <v>8.0210549483973447E-3</v>
      </c>
      <c r="G17" s="272">
        <f>E17/'- 7 -'!$E17</f>
        <v>1.0760401721664274</v>
      </c>
    </row>
    <row r="18" spans="1:7" ht="14.1" customHeight="1" x14ac:dyDescent="0.2">
      <c r="A18" s="15" t="s">
        <v>114</v>
      </c>
      <c r="B18" s="16">
        <v>871160</v>
      </c>
      <c r="C18" s="267">
        <f>B18/'- 3 -'!$D18*100</f>
        <v>0.6468725709374713</v>
      </c>
      <c r="D18" s="16">
        <f>B18/'- 7 -'!$E18</f>
        <v>141.99374103533708</v>
      </c>
      <c r="E18" s="16">
        <v>1879961</v>
      </c>
      <c r="F18" s="267">
        <f>E18/'- 3 -'!$D18*100</f>
        <v>1.3959493150881348</v>
      </c>
      <c r="G18" s="16">
        <f>E18/'- 7 -'!$E18</f>
        <v>306.42212152823055</v>
      </c>
    </row>
    <row r="19" spans="1:7" ht="14.1" customHeight="1" x14ac:dyDescent="0.2">
      <c r="A19" s="271" t="s">
        <v>115</v>
      </c>
      <c r="B19" s="272">
        <v>626200</v>
      </c>
      <c r="C19" s="273">
        <f>B19/'- 3 -'!$D19*100</f>
        <v>1.2443960446408699</v>
      </c>
      <c r="D19" s="272">
        <f>B19/'- 7 -'!$E19</f>
        <v>143.57445832855669</v>
      </c>
      <c r="E19" s="272">
        <v>275400</v>
      </c>
      <c r="F19" s="273">
        <f>E19/'- 3 -'!$D19*100</f>
        <v>0.54727989571078817</v>
      </c>
      <c r="G19" s="272">
        <f>E19/'- 7 -'!$E19</f>
        <v>63.143413963086097</v>
      </c>
    </row>
    <row r="20" spans="1:7" ht="14.1" customHeight="1" x14ac:dyDescent="0.2">
      <c r="A20" s="15" t="s">
        <v>116</v>
      </c>
      <c r="B20" s="16">
        <v>1035500</v>
      </c>
      <c r="C20" s="267">
        <f>B20/'- 3 -'!$D20*100</f>
        <v>1.1867881992795604</v>
      </c>
      <c r="D20" s="16">
        <f>B20/'- 7 -'!$E20</f>
        <v>131.67599186164801</v>
      </c>
      <c r="E20" s="16">
        <v>275900</v>
      </c>
      <c r="F20" s="267">
        <f>E20/'- 3 -'!$D20*100</f>
        <v>0.31620942943624408</v>
      </c>
      <c r="G20" s="16">
        <f>E20/'- 7 -'!$E20</f>
        <v>35.083926754832149</v>
      </c>
    </row>
    <row r="21" spans="1:7" ht="14.1" customHeight="1" x14ac:dyDescent="0.2">
      <c r="A21" s="271" t="s">
        <v>117</v>
      </c>
      <c r="B21" s="272">
        <v>429459</v>
      </c>
      <c r="C21" s="273">
        <f>B21/'- 3 -'!$D21*100</f>
        <v>1.1434061366968036</v>
      </c>
      <c r="D21" s="272">
        <f>B21/'- 7 -'!$E21</f>
        <v>153.07752628764925</v>
      </c>
      <c r="E21" s="272">
        <v>90645</v>
      </c>
      <c r="F21" s="273">
        <f>E21/'- 3 -'!$D21*100</f>
        <v>0.24133630744932991</v>
      </c>
      <c r="G21" s="272">
        <f>E21/'- 7 -'!$E21</f>
        <v>32.309748707895203</v>
      </c>
    </row>
    <row r="22" spans="1:7" ht="14.1" customHeight="1" x14ac:dyDescent="0.2">
      <c r="A22" s="15" t="s">
        <v>118</v>
      </c>
      <c r="B22" s="16">
        <v>199600</v>
      </c>
      <c r="C22" s="267">
        <f>B22/'- 3 -'!$D22*100</f>
        <v>0.95581143889846076</v>
      </c>
      <c r="D22" s="16">
        <f>B22/'- 7 -'!$E22</f>
        <v>136.97502058742793</v>
      </c>
      <c r="E22" s="16">
        <v>970</v>
      </c>
      <c r="F22" s="267">
        <f>E22/'- 3 -'!$D22*100</f>
        <v>4.6449754295165681E-3</v>
      </c>
      <c r="G22" s="16">
        <f>E22/'- 7 -'!$E22</f>
        <v>0.66566017018940427</v>
      </c>
    </row>
    <row r="23" spans="1:7" ht="14.1" customHeight="1" x14ac:dyDescent="0.2">
      <c r="A23" s="271" t="s">
        <v>119</v>
      </c>
      <c r="B23" s="272">
        <v>310000</v>
      </c>
      <c r="C23" s="273">
        <f>B23/'- 3 -'!$D23*100</f>
        <v>1.8267733313722039</v>
      </c>
      <c r="D23" s="272">
        <f>B23/'- 7 -'!$E23</f>
        <v>298.07692307692309</v>
      </c>
      <c r="E23" s="272">
        <v>7000</v>
      </c>
      <c r="F23" s="273">
        <f>E23/'- 3 -'!$D23*100</f>
        <v>4.1249720385823953E-2</v>
      </c>
      <c r="G23" s="272">
        <f>E23/'- 7 -'!$E23</f>
        <v>6.7307692307692308</v>
      </c>
    </row>
    <row r="24" spans="1:7" ht="14.1" customHeight="1" x14ac:dyDescent="0.2">
      <c r="A24" s="15" t="s">
        <v>120</v>
      </c>
      <c r="B24" s="16">
        <v>601910</v>
      </c>
      <c r="C24" s="267">
        <f>B24/'- 3 -'!$D24*100</f>
        <v>1.0303428620747654</v>
      </c>
      <c r="D24" s="16">
        <f>B24/'- 7 -'!$E24</f>
        <v>159.40413135593221</v>
      </c>
      <c r="E24" s="16">
        <v>131825</v>
      </c>
      <c r="F24" s="267">
        <f>E24/'- 3 -'!$D24*100</f>
        <v>0.22565657289795146</v>
      </c>
      <c r="G24" s="16">
        <f>E24/'- 7 -'!$E24</f>
        <v>34.911281779661017</v>
      </c>
    </row>
    <row r="25" spans="1:7" ht="14.1" customHeight="1" x14ac:dyDescent="0.2">
      <c r="A25" s="271" t="s">
        <v>121</v>
      </c>
      <c r="B25" s="272">
        <v>1745776</v>
      </c>
      <c r="C25" s="273">
        <f>B25/'- 3 -'!$D25*100</f>
        <v>0.92911175296170145</v>
      </c>
      <c r="D25" s="272">
        <f>B25/'- 7 -'!$E25</f>
        <v>117.28424588511925</v>
      </c>
      <c r="E25" s="272">
        <v>336901</v>
      </c>
      <c r="F25" s="273">
        <f>E25/'- 3 -'!$D25*100</f>
        <v>0.17930059680311233</v>
      </c>
      <c r="G25" s="272">
        <f>E25/'- 7 -'!$E25</f>
        <v>22.633590863285185</v>
      </c>
    </row>
    <row r="26" spans="1:7" ht="14.1" customHeight="1" x14ac:dyDescent="0.2">
      <c r="A26" s="15" t="s">
        <v>122</v>
      </c>
      <c r="B26" s="16">
        <v>347828</v>
      </c>
      <c r="C26" s="267">
        <f>B26/'- 3 -'!$D26*100</f>
        <v>0.84789378613359645</v>
      </c>
      <c r="D26" s="16">
        <f>B26/'- 7 -'!$E26</f>
        <v>122.53936938523869</v>
      </c>
      <c r="E26" s="16">
        <v>288630</v>
      </c>
      <c r="F26" s="267">
        <f>E26/'- 3 -'!$D26*100</f>
        <v>0.70358793280512189</v>
      </c>
      <c r="G26" s="16">
        <f>E26/'- 7 -'!$E26</f>
        <v>101.68398802184252</v>
      </c>
    </row>
    <row r="27" spans="1:7" ht="14.1" customHeight="1" x14ac:dyDescent="0.2">
      <c r="A27" s="271" t="s">
        <v>123</v>
      </c>
      <c r="B27" s="272">
        <v>241900</v>
      </c>
      <c r="C27" s="273">
        <f>B27/'- 3 -'!$D27*100</f>
        <v>0.56618667190956928</v>
      </c>
      <c r="D27" s="272">
        <f>B27/'- 7 -'!$E27</f>
        <v>79.389563505086969</v>
      </c>
      <c r="E27" s="272">
        <v>34000</v>
      </c>
      <c r="F27" s="273">
        <f>E27/'- 3 -'!$D27*100</f>
        <v>7.9579771992250331E-2</v>
      </c>
      <c r="G27" s="272">
        <f>E27/'- 7 -'!$E27</f>
        <v>11.158516573679028</v>
      </c>
    </row>
    <row r="28" spans="1:7" ht="14.1" customHeight="1" x14ac:dyDescent="0.2">
      <c r="A28" s="15" t="s">
        <v>124</v>
      </c>
      <c r="B28" s="16">
        <v>356719</v>
      </c>
      <c r="C28" s="267">
        <f>B28/'- 3 -'!$D28*100</f>
        <v>1.2389174542883952</v>
      </c>
      <c r="D28" s="16">
        <f>B28/'- 7 -'!$E28</f>
        <v>182.27848748083801</v>
      </c>
      <c r="E28" s="16">
        <v>0</v>
      </c>
      <c r="F28" s="267">
        <f>E28/'- 3 -'!$D28*100</f>
        <v>0</v>
      </c>
      <c r="G28" s="16">
        <f>E28/'- 7 -'!$E28</f>
        <v>0</v>
      </c>
    </row>
    <row r="29" spans="1:7" ht="14.1" customHeight="1" x14ac:dyDescent="0.2">
      <c r="A29" s="271" t="s">
        <v>125</v>
      </c>
      <c r="B29" s="272">
        <v>1744547</v>
      </c>
      <c r="C29" s="273">
        <f>B29/'- 3 -'!$D29*100</f>
        <v>1.027097317725046</v>
      </c>
      <c r="D29" s="272">
        <f>B29/'- 7 -'!$E29</f>
        <v>129.12145008844712</v>
      </c>
      <c r="E29" s="272">
        <v>566095</v>
      </c>
      <c r="F29" s="273">
        <f>E29/'- 3 -'!$D29*100</f>
        <v>0.33328689687211638</v>
      </c>
      <c r="G29" s="272">
        <f>E29/'- 7 -'!$E29</f>
        <v>41.89913329237875</v>
      </c>
    </row>
    <row r="30" spans="1:7" ht="14.1" customHeight="1" x14ac:dyDescent="0.2">
      <c r="A30" s="15" t="s">
        <v>126</v>
      </c>
      <c r="B30" s="16">
        <v>193730</v>
      </c>
      <c r="C30" s="267">
        <f>B30/'- 3 -'!$D30*100</f>
        <v>1.2680247462821439</v>
      </c>
      <c r="D30" s="16">
        <f>B30/'- 7 -'!$E30</f>
        <v>191.8118811881188</v>
      </c>
      <c r="E30" s="16">
        <v>7135</v>
      </c>
      <c r="F30" s="267">
        <f>E30/'- 3 -'!$D30*100</f>
        <v>4.6700854615821491E-2</v>
      </c>
      <c r="G30" s="16">
        <f>E30/'- 7 -'!$E30</f>
        <v>7.064356435643564</v>
      </c>
    </row>
    <row r="31" spans="1:7" ht="14.1" customHeight="1" x14ac:dyDescent="0.2">
      <c r="A31" s="271" t="s">
        <v>127</v>
      </c>
      <c r="B31" s="272">
        <v>303869</v>
      </c>
      <c r="C31" s="273">
        <f>B31/'- 3 -'!$D31*100</f>
        <v>0.78091450691409858</v>
      </c>
      <c r="D31" s="272">
        <f>B31/'- 7 -'!$E31</f>
        <v>93.587421848532443</v>
      </c>
      <c r="E31" s="272">
        <v>556124</v>
      </c>
      <c r="F31" s="273">
        <f>E31/'- 3 -'!$D31*100</f>
        <v>1.4291859296048499</v>
      </c>
      <c r="G31" s="272">
        <f>E31/'- 7 -'!$E31</f>
        <v>171.27845021405031</v>
      </c>
    </row>
    <row r="32" spans="1:7" ht="14.1" customHeight="1" x14ac:dyDescent="0.2">
      <c r="A32" s="15" t="s">
        <v>128</v>
      </c>
      <c r="B32" s="16">
        <v>624033</v>
      </c>
      <c r="C32" s="267">
        <f>B32/'- 3 -'!$D32*100</f>
        <v>2.0110966703672326</v>
      </c>
      <c r="D32" s="16">
        <f>B32/'- 7 -'!$E32</f>
        <v>275.69383697813123</v>
      </c>
      <c r="E32" s="16">
        <v>2836</v>
      </c>
      <c r="F32" s="267">
        <f>E32/'- 3 -'!$D32*100</f>
        <v>9.1396931847538068E-3</v>
      </c>
      <c r="G32" s="16">
        <f>E32/'- 7 -'!$E32</f>
        <v>1.2529268831455711</v>
      </c>
    </row>
    <row r="33" spans="1:7" ht="14.1" customHeight="1" x14ac:dyDescent="0.2">
      <c r="A33" s="271" t="s">
        <v>129</v>
      </c>
      <c r="B33" s="272">
        <v>216550</v>
      </c>
      <c r="C33" s="273">
        <f>B33/'- 3 -'!$D33*100</f>
        <v>0.75923502206882865</v>
      </c>
      <c r="D33" s="272">
        <f>B33/'- 7 -'!$E33</f>
        <v>105.50548112058465</v>
      </c>
      <c r="E33" s="272">
        <v>16000</v>
      </c>
      <c r="F33" s="273">
        <f>E33/'- 3 -'!$D33*100</f>
        <v>5.6096792210118943E-2</v>
      </c>
      <c r="G33" s="272">
        <f>E33/'- 7 -'!$E33</f>
        <v>7.79537149817296</v>
      </c>
    </row>
    <row r="34" spans="1:7" ht="14.1" customHeight="1" x14ac:dyDescent="0.2">
      <c r="A34" s="15" t="s">
        <v>130</v>
      </c>
      <c r="B34" s="16">
        <v>321820</v>
      </c>
      <c r="C34" s="267">
        <f>B34/'- 3 -'!$D34*100</f>
        <v>1.0331885578749487</v>
      </c>
      <c r="D34" s="16">
        <f>B34/'- 7 -'!$E34</f>
        <v>148.35200295026044</v>
      </c>
      <c r="E34" s="16">
        <v>41529</v>
      </c>
      <c r="F34" s="267">
        <f>E34/'- 3 -'!$D34*100</f>
        <v>0.13332697663286538</v>
      </c>
      <c r="G34" s="16">
        <f>E34/'- 7 -'!$E34</f>
        <v>19.143963490526897</v>
      </c>
    </row>
    <row r="35" spans="1:7" ht="14.1" customHeight="1" x14ac:dyDescent="0.2">
      <c r="A35" s="271" t="s">
        <v>131</v>
      </c>
      <c r="B35" s="272">
        <v>2184572</v>
      </c>
      <c r="C35" s="273">
        <f>B35/'- 3 -'!$D35*100</f>
        <v>1.1443091609512941</v>
      </c>
      <c r="D35" s="272">
        <f>B35/'- 7 -'!$E35</f>
        <v>135.31788899900891</v>
      </c>
      <c r="E35" s="272">
        <v>412000</v>
      </c>
      <c r="F35" s="273">
        <f>E35/'- 3 -'!$D35*100</f>
        <v>0.21581132336765882</v>
      </c>
      <c r="G35" s="272">
        <f>E35/'- 7 -'!$E35</f>
        <v>25.5203171456888</v>
      </c>
    </row>
    <row r="36" spans="1:7" ht="14.1" customHeight="1" x14ac:dyDescent="0.2">
      <c r="A36" s="15" t="s">
        <v>132</v>
      </c>
      <c r="B36" s="16">
        <v>153100</v>
      </c>
      <c r="C36" s="267">
        <f>B36/'- 3 -'!$D36*100</f>
        <v>0.63508524494959973</v>
      </c>
      <c r="D36" s="16">
        <f>B36/'- 7 -'!$E36</f>
        <v>89.926578560939788</v>
      </c>
      <c r="E36" s="16">
        <v>12400</v>
      </c>
      <c r="F36" s="267">
        <f>E36/'- 3 -'!$D36*100</f>
        <v>5.1437341850914677E-2</v>
      </c>
      <c r="G36" s="16">
        <f>E36/'- 7 -'!$E36</f>
        <v>7.2834067547723933</v>
      </c>
    </row>
    <row r="37" spans="1:7" ht="14.1" customHeight="1" x14ac:dyDescent="0.2">
      <c r="A37" s="271" t="s">
        <v>133</v>
      </c>
      <c r="B37" s="272">
        <v>421282</v>
      </c>
      <c r="C37" s="273">
        <f>B37/'- 3 -'!$D37*100</f>
        <v>0.79415845391685946</v>
      </c>
      <c r="D37" s="272">
        <f>B37/'- 7 -'!$E37</f>
        <v>98.776553341148883</v>
      </c>
      <c r="E37" s="272">
        <v>86500</v>
      </c>
      <c r="F37" s="273">
        <f>E37/'- 3 -'!$D37*100</f>
        <v>0.16306109984240569</v>
      </c>
      <c r="G37" s="272">
        <f>E37/'- 7 -'!$E37</f>
        <v>20.281359906213364</v>
      </c>
    </row>
    <row r="38" spans="1:7" ht="14.1" customHeight="1" x14ac:dyDescent="0.2">
      <c r="A38" s="15" t="s">
        <v>134</v>
      </c>
      <c r="B38" s="16">
        <v>1192240</v>
      </c>
      <c r="C38" s="267">
        <f>B38/'- 3 -'!$D38*100</f>
        <v>0.82364387944391471</v>
      </c>
      <c r="D38" s="16">
        <f>B38/'- 7 -'!$E38</f>
        <v>106.13727410308911</v>
      </c>
      <c r="E38" s="16">
        <v>2246810</v>
      </c>
      <c r="F38" s="267">
        <f>E38/'- 3 -'!$D38*100</f>
        <v>1.5521801858462909</v>
      </c>
      <c r="G38" s="16">
        <f>E38/'- 7 -'!$E38</f>
        <v>200.01869491676311</v>
      </c>
    </row>
    <row r="39" spans="1:7" ht="14.1" customHeight="1" x14ac:dyDescent="0.2">
      <c r="A39" s="271" t="s">
        <v>135</v>
      </c>
      <c r="B39" s="272">
        <v>100000</v>
      </c>
      <c r="C39" s="273">
        <f>B39/'- 3 -'!$D39*100</f>
        <v>0.42914351365886561</v>
      </c>
      <c r="D39" s="272">
        <f>B39/'- 7 -'!$E39</f>
        <v>66.093853271645742</v>
      </c>
      <c r="E39" s="272">
        <v>45300</v>
      </c>
      <c r="F39" s="273">
        <f>E39/'- 3 -'!$D39*100</f>
        <v>0.1944020116874661</v>
      </c>
      <c r="G39" s="272">
        <f>E39/'- 7 -'!$E39</f>
        <v>29.940515532055517</v>
      </c>
    </row>
    <row r="40" spans="1:7" ht="14.1" customHeight="1" x14ac:dyDescent="0.2">
      <c r="A40" s="15" t="s">
        <v>136</v>
      </c>
      <c r="B40" s="16">
        <v>893629</v>
      </c>
      <c r="C40" s="267">
        <f>B40/'- 3 -'!$D40*100</f>
        <v>0.82479718409940828</v>
      </c>
      <c r="D40" s="16">
        <f>B40/'- 7 -'!$E40</f>
        <v>107.00221517092737</v>
      </c>
      <c r="E40" s="16">
        <v>292024</v>
      </c>
      <c r="F40" s="267">
        <f>E40/'- 3 -'!$D40*100</f>
        <v>0.26953083761767538</v>
      </c>
      <c r="G40" s="16">
        <f>E40/'- 7 -'!$E40</f>
        <v>34.966652697120281</v>
      </c>
    </row>
    <row r="41" spans="1:7" ht="14.1" customHeight="1" x14ac:dyDescent="0.2">
      <c r="A41" s="271" t="s">
        <v>137</v>
      </c>
      <c r="B41" s="272">
        <v>415587</v>
      </c>
      <c r="C41" s="273">
        <f>B41/'- 3 -'!$D41*100</f>
        <v>0.63927832264610929</v>
      </c>
      <c r="D41" s="272">
        <f>B41/'- 7 -'!$E41</f>
        <v>95.339986235375079</v>
      </c>
      <c r="E41" s="272">
        <v>44370</v>
      </c>
      <c r="F41" s="273">
        <f>E41/'- 3 -'!$D41*100</f>
        <v>6.8252325447638804E-2</v>
      </c>
      <c r="G41" s="272">
        <f>E41/'- 7 -'!$E41</f>
        <v>10.178940123881624</v>
      </c>
    </row>
    <row r="42" spans="1:7" ht="14.1" customHeight="1" x14ac:dyDescent="0.2">
      <c r="A42" s="15" t="s">
        <v>138</v>
      </c>
      <c r="B42" s="16">
        <v>132646</v>
      </c>
      <c r="C42" s="267">
        <f>B42/'- 3 -'!$D42*100</f>
        <v>0.62295730530928739</v>
      </c>
      <c r="D42" s="16">
        <f>B42/'- 7 -'!$E42</f>
        <v>94.342816500711237</v>
      </c>
      <c r="E42" s="16">
        <v>12800</v>
      </c>
      <c r="F42" s="267">
        <f>E42/'- 3 -'!$D42*100</f>
        <v>6.0113787886245176E-2</v>
      </c>
      <c r="G42" s="16">
        <f>E42/'- 7 -'!$E42</f>
        <v>9.1038406827880518</v>
      </c>
    </row>
    <row r="43" spans="1:7" ht="14.1" customHeight="1" x14ac:dyDescent="0.2">
      <c r="A43" s="271" t="s">
        <v>139</v>
      </c>
      <c r="B43" s="272">
        <v>141852</v>
      </c>
      <c r="C43" s="273">
        <f>B43/'- 3 -'!$D43*100</f>
        <v>1.0294156173028501</v>
      </c>
      <c r="D43" s="272">
        <f>B43/'- 7 -'!$E43</f>
        <v>149.39652448657188</v>
      </c>
      <c r="E43" s="272">
        <v>25650</v>
      </c>
      <c r="F43" s="273">
        <f>E43/'- 3 -'!$D43*100</f>
        <v>0.18614126402037409</v>
      </c>
      <c r="G43" s="272">
        <f>E43/'- 7 -'!$E43</f>
        <v>27.014218009478672</v>
      </c>
    </row>
    <row r="44" spans="1:7" ht="14.1" customHeight="1" x14ac:dyDescent="0.2">
      <c r="A44" s="15" t="s">
        <v>140</v>
      </c>
      <c r="B44" s="16">
        <v>31915</v>
      </c>
      <c r="C44" s="267">
        <f>B44/'- 3 -'!$D44*100</f>
        <v>0.28286979852827937</v>
      </c>
      <c r="D44" s="16">
        <f>B44/'- 7 -'!$E44</f>
        <v>45.953923686105114</v>
      </c>
      <c r="E44" s="16">
        <v>80000</v>
      </c>
      <c r="F44" s="267">
        <f>E44/'- 3 -'!$D44*100</f>
        <v>0.70905793145111551</v>
      </c>
      <c r="G44" s="16">
        <f>E44/'- 7 -'!$E44</f>
        <v>115.19078473722102</v>
      </c>
    </row>
    <row r="45" spans="1:7" ht="14.1" customHeight="1" x14ac:dyDescent="0.2">
      <c r="A45" s="271" t="s">
        <v>141</v>
      </c>
      <c r="B45" s="272">
        <v>91410</v>
      </c>
      <c r="C45" s="273">
        <f>B45/'- 3 -'!$D45*100</f>
        <v>0.44116680390890878</v>
      </c>
      <c r="D45" s="272">
        <f>B45/'- 7 -'!$E45</f>
        <v>50.839822024471637</v>
      </c>
      <c r="E45" s="272">
        <v>192504</v>
      </c>
      <c r="F45" s="273">
        <f>E45/'- 3 -'!$D45*100</f>
        <v>0.92907093774948668</v>
      </c>
      <c r="G45" s="272">
        <f>E45/'- 7 -'!$E45</f>
        <v>107.06562847608454</v>
      </c>
    </row>
    <row r="46" spans="1:7" ht="14.1" customHeight="1" x14ac:dyDescent="0.2">
      <c r="A46" s="15" t="s">
        <v>142</v>
      </c>
      <c r="B46" s="16">
        <v>3835000</v>
      </c>
      <c r="C46" s="267">
        <f>B46/'- 3 -'!$D46*100</f>
        <v>0.94345645296537473</v>
      </c>
      <c r="D46" s="16">
        <f>B46/'- 7 -'!$E46</f>
        <v>126.75590811436126</v>
      </c>
      <c r="E46" s="16">
        <v>2819100</v>
      </c>
      <c r="F46" s="267">
        <f>E46/'- 3 -'!$D46*100</f>
        <v>0.6935327474718872</v>
      </c>
      <c r="G46" s="16">
        <f>E46/'- 7 -'!$E46</f>
        <v>93.177987109568662</v>
      </c>
    </row>
    <row r="47" spans="1:7" ht="5.0999999999999996" customHeight="1" x14ac:dyDescent="0.2">
      <c r="A47"/>
      <c r="B47" s="507"/>
      <c r="C47"/>
      <c r="D47"/>
      <c r="E47"/>
      <c r="F47"/>
      <c r="G47"/>
    </row>
    <row r="48" spans="1:7" ht="14.1" customHeight="1" x14ac:dyDescent="0.2">
      <c r="A48" s="274" t="s">
        <v>143</v>
      </c>
      <c r="B48" s="275">
        <f>SUM(B11:B46)</f>
        <v>22817723</v>
      </c>
      <c r="C48" s="276">
        <f>B48/'- 3 -'!$D48*100</f>
        <v>0.94626584607084352</v>
      </c>
      <c r="D48" s="275">
        <f>B48/'- 7 -'!$E48</f>
        <v>127.4199246125925</v>
      </c>
      <c r="E48" s="275">
        <f>SUM(E11:E46)</f>
        <v>11179944</v>
      </c>
      <c r="F48" s="276">
        <f>E48/'- 3 -'!$D48*100</f>
        <v>0.46363956509528365</v>
      </c>
      <c r="G48" s="275">
        <f>E48/'- 7 -'!$E48</f>
        <v>62.431629205640093</v>
      </c>
    </row>
    <row r="49" spans="1:7" ht="5.0999999999999996" customHeight="1" x14ac:dyDescent="0.2">
      <c r="A49" s="17" t="s">
        <v>1</v>
      </c>
      <c r="B49" s="18"/>
      <c r="C49" s="266"/>
      <c r="D49" s="18"/>
      <c r="E49" s="18"/>
      <c r="F49" s="266"/>
    </row>
    <row r="50" spans="1:7" ht="14.1" customHeight="1" x14ac:dyDescent="0.2">
      <c r="A50" s="15" t="s">
        <v>144</v>
      </c>
      <c r="B50" s="16">
        <v>42800</v>
      </c>
      <c r="C50" s="267">
        <f>B50/'- 3 -'!$D50*100</f>
        <v>1.1912442434791903</v>
      </c>
      <c r="D50" s="16">
        <f>B50/'- 7 -'!$E50</f>
        <v>254.76190476190476</v>
      </c>
      <c r="E50" s="16">
        <v>68800</v>
      </c>
      <c r="F50" s="267">
        <f>E50/'- 3 -'!$D50*100</f>
        <v>1.9148972885833713</v>
      </c>
      <c r="G50" s="16">
        <f>E50/'- 7 -'!$E50</f>
        <v>409.52380952380952</v>
      </c>
    </row>
    <row r="51" spans="1:7" ht="14.1" customHeight="1" x14ac:dyDescent="0.2">
      <c r="A51" s="360" t="s">
        <v>514</v>
      </c>
      <c r="B51" s="272">
        <v>37000</v>
      </c>
      <c r="C51" s="273">
        <f>B51/'- 3 -'!$D51*100</f>
        <v>0.11261720559579676</v>
      </c>
      <c r="D51" s="272">
        <f>B51/'- 7 -'!$E51</f>
        <v>27.007299270072991</v>
      </c>
      <c r="E51" s="272">
        <v>0</v>
      </c>
      <c r="F51" s="273">
        <f>E51/'- 3 -'!$D51*100</f>
        <v>0</v>
      </c>
      <c r="G51" s="272">
        <f>E51/'- 7 -'!$E51</f>
        <v>0</v>
      </c>
    </row>
    <row r="52" spans="1:7" ht="50.1" customHeight="1" x14ac:dyDescent="0.2">
      <c r="A52" s="19"/>
      <c r="B52" s="51"/>
      <c r="C52" s="51"/>
      <c r="D52" s="51"/>
      <c r="E52" s="51"/>
      <c r="F52" s="51"/>
      <c r="G52" s="51"/>
    </row>
    <row r="53" spans="1:7" ht="15" customHeight="1" x14ac:dyDescent="0.2">
      <c r="A53" s="557" t="s">
        <v>426</v>
      </c>
      <c r="B53" s="588"/>
      <c r="C53" s="588"/>
      <c r="D53" s="588"/>
      <c r="E53" s="588"/>
      <c r="F53" s="588"/>
      <c r="G53" s="588"/>
    </row>
    <row r="54" spans="1:7" x14ac:dyDescent="0.2">
      <c r="A54" s="578"/>
      <c r="B54" s="578"/>
      <c r="C54" s="578"/>
      <c r="D54" s="578"/>
      <c r="E54" s="578"/>
      <c r="F54" s="578"/>
      <c r="G54" s="578"/>
    </row>
    <row r="56" spans="1:7" ht="14.45" customHeight="1" x14ac:dyDescent="0.2"/>
    <row r="57" spans="1:7" ht="14.45" customHeight="1" x14ac:dyDescent="0.2"/>
    <row r="58" spans="1:7" ht="14.45" customHeight="1" x14ac:dyDescent="0.2"/>
    <row r="59" spans="1:7" ht="14.45" customHeight="1" x14ac:dyDescent="0.2"/>
  </sheetData>
  <mergeCells count="5">
    <mergeCell ref="D8:D9"/>
    <mergeCell ref="G8:G9"/>
    <mergeCell ref="E7:G7"/>
    <mergeCell ref="B6:D7"/>
    <mergeCell ref="A53:G54"/>
  </mergeCells>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66"/>
  <sheetViews>
    <sheetView showGridLines="0" showZeros="0" workbookViewId="0"/>
  </sheetViews>
  <sheetFormatPr defaultColWidth="15.83203125" defaultRowHeight="12" x14ac:dyDescent="0.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6"/>
      <c r="E2" s="6"/>
      <c r="F2" s="85"/>
      <c r="G2" s="502" t="s">
        <v>533</v>
      </c>
    </row>
    <row r="3" spans="1:7" ht="15.95" customHeight="1" x14ac:dyDescent="0.2">
      <c r="A3" s="135"/>
      <c r="B3" s="7" t="str">
        <f>OPYEAR</f>
        <v>OPERATING FUND 2018/2019 BUDGET</v>
      </c>
      <c r="C3" s="8"/>
      <c r="D3" s="8"/>
      <c r="E3" s="8"/>
      <c r="F3" s="87"/>
      <c r="G3" s="81"/>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59" t="s">
        <v>8</v>
      </c>
      <c r="C6" s="660"/>
      <c r="D6" s="660"/>
      <c r="E6" s="660"/>
      <c r="F6" s="660"/>
      <c r="G6" s="661"/>
    </row>
    <row r="7" spans="1:7" ht="15.95" customHeight="1" x14ac:dyDescent="0.2">
      <c r="B7" s="277"/>
      <c r="C7" s="270"/>
      <c r="D7" s="268"/>
      <c r="E7" s="270"/>
      <c r="F7" s="611" t="s">
        <v>427</v>
      </c>
      <c r="G7" s="612"/>
    </row>
    <row r="8" spans="1:7" ht="15.95" customHeight="1" x14ac:dyDescent="0.2">
      <c r="A8" s="82"/>
      <c r="B8" s="605" t="s">
        <v>14</v>
      </c>
      <c r="C8" s="606"/>
      <c r="D8" s="618" t="s">
        <v>29</v>
      </c>
      <c r="E8" s="606"/>
      <c r="F8" s="613"/>
      <c r="G8" s="614"/>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108</v>
      </c>
      <c r="B11" s="272">
        <v>85319</v>
      </c>
      <c r="C11" s="273">
        <f>B11/'- 3 -'!$D11*100</f>
        <v>0.41921530151819431</v>
      </c>
      <c r="D11" s="272">
        <v>1075578</v>
      </c>
      <c r="E11" s="273">
        <f>D11/'- 3 -'!$D11*100</f>
        <v>5.284857482815509</v>
      </c>
      <c r="F11" s="272">
        <v>13000</v>
      </c>
      <c r="G11" s="273">
        <f>F11/'- 3 -'!$D11*100</f>
        <v>6.3875560188662847E-2</v>
      </c>
    </row>
    <row r="12" spans="1:7" ht="14.1" customHeight="1" x14ac:dyDescent="0.2">
      <c r="A12" s="15" t="s">
        <v>109</v>
      </c>
      <c r="B12" s="16">
        <v>139921</v>
      </c>
      <c r="C12" s="267">
        <f>B12/'- 3 -'!$D12*100</f>
        <v>0.4007352144097075</v>
      </c>
      <c r="D12" s="16">
        <v>2117163</v>
      </c>
      <c r="E12" s="267">
        <f>D12/'- 3 -'!$D12*100</f>
        <v>6.0635770809621121</v>
      </c>
      <c r="F12" s="16">
        <v>0</v>
      </c>
      <c r="G12" s="267">
        <f>F12/'- 3 -'!$D12*100</f>
        <v>0</v>
      </c>
    </row>
    <row r="13" spans="1:7" ht="14.1" customHeight="1" x14ac:dyDescent="0.2">
      <c r="A13" s="271" t="s">
        <v>110</v>
      </c>
      <c r="B13" s="272">
        <v>216400</v>
      </c>
      <c r="C13" s="273">
        <f>B13/'- 3 -'!$D13*100</f>
        <v>0.20784868922779026</v>
      </c>
      <c r="D13" s="272">
        <v>2284100</v>
      </c>
      <c r="E13" s="273">
        <f>D13/'- 3 -'!$D13*100</f>
        <v>2.1938409938317731</v>
      </c>
      <c r="F13" s="272">
        <v>0</v>
      </c>
      <c r="G13" s="273">
        <f>F13/'- 3 -'!$D13*100</f>
        <v>0</v>
      </c>
    </row>
    <row r="14" spans="1:7" ht="14.1" customHeight="1" x14ac:dyDescent="0.2">
      <c r="A14" s="15" t="s">
        <v>319</v>
      </c>
      <c r="B14" s="16">
        <v>269537</v>
      </c>
      <c r="C14" s="267">
        <f>B14/'- 3 -'!$D14*100</f>
        <v>0.28880948819483165</v>
      </c>
      <c r="D14" s="16">
        <v>9047003</v>
      </c>
      <c r="E14" s="267">
        <f>D14/'- 3 -'!$D14*100</f>
        <v>9.6938836082879405</v>
      </c>
      <c r="F14" s="16">
        <v>234129</v>
      </c>
      <c r="G14" s="267">
        <f>F14/'- 3 -'!$D14*100</f>
        <v>0.25086973833487702</v>
      </c>
    </row>
    <row r="15" spans="1:7" ht="14.1" customHeight="1" x14ac:dyDescent="0.2">
      <c r="A15" s="271" t="s">
        <v>111</v>
      </c>
      <c r="B15" s="272">
        <v>89480</v>
      </c>
      <c r="C15" s="273">
        <f>B15/'- 3 -'!$D15*100</f>
        <v>0.43060061230175128</v>
      </c>
      <c r="D15" s="272">
        <v>1487450</v>
      </c>
      <c r="E15" s="273">
        <f>D15/'- 3 -'!$D15*100</f>
        <v>7.157989279931158</v>
      </c>
      <c r="F15" s="272">
        <v>5000</v>
      </c>
      <c r="G15" s="273">
        <f>F15/'- 3 -'!$D15*100</f>
        <v>2.4061276950254319E-2</v>
      </c>
    </row>
    <row r="16" spans="1:7" ht="14.1" customHeight="1" x14ac:dyDescent="0.2">
      <c r="A16" s="15" t="s">
        <v>112</v>
      </c>
      <c r="B16" s="16">
        <v>0</v>
      </c>
      <c r="C16" s="267">
        <f>B16/'- 3 -'!$D16*100</f>
        <v>0</v>
      </c>
      <c r="D16" s="16">
        <v>362075</v>
      </c>
      <c r="E16" s="267">
        <f>D16/'- 3 -'!$D16*100</f>
        <v>2.4353560358356345</v>
      </c>
      <c r="F16" s="16">
        <v>1125</v>
      </c>
      <c r="G16" s="267">
        <f>F16/'- 3 -'!$D16*100</f>
        <v>7.5668729967964879E-3</v>
      </c>
    </row>
    <row r="17" spans="1:7" ht="14.1" customHeight="1" x14ac:dyDescent="0.2">
      <c r="A17" s="271" t="s">
        <v>113</v>
      </c>
      <c r="B17" s="272">
        <v>65160</v>
      </c>
      <c r="C17" s="273">
        <f>B17/'- 3 -'!$D17*100</f>
        <v>0.34843462695838068</v>
      </c>
      <c r="D17" s="272">
        <v>1318390</v>
      </c>
      <c r="E17" s="273">
        <f>D17/'- 3 -'!$D17*100</f>
        <v>7.0499190889450505</v>
      </c>
      <c r="F17" s="272">
        <v>1500</v>
      </c>
      <c r="G17" s="273">
        <f>F17/'- 3 -'!$D17*100</f>
        <v>8.0210549483973447E-3</v>
      </c>
    </row>
    <row r="18" spans="1:7" ht="14.1" customHeight="1" x14ac:dyDescent="0.2">
      <c r="A18" s="15" t="s">
        <v>114</v>
      </c>
      <c r="B18" s="16">
        <v>351615</v>
      </c>
      <c r="C18" s="267">
        <f>B18/'- 3 -'!$D18*100</f>
        <v>0.26108877706756395</v>
      </c>
      <c r="D18" s="16">
        <v>7308175</v>
      </c>
      <c r="E18" s="267">
        <f>D18/'- 3 -'!$D18*100</f>
        <v>5.4266242149673483</v>
      </c>
      <c r="F18" s="16">
        <v>96004</v>
      </c>
      <c r="G18" s="267">
        <f>F18/'- 3 -'!$D18*100</f>
        <v>7.1286967147574501E-2</v>
      </c>
    </row>
    <row r="19" spans="1:7" ht="14.1" customHeight="1" x14ac:dyDescent="0.2">
      <c r="A19" s="271" t="s">
        <v>115</v>
      </c>
      <c r="B19" s="272">
        <v>151200</v>
      </c>
      <c r="C19" s="273">
        <f>B19/'- 3 -'!$D19*100</f>
        <v>0.30046739372357001</v>
      </c>
      <c r="D19" s="272">
        <v>2737500</v>
      </c>
      <c r="E19" s="273">
        <f>D19/'- 3 -'!$D19*100</f>
        <v>5.4400098566023338</v>
      </c>
      <c r="F19" s="272">
        <v>30000</v>
      </c>
      <c r="G19" s="273">
        <f>F19/'- 3 -'!$D19*100</f>
        <v>5.9616546373724204E-2</v>
      </c>
    </row>
    <row r="20" spans="1:7" ht="14.1" customHeight="1" x14ac:dyDescent="0.2">
      <c r="A20" s="15" t="s">
        <v>116</v>
      </c>
      <c r="B20" s="16">
        <v>301200</v>
      </c>
      <c r="C20" s="267">
        <f>B20/'- 3 -'!$D20*100</f>
        <v>0.34520579973249987</v>
      </c>
      <c r="D20" s="16">
        <v>3447700</v>
      </c>
      <c r="E20" s="267">
        <f>D20/'- 3 -'!$D20*100</f>
        <v>3.951414461280677</v>
      </c>
      <c r="F20" s="16">
        <v>3700</v>
      </c>
      <c r="G20" s="267">
        <f>F20/'- 3 -'!$D20*100</f>
        <v>4.2405758931283186E-3</v>
      </c>
    </row>
    <row r="21" spans="1:7" ht="14.1" customHeight="1" x14ac:dyDescent="0.2">
      <c r="A21" s="271" t="s">
        <v>117</v>
      </c>
      <c r="B21" s="272">
        <v>160000</v>
      </c>
      <c r="C21" s="273">
        <f>B21/'- 3 -'!$D21*100</f>
        <v>0.4259894003187466</v>
      </c>
      <c r="D21" s="272">
        <v>1929000</v>
      </c>
      <c r="E21" s="273">
        <f>D21/'- 3 -'!$D21*100</f>
        <v>5.1358347075928883</v>
      </c>
      <c r="F21" s="272">
        <v>2000</v>
      </c>
      <c r="G21" s="273">
        <f>F21/'- 3 -'!$D21*100</f>
        <v>5.3248675039843322E-3</v>
      </c>
    </row>
    <row r="22" spans="1:7" ht="14.1" customHeight="1" x14ac:dyDescent="0.2">
      <c r="A22" s="15" t="s">
        <v>118</v>
      </c>
      <c r="B22" s="16">
        <v>91105</v>
      </c>
      <c r="C22" s="267">
        <f>B22/'- 3 -'!$D22*100</f>
        <v>0.43626854278980093</v>
      </c>
      <c r="D22" s="16">
        <v>440235</v>
      </c>
      <c r="E22" s="267">
        <f>D22/'- 3 -'!$D22*100</f>
        <v>2.1081244930033263</v>
      </c>
      <c r="F22" s="16">
        <v>15000</v>
      </c>
      <c r="G22" s="267">
        <f>F22/'- 3 -'!$D22*100</f>
        <v>7.1829516951287142E-2</v>
      </c>
    </row>
    <row r="23" spans="1:7" ht="14.1" customHeight="1" x14ac:dyDescent="0.2">
      <c r="A23" s="271" t="s">
        <v>119</v>
      </c>
      <c r="B23" s="272">
        <v>99125</v>
      </c>
      <c r="C23" s="273">
        <f>B23/'- 3 -'!$D23*100</f>
        <v>0.58412550474925706</v>
      </c>
      <c r="D23" s="272">
        <v>1600890</v>
      </c>
      <c r="E23" s="273">
        <f>D23/'- 3 -'!$D23*100</f>
        <v>9.4337521240659594</v>
      </c>
      <c r="F23" s="272">
        <v>4500</v>
      </c>
      <c r="G23" s="273">
        <f>F23/'- 3 -'!$D23*100</f>
        <v>2.651767739088683E-2</v>
      </c>
    </row>
    <row r="24" spans="1:7" ht="14.1" customHeight="1" x14ac:dyDescent="0.2">
      <c r="A24" s="15" t="s">
        <v>120</v>
      </c>
      <c r="B24" s="16">
        <v>204250</v>
      </c>
      <c r="C24" s="267">
        <f>B24/'- 3 -'!$D24*100</f>
        <v>0.34963288461525954</v>
      </c>
      <c r="D24" s="16">
        <v>2412935</v>
      </c>
      <c r="E24" s="267">
        <f>D24/'- 3 -'!$D24*100</f>
        <v>4.1304353705709733</v>
      </c>
      <c r="F24" s="16">
        <v>5000</v>
      </c>
      <c r="G24" s="267">
        <f>F24/'- 3 -'!$D24*100</f>
        <v>8.5589445438252025E-3</v>
      </c>
    </row>
    <row r="25" spans="1:7" ht="14.1" customHeight="1" x14ac:dyDescent="0.2">
      <c r="A25" s="271" t="s">
        <v>121</v>
      </c>
      <c r="B25" s="272">
        <v>376683</v>
      </c>
      <c r="C25" s="273">
        <f>B25/'- 3 -'!$D25*100</f>
        <v>0.20047279974113094</v>
      </c>
      <c r="D25" s="272">
        <v>3917377</v>
      </c>
      <c r="E25" s="273">
        <f>D25/'- 3 -'!$D25*100</f>
        <v>2.084849952961807</v>
      </c>
      <c r="F25" s="272">
        <v>10000</v>
      </c>
      <c r="G25" s="273">
        <f>F25/'- 3 -'!$D25*100</f>
        <v>5.3220559393742468E-3</v>
      </c>
    </row>
    <row r="26" spans="1:7" ht="14.1" customHeight="1" x14ac:dyDescent="0.2">
      <c r="A26" s="15" t="s">
        <v>122</v>
      </c>
      <c r="B26" s="16">
        <v>245798</v>
      </c>
      <c r="C26" s="267">
        <f>B26/'- 3 -'!$D26*100</f>
        <v>0.59917717045225161</v>
      </c>
      <c r="D26" s="16">
        <v>2622699</v>
      </c>
      <c r="E26" s="267">
        <f>D26/'- 3 -'!$D26*100</f>
        <v>6.3933041186988895</v>
      </c>
      <c r="F26" s="16">
        <v>10500</v>
      </c>
      <c r="G26" s="267">
        <f>F26/'- 3 -'!$D26*100</f>
        <v>2.5595652892817036E-2</v>
      </c>
    </row>
    <row r="27" spans="1:7" ht="14.1" customHeight="1" x14ac:dyDescent="0.2">
      <c r="A27" s="271" t="s">
        <v>123</v>
      </c>
      <c r="B27" s="272">
        <v>0</v>
      </c>
      <c r="C27" s="273">
        <f>B27/'- 3 -'!$D27*100</f>
        <v>0</v>
      </c>
      <c r="D27" s="272">
        <v>0</v>
      </c>
      <c r="E27" s="273">
        <f>D27/'- 3 -'!$D27*100</f>
        <v>0</v>
      </c>
      <c r="F27" s="272">
        <v>235000</v>
      </c>
      <c r="G27" s="273">
        <f>F27/'- 3 -'!$D27*100</f>
        <v>0.5500366593582009</v>
      </c>
    </row>
    <row r="28" spans="1:7" ht="14.1" customHeight="1" x14ac:dyDescent="0.2">
      <c r="A28" s="15" t="s">
        <v>124</v>
      </c>
      <c r="B28" s="16">
        <v>57757</v>
      </c>
      <c r="C28" s="267">
        <f>B28/'- 3 -'!$D28*100</f>
        <v>0.20059530164452929</v>
      </c>
      <c r="D28" s="16">
        <v>1740525</v>
      </c>
      <c r="E28" s="267">
        <f>D28/'- 3 -'!$D28*100</f>
        <v>6.0450012534384463</v>
      </c>
      <c r="F28" s="16">
        <v>7200</v>
      </c>
      <c r="G28" s="267">
        <f>F28/'- 3 -'!$D28*100</f>
        <v>2.5006253299870333E-2</v>
      </c>
    </row>
    <row r="29" spans="1:7" ht="14.1" customHeight="1" x14ac:dyDescent="0.2">
      <c r="A29" s="271" t="s">
        <v>125</v>
      </c>
      <c r="B29" s="272">
        <v>180475</v>
      </c>
      <c r="C29" s="273">
        <f>B29/'- 3 -'!$D29*100</f>
        <v>0.10625416707972196</v>
      </c>
      <c r="D29" s="272">
        <v>3075445</v>
      </c>
      <c r="E29" s="273">
        <f>D29/'- 3 -'!$D29*100</f>
        <v>1.8106599078791825</v>
      </c>
      <c r="F29" s="272">
        <v>90000</v>
      </c>
      <c r="G29" s="273">
        <f>F29/'- 3 -'!$D29*100</f>
        <v>5.2987256058595236E-2</v>
      </c>
    </row>
    <row r="30" spans="1:7" ht="14.1" customHeight="1" x14ac:dyDescent="0.2">
      <c r="A30" s="15" t="s">
        <v>126</v>
      </c>
      <c r="B30" s="16">
        <v>85277</v>
      </c>
      <c r="C30" s="267">
        <f>B30/'- 3 -'!$D30*100</f>
        <v>0.55816521080215964</v>
      </c>
      <c r="D30" s="16">
        <v>1117469</v>
      </c>
      <c r="E30" s="267">
        <f>D30/'- 3 -'!$D30*100</f>
        <v>7.3141916337333468</v>
      </c>
      <c r="F30" s="16">
        <v>0</v>
      </c>
      <c r="G30" s="267">
        <f>F30/'- 3 -'!$D30*100</f>
        <v>0</v>
      </c>
    </row>
    <row r="31" spans="1:7" ht="14.1" customHeight="1" x14ac:dyDescent="0.2">
      <c r="A31" s="271" t="s">
        <v>127</v>
      </c>
      <c r="B31" s="272">
        <v>97120</v>
      </c>
      <c r="C31" s="273">
        <f>B31/'- 3 -'!$D31*100</f>
        <v>0.24958918781283132</v>
      </c>
      <c r="D31" s="272">
        <v>953453</v>
      </c>
      <c r="E31" s="273">
        <f>D31/'- 3 -'!$D31*100</f>
        <v>2.4502837714961645</v>
      </c>
      <c r="F31" s="272">
        <v>5000</v>
      </c>
      <c r="G31" s="273">
        <f>F31/'- 3 -'!$D31*100</f>
        <v>1.2849525731714958E-2</v>
      </c>
    </row>
    <row r="32" spans="1:7" ht="14.1" customHeight="1" x14ac:dyDescent="0.2">
      <c r="A32" s="15" t="s">
        <v>128</v>
      </c>
      <c r="B32" s="16">
        <v>131992</v>
      </c>
      <c r="C32" s="267">
        <f>B32/'- 3 -'!$D32*100</f>
        <v>0.4253760165169338</v>
      </c>
      <c r="D32" s="16">
        <v>2092843</v>
      </c>
      <c r="E32" s="267">
        <f>D32/'- 3 -'!$D32*100</f>
        <v>6.7446907277361454</v>
      </c>
      <c r="F32" s="16">
        <v>0</v>
      </c>
      <c r="G32" s="267">
        <f>F32/'- 3 -'!$D32*100</f>
        <v>0</v>
      </c>
    </row>
    <row r="33" spans="1:7" ht="14.1" customHeight="1" x14ac:dyDescent="0.2">
      <c r="A33" s="271" t="s">
        <v>129</v>
      </c>
      <c r="B33" s="272">
        <v>118675</v>
      </c>
      <c r="C33" s="273">
        <f>B33/'- 3 -'!$D33*100</f>
        <v>0.41608042597099165</v>
      </c>
      <c r="D33" s="272">
        <v>2223600</v>
      </c>
      <c r="E33" s="273">
        <f>D33/'- 3 -'!$D33*100</f>
        <v>7.796051697401281</v>
      </c>
      <c r="F33" s="272">
        <v>0</v>
      </c>
      <c r="G33" s="273">
        <f>F33/'- 3 -'!$D33*100</f>
        <v>0</v>
      </c>
    </row>
    <row r="34" spans="1:7" ht="14.1" customHeight="1" x14ac:dyDescent="0.2">
      <c r="A34" s="15" t="s">
        <v>130</v>
      </c>
      <c r="B34" s="16">
        <v>167436</v>
      </c>
      <c r="C34" s="267">
        <f>B34/'- 3 -'!$D34*100</f>
        <v>0.53754570684342151</v>
      </c>
      <c r="D34" s="16">
        <v>2587944</v>
      </c>
      <c r="E34" s="267">
        <f>D34/'- 3 -'!$D34*100</f>
        <v>8.3084771897990368</v>
      </c>
      <c r="F34" s="16">
        <v>0</v>
      </c>
      <c r="G34" s="267">
        <f>F34/'- 3 -'!$D34*100</f>
        <v>0</v>
      </c>
    </row>
    <row r="35" spans="1:7" ht="14.1" customHeight="1" x14ac:dyDescent="0.2">
      <c r="A35" s="271" t="s">
        <v>131</v>
      </c>
      <c r="B35" s="272">
        <v>404404</v>
      </c>
      <c r="C35" s="273">
        <f>B35/'- 3 -'!$D35*100</f>
        <v>0.21183243304654051</v>
      </c>
      <c r="D35" s="272">
        <v>4270500</v>
      </c>
      <c r="E35" s="273">
        <f>D35/'- 3 -'!$D35*100</f>
        <v>2.2369472243727837</v>
      </c>
      <c r="F35" s="272">
        <v>40700</v>
      </c>
      <c r="G35" s="273">
        <f>F35/'- 3 -'!$D35*100</f>
        <v>2.1319225390931344E-2</v>
      </c>
    </row>
    <row r="36" spans="1:7" ht="14.1" customHeight="1" x14ac:dyDescent="0.2">
      <c r="A36" s="15" t="s">
        <v>132</v>
      </c>
      <c r="B36" s="16">
        <v>54655</v>
      </c>
      <c r="C36" s="267">
        <f>B36/'- 3 -'!$D36*100</f>
        <v>0.22671838055336621</v>
      </c>
      <c r="D36" s="16">
        <v>1547800</v>
      </c>
      <c r="E36" s="267">
        <f>D36/'- 3 -'!$D36*100</f>
        <v>6.4205417513585274</v>
      </c>
      <c r="F36" s="16">
        <v>11000</v>
      </c>
      <c r="G36" s="267">
        <f>F36/'- 3 -'!$D36*100</f>
        <v>4.5629900029037204E-2</v>
      </c>
    </row>
    <row r="37" spans="1:7" ht="14.1" customHeight="1" x14ac:dyDescent="0.2">
      <c r="A37" s="271" t="s">
        <v>133</v>
      </c>
      <c r="B37" s="272">
        <v>269500</v>
      </c>
      <c r="C37" s="273">
        <f>B37/'- 3 -'!$D37*100</f>
        <v>0.50803429372865117</v>
      </c>
      <c r="D37" s="272">
        <v>3048500</v>
      </c>
      <c r="E37" s="273">
        <f>D37/'- 3 -'!$D37*100</f>
        <v>5.746725582307211</v>
      </c>
      <c r="F37" s="272">
        <v>2000</v>
      </c>
      <c r="G37" s="273">
        <f>F37/'- 3 -'!$D37*100</f>
        <v>3.7701988402868364E-3</v>
      </c>
    </row>
    <row r="38" spans="1:7" ht="14.1" customHeight="1" x14ac:dyDescent="0.2">
      <c r="A38" s="15" t="s">
        <v>134</v>
      </c>
      <c r="B38" s="16">
        <v>283630</v>
      </c>
      <c r="C38" s="267">
        <f>B38/'- 3 -'!$D38*100</f>
        <v>0.1959421874175313</v>
      </c>
      <c r="D38" s="16">
        <v>2906770</v>
      </c>
      <c r="E38" s="267">
        <f>D38/'- 3 -'!$D38*100</f>
        <v>2.0081051797047471</v>
      </c>
      <c r="F38" s="16">
        <v>200000</v>
      </c>
      <c r="G38" s="267">
        <f>F38/'- 3 -'!$D38*100</f>
        <v>0.13816746283364334</v>
      </c>
    </row>
    <row r="39" spans="1:7" ht="14.1" customHeight="1" x14ac:dyDescent="0.2">
      <c r="A39" s="271" t="s">
        <v>135</v>
      </c>
      <c r="B39" s="272">
        <v>145400</v>
      </c>
      <c r="C39" s="273">
        <f>B39/'- 3 -'!$D39*100</f>
        <v>0.62397466885999053</v>
      </c>
      <c r="D39" s="272">
        <v>1962600</v>
      </c>
      <c r="E39" s="273">
        <f>D39/'- 3 -'!$D39*100</f>
        <v>8.4223705990688948</v>
      </c>
      <c r="F39" s="272">
        <v>1000</v>
      </c>
      <c r="G39" s="273">
        <f>F39/'- 3 -'!$D39*100</f>
        <v>4.2914351365886559E-3</v>
      </c>
    </row>
    <row r="40" spans="1:7" ht="14.1" customHeight="1" x14ac:dyDescent="0.2">
      <c r="A40" s="15" t="s">
        <v>136</v>
      </c>
      <c r="B40" s="16">
        <v>145514</v>
      </c>
      <c r="C40" s="267">
        <f>B40/'- 3 -'!$D40*100</f>
        <v>0.13430577728234125</v>
      </c>
      <c r="D40" s="16">
        <v>2506023</v>
      </c>
      <c r="E40" s="267">
        <f>D40/'- 3 -'!$D40*100</f>
        <v>2.3129964601510826</v>
      </c>
      <c r="F40" s="16">
        <v>5200</v>
      </c>
      <c r="G40" s="267">
        <f>F40/'- 3 -'!$D40*100</f>
        <v>4.7994697545815134E-3</v>
      </c>
    </row>
    <row r="41" spans="1:7" ht="14.1" customHeight="1" x14ac:dyDescent="0.2">
      <c r="A41" s="271" t="s">
        <v>137</v>
      </c>
      <c r="B41" s="272">
        <v>525447</v>
      </c>
      <c r="C41" s="273">
        <f>B41/'- 3 -'!$D41*100</f>
        <v>0.80827089586399514</v>
      </c>
      <c r="D41" s="272">
        <v>4774400</v>
      </c>
      <c r="E41" s="273">
        <f>D41/'- 3 -'!$D41*100</f>
        <v>7.3442394098987309</v>
      </c>
      <c r="F41" s="272">
        <v>8000</v>
      </c>
      <c r="G41" s="273">
        <f>F41/'- 3 -'!$D41*100</f>
        <v>1.2306031182806185E-2</v>
      </c>
    </row>
    <row r="42" spans="1:7" ht="14.1" customHeight="1" x14ac:dyDescent="0.2">
      <c r="A42" s="15" t="s">
        <v>138</v>
      </c>
      <c r="B42" s="16">
        <v>125212</v>
      </c>
      <c r="C42" s="267">
        <f>B42/'- 3 -'!$D42*100</f>
        <v>0.58804434443847897</v>
      </c>
      <c r="D42" s="16">
        <v>1697990</v>
      </c>
      <c r="E42" s="267">
        <f>D42/'- 3 -'!$D42*100</f>
        <v>7.9744227103879251</v>
      </c>
      <c r="F42" s="16">
        <v>0</v>
      </c>
      <c r="G42" s="267">
        <f>F42/'- 3 -'!$D42*100</f>
        <v>0</v>
      </c>
    </row>
    <row r="43" spans="1:7" ht="14.1" customHeight="1" x14ac:dyDescent="0.2">
      <c r="A43" s="271" t="s">
        <v>139</v>
      </c>
      <c r="B43" s="272">
        <v>88751</v>
      </c>
      <c r="C43" s="273">
        <f>B43/'- 3 -'!$D43*100</f>
        <v>0.64406328744920938</v>
      </c>
      <c r="D43" s="272">
        <v>918491</v>
      </c>
      <c r="E43" s="273">
        <f>D43/'- 3 -'!$D43*100</f>
        <v>6.6654610421574043</v>
      </c>
      <c r="F43" s="272">
        <v>0</v>
      </c>
      <c r="G43" s="273">
        <f>F43/'- 3 -'!$D43*100</f>
        <v>0</v>
      </c>
    </row>
    <row r="44" spans="1:7" ht="14.1" customHeight="1" x14ac:dyDescent="0.2">
      <c r="A44" s="15" t="s">
        <v>140</v>
      </c>
      <c r="B44" s="16">
        <v>32311</v>
      </c>
      <c r="C44" s="267">
        <f>B44/'- 3 -'!$D44*100</f>
        <v>0.28637963528896238</v>
      </c>
      <c r="D44" s="16">
        <v>1085942</v>
      </c>
      <c r="E44" s="267">
        <f>D44/'- 3 -'!$D44*100</f>
        <v>9.62494735244859</v>
      </c>
      <c r="F44" s="16">
        <v>0</v>
      </c>
      <c r="G44" s="267">
        <f>F44/'- 3 -'!$D44*100</f>
        <v>0</v>
      </c>
    </row>
    <row r="45" spans="1:7" ht="14.1" customHeight="1" x14ac:dyDescent="0.2">
      <c r="A45" s="271" t="s">
        <v>141</v>
      </c>
      <c r="B45" s="272">
        <v>52697</v>
      </c>
      <c r="C45" s="273">
        <f>B45/'- 3 -'!$D45*100</f>
        <v>0.25432848775394118</v>
      </c>
      <c r="D45" s="272">
        <v>709319</v>
      </c>
      <c r="E45" s="273">
        <f>D45/'- 3 -'!$D45*100</f>
        <v>3.4233453252583224</v>
      </c>
      <c r="F45" s="272">
        <v>18000</v>
      </c>
      <c r="G45" s="273">
        <f>F45/'- 3 -'!$D45*100</f>
        <v>8.687236046778643E-2</v>
      </c>
    </row>
    <row r="46" spans="1:7" ht="14.1" customHeight="1" x14ac:dyDescent="0.2">
      <c r="A46" s="15" t="s">
        <v>142</v>
      </c>
      <c r="B46" s="16">
        <v>670200</v>
      </c>
      <c r="C46" s="267">
        <f>B46/'- 3 -'!$D46*100</f>
        <v>0.16487731806450953</v>
      </c>
      <c r="D46" s="16">
        <v>6005200</v>
      </c>
      <c r="E46" s="267">
        <f>D46/'- 3 -'!$D46*100</f>
        <v>1.4773519403774884</v>
      </c>
      <c r="F46" s="16">
        <v>0</v>
      </c>
      <c r="G46" s="267">
        <f>F46/'- 3 -'!$D46*100</f>
        <v>0</v>
      </c>
    </row>
    <row r="47" spans="1:7" ht="5.0999999999999996" customHeight="1" x14ac:dyDescent="0.2">
      <c r="A47"/>
      <c r="B47"/>
      <c r="C47"/>
      <c r="D47"/>
      <c r="E47"/>
      <c r="F47"/>
      <c r="G47"/>
    </row>
    <row r="48" spans="1:7" ht="14.1" customHeight="1" x14ac:dyDescent="0.2">
      <c r="A48" s="274" t="s">
        <v>143</v>
      </c>
      <c r="B48" s="275">
        <f>SUM(B11:B46)</f>
        <v>6483246</v>
      </c>
      <c r="C48" s="276">
        <f>B48/'- 3 -'!$D48*100</f>
        <v>0.26886443758982492</v>
      </c>
      <c r="D48" s="275">
        <f>SUM(D11:D46)</f>
        <v>89333084</v>
      </c>
      <c r="E48" s="276">
        <f>D48/'- 3 -'!$D48*100</f>
        <v>3.7047012234033052</v>
      </c>
      <c r="F48" s="275">
        <f>SUM(F11:F46)</f>
        <v>1054558</v>
      </c>
      <c r="G48" s="276">
        <f>F48/'- 3 -'!$D48*100</f>
        <v>4.373320765182296E-2</v>
      </c>
    </row>
    <row r="49" spans="1:7" ht="5.0999999999999996" customHeight="1" x14ac:dyDescent="0.2">
      <c r="A49" s="17" t="s">
        <v>1</v>
      </c>
      <c r="B49" s="18"/>
      <c r="C49" s="266"/>
      <c r="D49" s="18"/>
      <c r="E49" s="266"/>
      <c r="F49" s="18"/>
      <c r="G49" s="266"/>
    </row>
    <row r="50" spans="1:7" ht="14.1" customHeight="1" x14ac:dyDescent="0.2">
      <c r="A50" s="15" t="s">
        <v>144</v>
      </c>
      <c r="B50" s="16">
        <v>0</v>
      </c>
      <c r="C50" s="267">
        <f>B50/'- 3 -'!$D50*100</f>
        <v>0</v>
      </c>
      <c r="D50" s="16">
        <v>0</v>
      </c>
      <c r="E50" s="267">
        <f>D50/'- 3 -'!$D50*100</f>
        <v>0</v>
      </c>
      <c r="F50" s="16">
        <v>15000</v>
      </c>
      <c r="G50" s="267">
        <f>F50/'- 3 -'!$D50*100</f>
        <v>0.41749214140625829</v>
      </c>
    </row>
    <row r="51" spans="1:7" ht="14.1" customHeight="1" x14ac:dyDescent="0.2">
      <c r="A51" s="360" t="s">
        <v>514</v>
      </c>
      <c r="B51" s="272">
        <v>0</v>
      </c>
      <c r="C51" s="273">
        <f>B51/'- 3 -'!$D51*100</f>
        <v>0</v>
      </c>
      <c r="D51" s="272">
        <v>0</v>
      </c>
      <c r="E51" s="273">
        <f>D51/'- 3 -'!$D51*100</f>
        <v>0</v>
      </c>
      <c r="F51" s="272">
        <v>0</v>
      </c>
      <c r="G51" s="273">
        <f>F51/'- 3 -'!$D51*100</f>
        <v>0</v>
      </c>
    </row>
    <row r="52" spans="1:7" ht="50.1" customHeight="1" x14ac:dyDescent="0.2"/>
    <row r="53" spans="1:7" ht="15" customHeight="1" x14ac:dyDescent="0.2">
      <c r="D53" s="72"/>
      <c r="E53" s="72"/>
    </row>
    <row r="54" spans="1:7" ht="14.45" customHeight="1" x14ac:dyDescent="0.2">
      <c r="D54" s="72"/>
      <c r="E54" s="72"/>
    </row>
    <row r="55" spans="1:7" ht="14.45" customHeight="1" x14ac:dyDescent="0.2">
      <c r="D55" s="72"/>
      <c r="E55" s="72"/>
    </row>
    <row r="56" spans="1:7" ht="14.45" customHeight="1" x14ac:dyDescent="0.2">
      <c r="D56" s="72"/>
      <c r="E56" s="72"/>
    </row>
    <row r="57" spans="1:7" ht="14.45" customHeight="1" x14ac:dyDescent="0.2"/>
    <row r="58" spans="1:7" ht="14.45" customHeight="1" x14ac:dyDescent="0.2"/>
    <row r="59" spans="1:7" ht="14.45" customHeight="1" x14ac:dyDescent="0.2"/>
    <row r="60" spans="1:7" ht="12" customHeight="1" x14ac:dyDescent="0.2"/>
    <row r="61" spans="1:7" ht="12" customHeight="1" x14ac:dyDescent="0.2"/>
    <row r="62" spans="1:7" ht="12" customHeight="1" x14ac:dyDescent="0.2"/>
    <row r="63" spans="1:7" ht="12" customHeight="1" x14ac:dyDescent="0.2"/>
    <row r="64" spans="1:7" ht="12" customHeight="1" x14ac:dyDescent="0.2"/>
    <row r="65" ht="12" customHeight="1" x14ac:dyDescent="0.2"/>
    <row r="66" ht="12" customHeight="1" x14ac:dyDescent="0.2"/>
  </sheetData>
  <mergeCells count="4">
    <mergeCell ref="B6:G6"/>
    <mergeCell ref="B8:C8"/>
    <mergeCell ref="D8:E8"/>
    <mergeCell ref="F7: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2" t="s">
        <v>534</v>
      </c>
    </row>
    <row r="3" spans="1:6" ht="15.95" customHeight="1" x14ac:dyDescent="0.2">
      <c r="A3" s="135"/>
      <c r="B3" s="7" t="str">
        <f>OPYEAR</f>
        <v>OPERATING FUND 2018/2019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70" t="s">
        <v>237</v>
      </c>
      <c r="C6" s="671"/>
      <c r="D6" s="660"/>
      <c r="E6" s="661"/>
      <c r="F6" s="55"/>
    </row>
    <row r="7" spans="1:6" ht="15.95" customHeight="1" x14ac:dyDescent="0.2">
      <c r="B7" s="682" t="s">
        <v>428</v>
      </c>
      <c r="C7" s="683"/>
      <c r="D7" s="665" t="s">
        <v>429</v>
      </c>
      <c r="E7" s="604"/>
      <c r="F7" s="4"/>
    </row>
    <row r="8" spans="1:6" ht="15.95" customHeight="1" x14ac:dyDescent="0.2">
      <c r="A8" s="249"/>
      <c r="B8" s="684"/>
      <c r="C8" s="685"/>
      <c r="D8" s="620"/>
      <c r="E8" s="606"/>
      <c r="F8" s="4"/>
    </row>
    <row r="9" spans="1:6" ht="15.95" customHeight="1" x14ac:dyDescent="0.2">
      <c r="A9" s="27" t="s">
        <v>37</v>
      </c>
      <c r="B9" s="89" t="s">
        <v>38</v>
      </c>
      <c r="C9" s="89" t="s">
        <v>39</v>
      </c>
      <c r="D9" s="151" t="s">
        <v>38</v>
      </c>
      <c r="E9" s="151" t="s">
        <v>39</v>
      </c>
    </row>
    <row r="10" spans="1:6" ht="5.0999999999999996" customHeight="1" x14ac:dyDescent="0.2">
      <c r="A10" s="29"/>
    </row>
    <row r="11" spans="1:6" ht="14.1" customHeight="1" x14ac:dyDescent="0.2">
      <c r="A11" s="271" t="s">
        <v>108</v>
      </c>
      <c r="B11" s="272">
        <v>0</v>
      </c>
      <c r="C11" s="273">
        <f>B11/'- 3 -'!$D11*100</f>
        <v>0</v>
      </c>
      <c r="D11" s="272">
        <v>140000</v>
      </c>
      <c r="E11" s="273">
        <f>D11/'- 3 -'!$D11*100</f>
        <v>0.68789064818559997</v>
      </c>
    </row>
    <row r="12" spans="1:6" ht="14.1" customHeight="1" x14ac:dyDescent="0.2">
      <c r="A12" s="15" t="s">
        <v>109</v>
      </c>
      <c r="B12" s="16">
        <v>0</v>
      </c>
      <c r="C12" s="267">
        <f>B12/'- 3 -'!$D12*100</f>
        <v>0</v>
      </c>
      <c r="D12" s="16">
        <v>211000</v>
      </c>
      <c r="E12" s="267">
        <f>D12/'- 3 -'!$D12*100</f>
        <v>0.60430621736871726</v>
      </c>
    </row>
    <row r="13" spans="1:6" ht="14.1" customHeight="1" x14ac:dyDescent="0.2">
      <c r="A13" s="271" t="s">
        <v>110</v>
      </c>
      <c r="B13" s="272">
        <v>0</v>
      </c>
      <c r="C13" s="273">
        <f>B13/'- 3 -'!$D13*100</f>
        <v>0</v>
      </c>
      <c r="D13" s="272">
        <v>78600</v>
      </c>
      <c r="E13" s="273">
        <f>D13/'- 3 -'!$D13*100</f>
        <v>7.5494024830426582E-2</v>
      </c>
    </row>
    <row r="14" spans="1:6" ht="14.1" customHeight="1" x14ac:dyDescent="0.2">
      <c r="A14" s="15" t="s">
        <v>319</v>
      </c>
      <c r="B14" s="16">
        <v>0</v>
      </c>
      <c r="C14" s="267">
        <f>B14/'- 3 -'!$D14*100</f>
        <v>0</v>
      </c>
      <c r="D14" s="16">
        <v>3152</v>
      </c>
      <c r="E14" s="267">
        <f>D14/'- 3 -'!$D14*100</f>
        <v>3.3773749310488333E-3</v>
      </c>
    </row>
    <row r="15" spans="1:6" ht="14.1" customHeight="1" x14ac:dyDescent="0.2">
      <c r="A15" s="271" t="s">
        <v>111</v>
      </c>
      <c r="B15" s="272">
        <v>0</v>
      </c>
      <c r="C15" s="273">
        <f>B15/'- 3 -'!$D15*100</f>
        <v>0</v>
      </c>
      <c r="D15" s="272">
        <v>64000</v>
      </c>
      <c r="E15" s="273">
        <f>D15/'- 3 -'!$D15*100</f>
        <v>0.30798434496325533</v>
      </c>
    </row>
    <row r="16" spans="1:6" ht="14.1" customHeight="1" x14ac:dyDescent="0.2">
      <c r="A16" s="15" t="s">
        <v>112</v>
      </c>
      <c r="B16" s="16">
        <v>0</v>
      </c>
      <c r="C16" s="267">
        <f>B16/'- 3 -'!$D16*100</f>
        <v>0</v>
      </c>
      <c r="D16" s="16">
        <v>185221</v>
      </c>
      <c r="E16" s="267">
        <f>D16/'- 3 -'!$D16*100</f>
        <v>1.2458166963019044</v>
      </c>
    </row>
    <row r="17" spans="1:5" ht="14.1" customHeight="1" x14ac:dyDescent="0.2">
      <c r="A17" s="271" t="s">
        <v>113</v>
      </c>
      <c r="B17" s="272">
        <v>0</v>
      </c>
      <c r="C17" s="273">
        <f>B17/'- 3 -'!$D17*100</f>
        <v>0</v>
      </c>
      <c r="D17" s="272">
        <v>36750</v>
      </c>
      <c r="E17" s="273">
        <f>D17/'- 3 -'!$D17*100</f>
        <v>0.19651584623573498</v>
      </c>
    </row>
    <row r="18" spans="1:5" ht="14.1" customHeight="1" x14ac:dyDescent="0.2">
      <c r="A18" s="15" t="s">
        <v>114</v>
      </c>
      <c r="B18" s="16">
        <v>2559451</v>
      </c>
      <c r="C18" s="267">
        <f>B18/'- 3 -'!$D18*100</f>
        <v>1.9004989308031615</v>
      </c>
      <c r="D18" s="16">
        <v>995114</v>
      </c>
      <c r="E18" s="267">
        <f>D18/'- 3 -'!$D18*100</f>
        <v>0.73891357678941971</v>
      </c>
    </row>
    <row r="19" spans="1:5" ht="14.1" customHeight="1" x14ac:dyDescent="0.2">
      <c r="A19" s="271" t="s">
        <v>115</v>
      </c>
      <c r="B19" s="272">
        <v>0</v>
      </c>
      <c r="C19" s="273">
        <f>B19/'- 3 -'!$D19*100</f>
        <v>0</v>
      </c>
      <c r="D19" s="272">
        <v>286900</v>
      </c>
      <c r="E19" s="273">
        <f>D19/'- 3 -'!$D19*100</f>
        <v>0.57013290515404913</v>
      </c>
    </row>
    <row r="20" spans="1:5" ht="14.1" customHeight="1" x14ac:dyDescent="0.2">
      <c r="A20" s="15" t="s">
        <v>116</v>
      </c>
      <c r="B20" s="16">
        <v>0</v>
      </c>
      <c r="C20" s="267">
        <f>B20/'- 3 -'!$D20*100</f>
        <v>0</v>
      </c>
      <c r="D20" s="16">
        <v>367300</v>
      </c>
      <c r="E20" s="267">
        <f>D20/'- 3 -'!$D20*100</f>
        <v>0.42096311501244094</v>
      </c>
    </row>
    <row r="21" spans="1:5" ht="14.1" customHeight="1" x14ac:dyDescent="0.2">
      <c r="A21" s="271" t="s">
        <v>117</v>
      </c>
      <c r="B21" s="272">
        <v>0</v>
      </c>
      <c r="C21" s="273">
        <f>B21/'- 3 -'!$D21*100</f>
        <v>0</v>
      </c>
      <c r="D21" s="272">
        <v>140000</v>
      </c>
      <c r="E21" s="273">
        <f>D21/'- 3 -'!$D21*100</f>
        <v>0.37274072527890328</v>
      </c>
    </row>
    <row r="22" spans="1:5" ht="14.1" customHeight="1" x14ac:dyDescent="0.2">
      <c r="A22" s="15" t="s">
        <v>118</v>
      </c>
      <c r="B22" s="16">
        <v>0</v>
      </c>
      <c r="C22" s="267">
        <f>B22/'- 3 -'!$D22*100</f>
        <v>0</v>
      </c>
      <c r="D22" s="16">
        <v>55150</v>
      </c>
      <c r="E22" s="267">
        <f>D22/'- 3 -'!$D22*100</f>
        <v>0.2640931906575657</v>
      </c>
    </row>
    <row r="23" spans="1:5" ht="14.1" customHeight="1" x14ac:dyDescent="0.2">
      <c r="A23" s="271" t="s">
        <v>119</v>
      </c>
      <c r="B23" s="272">
        <v>0</v>
      </c>
      <c r="C23" s="273">
        <f>B23/'- 3 -'!$D23*100</f>
        <v>0</v>
      </c>
      <c r="D23" s="272">
        <v>20000</v>
      </c>
      <c r="E23" s="273">
        <f>D23/'- 3 -'!$D23*100</f>
        <v>0.11785634395949701</v>
      </c>
    </row>
    <row r="24" spans="1:5" ht="14.1" customHeight="1" x14ac:dyDescent="0.2">
      <c r="A24" s="15" t="s">
        <v>120</v>
      </c>
      <c r="B24" s="16">
        <v>0</v>
      </c>
      <c r="C24" s="267">
        <f>B24/'- 3 -'!$D24*100</f>
        <v>0</v>
      </c>
      <c r="D24" s="16">
        <v>92000</v>
      </c>
      <c r="E24" s="267">
        <f>D24/'- 3 -'!$D24*100</f>
        <v>0.15748457960638373</v>
      </c>
    </row>
    <row r="25" spans="1:5" ht="14.1" customHeight="1" x14ac:dyDescent="0.2">
      <c r="A25" s="271" t="s">
        <v>121</v>
      </c>
      <c r="B25" s="272">
        <v>0</v>
      </c>
      <c r="C25" s="273">
        <f>B25/'- 3 -'!$D25*100</f>
        <v>0</v>
      </c>
      <c r="D25" s="272">
        <v>78500</v>
      </c>
      <c r="E25" s="273">
        <f>D25/'- 3 -'!$D25*100</f>
        <v>4.1778139124087836E-2</v>
      </c>
    </row>
    <row r="26" spans="1:5" ht="14.1" customHeight="1" x14ac:dyDescent="0.2">
      <c r="A26" s="15" t="s">
        <v>122</v>
      </c>
      <c r="B26" s="16">
        <v>0</v>
      </c>
      <c r="C26" s="267">
        <f>B26/'- 3 -'!$D26*100</f>
        <v>0</v>
      </c>
      <c r="D26" s="16">
        <v>221580</v>
      </c>
      <c r="E26" s="267">
        <f>D26/'- 3 -'!$D26*100</f>
        <v>0.54014140647527609</v>
      </c>
    </row>
    <row r="27" spans="1:5" ht="14.1" customHeight="1" x14ac:dyDescent="0.2">
      <c r="A27" s="271" t="s">
        <v>123</v>
      </c>
      <c r="B27" s="272">
        <v>0</v>
      </c>
      <c r="C27" s="273">
        <f>B27/'- 3 -'!$D27*100</f>
        <v>0</v>
      </c>
      <c r="D27" s="272">
        <v>120000</v>
      </c>
      <c r="E27" s="273">
        <f>D27/'- 3 -'!$D27*100</f>
        <v>0.28086978350206004</v>
      </c>
    </row>
    <row r="28" spans="1:5" ht="14.1" customHeight="1" x14ac:dyDescent="0.2">
      <c r="A28" s="15" t="s">
        <v>124</v>
      </c>
      <c r="B28" s="16">
        <v>0</v>
      </c>
      <c r="C28" s="267">
        <f>B28/'- 3 -'!$D28*100</f>
        <v>0</v>
      </c>
      <c r="D28" s="16">
        <v>171613</v>
      </c>
      <c r="E28" s="267">
        <f>D28/'- 3 -'!$D28*100</f>
        <v>0.59602752049314556</v>
      </c>
    </row>
    <row r="29" spans="1:5" ht="14.1" customHeight="1" x14ac:dyDescent="0.2">
      <c r="A29" s="271" t="s">
        <v>125</v>
      </c>
      <c r="B29" s="272">
        <v>0</v>
      </c>
      <c r="C29" s="273">
        <f>B29/'- 3 -'!$D29*100</f>
        <v>0</v>
      </c>
      <c r="D29" s="272">
        <v>200000</v>
      </c>
      <c r="E29" s="273">
        <f>D29/'- 3 -'!$D29*100</f>
        <v>0.11774945790798941</v>
      </c>
    </row>
    <row r="30" spans="1:5" ht="14.1" customHeight="1" x14ac:dyDescent="0.2">
      <c r="A30" s="15" t="s">
        <v>126</v>
      </c>
      <c r="B30" s="16">
        <v>0</v>
      </c>
      <c r="C30" s="267">
        <f>B30/'- 3 -'!$D30*100</f>
        <v>0</v>
      </c>
      <c r="D30" s="16">
        <v>55822</v>
      </c>
      <c r="E30" s="267">
        <f>D30/'- 3 -'!$D30*100</f>
        <v>0.36537282499851259</v>
      </c>
    </row>
    <row r="31" spans="1:5" ht="14.1" customHeight="1" x14ac:dyDescent="0.2">
      <c r="A31" s="271" t="s">
        <v>127</v>
      </c>
      <c r="B31" s="272">
        <v>0</v>
      </c>
      <c r="C31" s="273">
        <f>B31/'- 3 -'!$D31*100</f>
        <v>0</v>
      </c>
      <c r="D31" s="272">
        <v>36400</v>
      </c>
      <c r="E31" s="273">
        <f>D31/'- 3 -'!$D31*100</f>
        <v>9.35445473268849E-2</v>
      </c>
    </row>
    <row r="32" spans="1:5" ht="14.1" customHeight="1" x14ac:dyDescent="0.2">
      <c r="A32" s="15" t="s">
        <v>128</v>
      </c>
      <c r="B32" s="16">
        <v>0</v>
      </c>
      <c r="C32" s="267">
        <f>B32/'- 3 -'!$D32*100</f>
        <v>0</v>
      </c>
      <c r="D32" s="16">
        <v>125850</v>
      </c>
      <c r="E32" s="267">
        <f>D32/'- 3 -'!$D32*100</f>
        <v>0.40558194192569341</v>
      </c>
    </row>
    <row r="33" spans="1:5" ht="14.1" customHeight="1" x14ac:dyDescent="0.2">
      <c r="A33" s="271" t="s">
        <v>129</v>
      </c>
      <c r="B33" s="272">
        <v>0</v>
      </c>
      <c r="C33" s="273">
        <f>B33/'- 3 -'!$D33*100</f>
        <v>0</v>
      </c>
      <c r="D33" s="272">
        <v>81100</v>
      </c>
      <c r="E33" s="273">
        <f>D33/'- 3 -'!$D33*100</f>
        <v>0.28434061551504042</v>
      </c>
    </row>
    <row r="34" spans="1:5" ht="14.1" customHeight="1" x14ac:dyDescent="0.2">
      <c r="A34" s="15" t="s">
        <v>130</v>
      </c>
      <c r="B34" s="16">
        <v>0</v>
      </c>
      <c r="C34" s="267">
        <f>B34/'- 3 -'!$D34*100</f>
        <v>0</v>
      </c>
      <c r="D34" s="16">
        <v>150262</v>
      </c>
      <c r="E34" s="267">
        <f>D34/'- 3 -'!$D34*100</f>
        <v>0.48240935642099791</v>
      </c>
    </row>
    <row r="35" spans="1:5" ht="14.1" customHeight="1" x14ac:dyDescent="0.2">
      <c r="A35" s="271" t="s">
        <v>131</v>
      </c>
      <c r="B35" s="272">
        <v>0</v>
      </c>
      <c r="C35" s="273">
        <f>B35/'- 3 -'!$D35*100</f>
        <v>0</v>
      </c>
      <c r="D35" s="272">
        <v>177402</v>
      </c>
      <c r="E35" s="273">
        <f>D35/'- 3 -'!$D35*100</f>
        <v>9.292563200987719E-2</v>
      </c>
    </row>
    <row r="36" spans="1:5" ht="14.1" customHeight="1" x14ac:dyDescent="0.2">
      <c r="A36" s="15" t="s">
        <v>132</v>
      </c>
      <c r="B36" s="16">
        <v>0</v>
      </c>
      <c r="C36" s="267">
        <f>B36/'- 3 -'!$D36*100</f>
        <v>0</v>
      </c>
      <c r="D36" s="16">
        <v>103000</v>
      </c>
      <c r="E36" s="267">
        <f>D36/'- 3 -'!$D36*100</f>
        <v>0.42726179118098473</v>
      </c>
    </row>
    <row r="37" spans="1:5" ht="14.1" customHeight="1" x14ac:dyDescent="0.2">
      <c r="A37" s="271" t="s">
        <v>133</v>
      </c>
      <c r="B37" s="272">
        <v>0</v>
      </c>
      <c r="C37" s="273">
        <f>B37/'- 3 -'!$D37*100</f>
        <v>0</v>
      </c>
      <c r="D37" s="272">
        <v>49429</v>
      </c>
      <c r="E37" s="273">
        <f>D37/'- 3 -'!$D37*100</f>
        <v>9.3178579238269027E-2</v>
      </c>
    </row>
    <row r="38" spans="1:5" ht="14.1" customHeight="1" x14ac:dyDescent="0.2">
      <c r="A38" s="15" t="s">
        <v>134</v>
      </c>
      <c r="B38" s="16">
        <v>0</v>
      </c>
      <c r="C38" s="267">
        <f>B38/'- 3 -'!$D38*100</f>
        <v>0</v>
      </c>
      <c r="D38" s="16">
        <v>389000</v>
      </c>
      <c r="E38" s="267">
        <f>D38/'- 3 -'!$D38*100</f>
        <v>0.2687357152114363</v>
      </c>
    </row>
    <row r="39" spans="1:5" ht="14.1" customHeight="1" x14ac:dyDescent="0.2">
      <c r="A39" s="271" t="s">
        <v>135</v>
      </c>
      <c r="B39" s="272">
        <v>0</v>
      </c>
      <c r="C39" s="273">
        <f>B39/'- 3 -'!$D39*100</f>
        <v>0</v>
      </c>
      <c r="D39" s="272">
        <v>16400</v>
      </c>
      <c r="E39" s="273">
        <f>D39/'- 3 -'!$D39*100</f>
        <v>7.0379536240053955E-2</v>
      </c>
    </row>
    <row r="40" spans="1:5" ht="14.1" customHeight="1" x14ac:dyDescent="0.2">
      <c r="A40" s="15" t="s">
        <v>136</v>
      </c>
      <c r="B40" s="16">
        <v>0</v>
      </c>
      <c r="C40" s="267">
        <f>B40/'- 3 -'!$D40*100</f>
        <v>0</v>
      </c>
      <c r="D40" s="16">
        <v>129546</v>
      </c>
      <c r="E40" s="267">
        <f>D40/'- 3 -'!$D40*100</f>
        <v>0.11956771323596475</v>
      </c>
    </row>
    <row r="41" spans="1:5" ht="14.1" customHeight="1" x14ac:dyDescent="0.2">
      <c r="A41" s="271" t="s">
        <v>137</v>
      </c>
      <c r="B41" s="272">
        <v>0</v>
      </c>
      <c r="C41" s="273">
        <f>B41/'- 3 -'!$D41*100</f>
        <v>0</v>
      </c>
      <c r="D41" s="272">
        <v>158000</v>
      </c>
      <c r="E41" s="273">
        <f>D41/'- 3 -'!$D41*100</f>
        <v>0.24304411586042216</v>
      </c>
    </row>
    <row r="42" spans="1:5" ht="14.1" customHeight="1" x14ac:dyDescent="0.2">
      <c r="A42" s="15" t="s">
        <v>138</v>
      </c>
      <c r="B42" s="16">
        <v>0</v>
      </c>
      <c r="C42" s="267">
        <f>B42/'- 3 -'!$D42*100</f>
        <v>0</v>
      </c>
      <c r="D42" s="16">
        <v>91924</v>
      </c>
      <c r="E42" s="267">
        <f>D42/'- 3 -'!$D42*100</f>
        <v>0.43171092481681261</v>
      </c>
    </row>
    <row r="43" spans="1:5" ht="14.1" customHeight="1" x14ac:dyDescent="0.2">
      <c r="A43" s="271" t="s">
        <v>139</v>
      </c>
      <c r="B43" s="272">
        <v>0</v>
      </c>
      <c r="C43" s="273">
        <f>B43/'- 3 -'!$D43*100</f>
        <v>0</v>
      </c>
      <c r="D43" s="272">
        <v>10955</v>
      </c>
      <c r="E43" s="273">
        <f>D43/'- 3 -'!$D43*100</f>
        <v>7.950009931162566E-2</v>
      </c>
    </row>
    <row r="44" spans="1:5" ht="14.1" customHeight="1" x14ac:dyDescent="0.2">
      <c r="A44" s="15" t="s">
        <v>140</v>
      </c>
      <c r="B44" s="16">
        <v>0</v>
      </c>
      <c r="C44" s="267">
        <f>B44/'- 3 -'!$D44*100</f>
        <v>0</v>
      </c>
      <c r="D44" s="16">
        <v>40000</v>
      </c>
      <c r="E44" s="267">
        <f>D44/'- 3 -'!$D44*100</f>
        <v>0.35452896572555775</v>
      </c>
    </row>
    <row r="45" spans="1:5" ht="14.1" customHeight="1" x14ac:dyDescent="0.2">
      <c r="A45" s="271" t="s">
        <v>141</v>
      </c>
      <c r="B45" s="272">
        <v>0</v>
      </c>
      <c r="C45" s="273">
        <f>B45/'- 3 -'!$D45*100</f>
        <v>0</v>
      </c>
      <c r="D45" s="272">
        <v>60425</v>
      </c>
      <c r="E45" s="273">
        <f>D45/'- 3 -'!$D45*100</f>
        <v>0.29162568784811083</v>
      </c>
    </row>
    <row r="46" spans="1:5" ht="14.1" customHeight="1" x14ac:dyDescent="0.2">
      <c r="A46" s="15" t="s">
        <v>142</v>
      </c>
      <c r="B46" s="16">
        <v>0</v>
      </c>
      <c r="C46" s="267">
        <f>B46/'- 3 -'!$D46*100</f>
        <v>0</v>
      </c>
      <c r="D46" s="16">
        <v>441500</v>
      </c>
      <c r="E46" s="267">
        <f>D46/'- 3 -'!$D46*100</f>
        <v>0.10861434784464481</v>
      </c>
    </row>
    <row r="47" spans="1:5" ht="5.0999999999999996" customHeight="1" x14ac:dyDescent="0.2">
      <c r="A47"/>
      <c r="B47"/>
      <c r="C47"/>
      <c r="D47"/>
      <c r="E47"/>
    </row>
    <row r="48" spans="1:5" ht="14.1" customHeight="1" x14ac:dyDescent="0.2">
      <c r="A48" s="274" t="s">
        <v>143</v>
      </c>
      <c r="B48" s="275">
        <f>SUM(B11:B46)</f>
        <v>2559451</v>
      </c>
      <c r="C48" s="276">
        <f>B48/'- 3 -'!$D48*100</f>
        <v>0.10614210129520228</v>
      </c>
      <c r="D48" s="275">
        <f>SUM(D11:D46)</f>
        <v>5583895</v>
      </c>
      <c r="E48" s="276">
        <f>D48/'- 3 -'!$D48*100</f>
        <v>0.23156776539647508</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50300</v>
      </c>
      <c r="E50" s="267">
        <f>D50/'- 3 -'!$D50*100</f>
        <v>1.3999903141823193</v>
      </c>
    </row>
    <row r="51" spans="1:5" ht="14.1" customHeight="1" x14ac:dyDescent="0.2">
      <c r="A51" s="360" t="s">
        <v>514</v>
      </c>
      <c r="B51" s="272">
        <v>0</v>
      </c>
      <c r="C51" s="273">
        <f>B51/'- 3 -'!$D51*100</f>
        <v>0</v>
      </c>
      <c r="D51" s="272">
        <v>0</v>
      </c>
      <c r="E51" s="273">
        <f>D51/'- 3 -'!$D51*100</f>
        <v>0</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7: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9"/>
  <sheetViews>
    <sheetView showGridLines="0" showZeros="0" workbookViewId="0"/>
  </sheetViews>
  <sheetFormatPr defaultColWidth="15.83203125" defaultRowHeight="12" x14ac:dyDescent="0.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133"/>
      <c r="E2" s="6"/>
      <c r="F2" s="85"/>
      <c r="G2" s="502" t="s">
        <v>535</v>
      </c>
    </row>
    <row r="3" spans="1:7" ht="15.95" customHeight="1" x14ac:dyDescent="0.2">
      <c r="A3" s="135"/>
      <c r="B3" s="7" t="str">
        <f>OPYEAR</f>
        <v>OPERATING FUND 2018/2019 BUDGET</v>
      </c>
      <c r="C3" s="8"/>
      <c r="D3" s="144"/>
      <c r="E3" s="8"/>
      <c r="F3" s="87"/>
      <c r="G3" s="87"/>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59" t="s">
        <v>9</v>
      </c>
      <c r="C6" s="660"/>
      <c r="D6" s="660"/>
      <c r="E6" s="660"/>
      <c r="F6" s="660"/>
      <c r="G6" s="661"/>
    </row>
    <row r="7" spans="1:7" ht="15.95" customHeight="1" x14ac:dyDescent="0.2">
      <c r="B7" s="277"/>
      <c r="C7" s="270"/>
      <c r="D7" s="686" t="s">
        <v>20</v>
      </c>
      <c r="E7" s="687"/>
      <c r="F7" s="687"/>
      <c r="G7" s="688"/>
    </row>
    <row r="8" spans="1:7" ht="15.95" customHeight="1" x14ac:dyDescent="0.2">
      <c r="A8" s="82"/>
      <c r="B8" s="605" t="s">
        <v>14</v>
      </c>
      <c r="C8" s="606"/>
      <c r="D8" s="689" t="s">
        <v>23</v>
      </c>
      <c r="E8" s="690"/>
      <c r="F8" s="689" t="s">
        <v>107</v>
      </c>
      <c r="G8" s="690"/>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108</v>
      </c>
      <c r="B11" s="272">
        <v>86358</v>
      </c>
      <c r="C11" s="273">
        <f>B11/'- 3 -'!$D11*100</f>
        <v>0.42432043282865745</v>
      </c>
      <c r="D11" s="272">
        <v>1565507</v>
      </c>
      <c r="E11" s="273">
        <f>D11/'- 3 -'!$D11*100</f>
        <v>7.6921258926363869</v>
      </c>
      <c r="F11" s="272">
        <v>150800</v>
      </c>
      <c r="G11" s="273">
        <f>F11/'- 3 -'!$D11*100</f>
        <v>0.74095649818848919</v>
      </c>
    </row>
    <row r="12" spans="1:7" ht="14.1" customHeight="1" x14ac:dyDescent="0.2">
      <c r="A12" s="15" t="s">
        <v>109</v>
      </c>
      <c r="B12" s="16">
        <v>133725</v>
      </c>
      <c r="C12" s="267">
        <f>B12/'- 3 -'!$D12*100</f>
        <v>0.38298980529683274</v>
      </c>
      <c r="D12" s="16">
        <v>2557106</v>
      </c>
      <c r="E12" s="267">
        <f>D12/'- 3 -'!$D12*100</f>
        <v>7.3235784562599573</v>
      </c>
      <c r="F12" s="16">
        <v>334640</v>
      </c>
      <c r="G12" s="267">
        <f>F12/'- 3 -'!$D12*100</f>
        <v>0.95841247668373242</v>
      </c>
    </row>
    <row r="13" spans="1:7" ht="14.1" customHeight="1" x14ac:dyDescent="0.2">
      <c r="A13" s="271" t="s">
        <v>110</v>
      </c>
      <c r="B13" s="272">
        <v>394200</v>
      </c>
      <c r="C13" s="273">
        <f>B13/'- 3 -'!$D13*100</f>
        <v>0.37862270468389514</v>
      </c>
      <c r="D13" s="272">
        <v>7063400</v>
      </c>
      <c r="E13" s="273">
        <f>D13/'- 3 -'!$D13*100</f>
        <v>6.7842811067078266</v>
      </c>
      <c r="F13" s="272">
        <v>736300</v>
      </c>
      <c r="G13" s="273">
        <f>F13/'- 3 -'!$D13*100</f>
        <v>0.70720420461377986</v>
      </c>
    </row>
    <row r="14" spans="1:7" ht="14.1" customHeight="1" x14ac:dyDescent="0.2">
      <c r="A14" s="15" t="s">
        <v>319</v>
      </c>
      <c r="B14" s="16">
        <v>353117</v>
      </c>
      <c r="C14" s="267">
        <f>B14/'- 3 -'!$D14*100</f>
        <v>0.37836564198197048</v>
      </c>
      <c r="D14" s="16">
        <v>8583649</v>
      </c>
      <c r="E14" s="267">
        <f>D14/'- 3 -'!$D14*100</f>
        <v>9.197398778401773</v>
      </c>
      <c r="F14" s="16">
        <v>1000000</v>
      </c>
      <c r="G14" s="267">
        <f>F14/'- 3 -'!$D14*100</f>
        <v>1.0715021989368128</v>
      </c>
    </row>
    <row r="15" spans="1:7" ht="14.1" customHeight="1" x14ac:dyDescent="0.2">
      <c r="A15" s="271" t="s">
        <v>111</v>
      </c>
      <c r="B15" s="272">
        <v>85580</v>
      </c>
      <c r="C15" s="273">
        <f>B15/'- 3 -'!$D15*100</f>
        <v>0.41183281628055296</v>
      </c>
      <c r="D15" s="272">
        <v>2031950</v>
      </c>
      <c r="E15" s="273">
        <f>D15/'- 3 -'!$D15*100</f>
        <v>9.7782623398138533</v>
      </c>
      <c r="F15" s="272">
        <v>248000</v>
      </c>
      <c r="G15" s="273">
        <f>F15/'- 3 -'!$D15*100</f>
        <v>1.1934393367326144</v>
      </c>
    </row>
    <row r="16" spans="1:7" ht="14.1" customHeight="1" x14ac:dyDescent="0.2">
      <c r="A16" s="15" t="s">
        <v>112</v>
      </c>
      <c r="B16" s="16">
        <v>99682</v>
      </c>
      <c r="C16" s="267">
        <f>B16/'- 3 -'!$D16*100</f>
        <v>0.67047203028148228</v>
      </c>
      <c r="D16" s="16">
        <v>2020294</v>
      </c>
      <c r="E16" s="267">
        <f>D16/'- 3 -'!$D16*100</f>
        <v>13.588718323724414</v>
      </c>
      <c r="F16" s="16">
        <v>100000</v>
      </c>
      <c r="G16" s="267">
        <f>F16/'- 3 -'!$D16*100</f>
        <v>0.67261093304857678</v>
      </c>
    </row>
    <row r="17" spans="1:7" ht="14.1" customHeight="1" x14ac:dyDescent="0.2">
      <c r="A17" s="271" t="s">
        <v>113</v>
      </c>
      <c r="B17" s="272">
        <v>88570</v>
      </c>
      <c r="C17" s="273">
        <f>B17/'- 3 -'!$D17*100</f>
        <v>0.47361655785303525</v>
      </c>
      <c r="D17" s="272">
        <v>1637150</v>
      </c>
      <c r="E17" s="273">
        <f>D17/'- 3 -'!$D17*100</f>
        <v>8.7544467391791425</v>
      </c>
      <c r="F17" s="272">
        <v>70000</v>
      </c>
      <c r="G17" s="273">
        <f>F17/'- 3 -'!$D17*100</f>
        <v>0.37431589759187611</v>
      </c>
    </row>
    <row r="18" spans="1:7" ht="14.1" customHeight="1" x14ac:dyDescent="0.2">
      <c r="A18" s="15" t="s">
        <v>114</v>
      </c>
      <c r="B18" s="16">
        <v>967271</v>
      </c>
      <c r="C18" s="267">
        <f>B18/'- 3 -'!$D18*100</f>
        <v>0.71823899004001435</v>
      </c>
      <c r="D18" s="16">
        <v>16787341</v>
      </c>
      <c r="E18" s="267">
        <f>D18/'- 3 -'!$D18*100</f>
        <v>12.465299637120646</v>
      </c>
      <c r="F18" s="16">
        <v>2129277</v>
      </c>
      <c r="G18" s="267">
        <f>F18/'- 3 -'!$D18*100</f>
        <v>1.5810768254144201</v>
      </c>
    </row>
    <row r="19" spans="1:7" ht="14.1" customHeight="1" x14ac:dyDescent="0.2">
      <c r="A19" s="271" t="s">
        <v>115</v>
      </c>
      <c r="B19" s="272">
        <v>132750</v>
      </c>
      <c r="C19" s="273">
        <f>B19/'- 3 -'!$D19*100</f>
        <v>0.26380321770372961</v>
      </c>
      <c r="D19" s="272">
        <v>3979850</v>
      </c>
      <c r="E19" s="273">
        <f>D19/'- 3 -'!$D19*100</f>
        <v>7.9088304028488761</v>
      </c>
      <c r="F19" s="272">
        <v>101000</v>
      </c>
      <c r="G19" s="273">
        <f>F19/'- 3 -'!$D19*100</f>
        <v>0.20070903945820484</v>
      </c>
    </row>
    <row r="20" spans="1:7" ht="14.1" customHeight="1" x14ac:dyDescent="0.2">
      <c r="A20" s="15" t="s">
        <v>116</v>
      </c>
      <c r="B20" s="16">
        <v>209300</v>
      </c>
      <c r="C20" s="267">
        <f>B20/'- 3 -'!$D20*100</f>
        <v>0.23987906335993436</v>
      </c>
      <c r="D20" s="16">
        <v>7561100</v>
      </c>
      <c r="E20" s="267">
        <f>D20/'- 3 -'!$D20*100</f>
        <v>8.6657887528466304</v>
      </c>
      <c r="F20" s="16">
        <v>696000</v>
      </c>
      <c r="G20" s="267">
        <f>F20/'- 3 -'!$D20*100</f>
        <v>0.79768670854521895</v>
      </c>
    </row>
    <row r="21" spans="1:7" ht="14.1" customHeight="1" x14ac:dyDescent="0.2">
      <c r="A21" s="271" t="s">
        <v>117</v>
      </c>
      <c r="B21" s="272">
        <v>165000</v>
      </c>
      <c r="C21" s="273">
        <f>B21/'- 3 -'!$D21*100</f>
        <v>0.43930156907870743</v>
      </c>
      <c r="D21" s="272">
        <v>2799000</v>
      </c>
      <c r="E21" s="273">
        <f>D21/'- 3 -'!$D21*100</f>
        <v>7.4521520718260721</v>
      </c>
      <c r="F21" s="272">
        <v>375000</v>
      </c>
      <c r="G21" s="273">
        <f>F21/'- 3 -'!$D21*100</f>
        <v>0.99841265699706216</v>
      </c>
    </row>
    <row r="22" spans="1:7" ht="14.1" customHeight="1" x14ac:dyDescent="0.2">
      <c r="A22" s="15" t="s">
        <v>118</v>
      </c>
      <c r="B22" s="16">
        <v>95290</v>
      </c>
      <c r="C22" s="267">
        <f>B22/'- 3 -'!$D22*100</f>
        <v>0.45630897801921011</v>
      </c>
      <c r="D22" s="16">
        <v>2202199</v>
      </c>
      <c r="E22" s="267">
        <f>D22/'- 3 -'!$D22*100</f>
        <v>10.545526026707172</v>
      </c>
      <c r="F22" s="16">
        <v>226000</v>
      </c>
      <c r="G22" s="267">
        <f>F22/'- 3 -'!$D22*100</f>
        <v>1.0822313887327262</v>
      </c>
    </row>
    <row r="23" spans="1:7" ht="14.1" customHeight="1" x14ac:dyDescent="0.2">
      <c r="A23" s="271" t="s">
        <v>119</v>
      </c>
      <c r="B23" s="272">
        <v>77625</v>
      </c>
      <c r="C23" s="273">
        <f>B23/'- 3 -'!$D23*100</f>
        <v>0.45742993499279777</v>
      </c>
      <c r="D23" s="272">
        <v>1354450</v>
      </c>
      <c r="E23" s="273">
        <f>D23/'- 3 -'!$D23*100</f>
        <v>7.9815262537970373</v>
      </c>
      <c r="F23" s="272">
        <v>140382</v>
      </c>
      <c r="G23" s="273">
        <f>F23/'- 3 -'!$D23*100</f>
        <v>0.82724546388610543</v>
      </c>
    </row>
    <row r="24" spans="1:7" ht="14.1" customHeight="1" x14ac:dyDescent="0.2">
      <c r="A24" s="15" t="s">
        <v>120</v>
      </c>
      <c r="B24" s="16">
        <v>142565</v>
      </c>
      <c r="C24" s="267">
        <f>B24/'- 3 -'!$D24*100</f>
        <v>0.244041185778088</v>
      </c>
      <c r="D24" s="16">
        <v>5330760</v>
      </c>
      <c r="E24" s="267">
        <f>D24/'- 3 -'!$D24*100</f>
        <v>9.1251358432883283</v>
      </c>
      <c r="F24" s="16">
        <v>576800</v>
      </c>
      <c r="G24" s="267">
        <f>F24/'- 3 -'!$D24*100</f>
        <v>0.98735984257567533</v>
      </c>
    </row>
    <row r="25" spans="1:7" ht="14.1" customHeight="1" x14ac:dyDescent="0.2">
      <c r="A25" s="271" t="s">
        <v>121</v>
      </c>
      <c r="B25" s="272">
        <v>661035</v>
      </c>
      <c r="C25" s="273">
        <f>B25/'- 3 -'!$D25*100</f>
        <v>0.3518065247884255</v>
      </c>
      <c r="D25" s="272">
        <v>17054234</v>
      </c>
      <c r="E25" s="273">
        <f>D25/'- 3 -'!$D25*100</f>
        <v>9.0763587351178217</v>
      </c>
      <c r="F25" s="272">
        <v>501460</v>
      </c>
      <c r="G25" s="273">
        <f>F25/'- 3 -'!$D25*100</f>
        <v>0.26687981713586095</v>
      </c>
    </row>
    <row r="26" spans="1:7" ht="14.1" customHeight="1" x14ac:dyDescent="0.2">
      <c r="A26" s="15" t="s">
        <v>122</v>
      </c>
      <c r="B26" s="16">
        <v>178279</v>
      </c>
      <c r="C26" s="267">
        <f>B26/'- 3 -'!$D26*100</f>
        <v>0.4345873716265265</v>
      </c>
      <c r="D26" s="16">
        <v>4382195</v>
      </c>
      <c r="E26" s="267">
        <f>D26/'- 3 -'!$D26*100</f>
        <v>10.682394488441746</v>
      </c>
      <c r="F26" s="16">
        <v>243000</v>
      </c>
      <c r="G26" s="267">
        <f>F26/'- 3 -'!$D26*100</f>
        <v>0.59235653837662272</v>
      </c>
    </row>
    <row r="27" spans="1:7" ht="14.1" customHeight="1" x14ac:dyDescent="0.2">
      <c r="A27" s="271" t="s">
        <v>123</v>
      </c>
      <c r="B27" s="272">
        <v>213767</v>
      </c>
      <c r="C27" s="273">
        <f>B27/'- 3 -'!$D27*100</f>
        <v>0.50033909174904045</v>
      </c>
      <c r="D27" s="272">
        <v>4360560</v>
      </c>
      <c r="E27" s="273">
        <f>D27/'- 3 -'!$D27*100</f>
        <v>10.206246192897856</v>
      </c>
      <c r="F27" s="272">
        <v>456000</v>
      </c>
      <c r="G27" s="273">
        <f>F27/'- 3 -'!$D27*100</f>
        <v>1.0673051773078279</v>
      </c>
    </row>
    <row r="28" spans="1:7" ht="14.1" customHeight="1" x14ac:dyDescent="0.2">
      <c r="A28" s="15" t="s">
        <v>124</v>
      </c>
      <c r="B28" s="16">
        <v>73555</v>
      </c>
      <c r="C28" s="267">
        <f>B28/'- 3 -'!$D28*100</f>
        <v>0.25546318909332816</v>
      </c>
      <c r="D28" s="16">
        <v>3039202</v>
      </c>
      <c r="E28" s="267">
        <f>D28/'- 3 -'!$D28*100</f>
        <v>10.555424311315628</v>
      </c>
      <c r="F28" s="16">
        <v>156017</v>
      </c>
      <c r="G28" s="267">
        <f>F28/'- 3 -'!$D28*100</f>
        <v>0.54186119737303751</v>
      </c>
    </row>
    <row r="29" spans="1:7" ht="14.1" customHeight="1" x14ac:dyDescent="0.2">
      <c r="A29" s="271" t="s">
        <v>125</v>
      </c>
      <c r="B29" s="272">
        <v>1051555</v>
      </c>
      <c r="C29" s="273">
        <f>B29/'- 3 -'!$D29*100</f>
        <v>0.61910015605217916</v>
      </c>
      <c r="D29" s="272">
        <v>15173512</v>
      </c>
      <c r="E29" s="273">
        <f>D29/'- 3 -'!$D29*100</f>
        <v>8.9333640628018607</v>
      </c>
      <c r="F29" s="272">
        <v>3111550</v>
      </c>
      <c r="G29" s="273">
        <f>F29/'- 3 -'!$D29*100</f>
        <v>1.8319166287680224</v>
      </c>
    </row>
    <row r="30" spans="1:7" ht="14.1" customHeight="1" x14ac:dyDescent="0.2">
      <c r="A30" s="15" t="s">
        <v>126</v>
      </c>
      <c r="B30" s="16">
        <v>123422</v>
      </c>
      <c r="C30" s="267">
        <f>B30/'- 3 -'!$D30*100</f>
        <v>0.80783642304049341</v>
      </c>
      <c r="D30" s="16">
        <v>1264280</v>
      </c>
      <c r="E30" s="267">
        <f>D30/'- 3 -'!$D30*100</f>
        <v>8.2751165345046651</v>
      </c>
      <c r="F30" s="16">
        <v>137276</v>
      </c>
      <c r="G30" s="267">
        <f>F30/'- 3 -'!$D30*100</f>
        <v>0.89851527936110875</v>
      </c>
    </row>
    <row r="31" spans="1:7" ht="14.1" customHeight="1" x14ac:dyDescent="0.2">
      <c r="A31" s="271" t="s">
        <v>127</v>
      </c>
      <c r="B31" s="272">
        <v>102672</v>
      </c>
      <c r="C31" s="273">
        <f>B31/'- 3 -'!$D31*100</f>
        <v>0.26385730118532763</v>
      </c>
      <c r="D31" s="272">
        <v>3400038</v>
      </c>
      <c r="E31" s="273">
        <f>D31/'- 3 -'!$D31*100</f>
        <v>8.7377751539617332</v>
      </c>
      <c r="F31" s="272">
        <v>129960</v>
      </c>
      <c r="G31" s="273">
        <f>F31/'- 3 -'!$D31*100</f>
        <v>0.33398487281873518</v>
      </c>
    </row>
    <row r="32" spans="1:7" ht="14.1" customHeight="1" x14ac:dyDescent="0.2">
      <c r="A32" s="15" t="s">
        <v>128</v>
      </c>
      <c r="B32" s="16">
        <v>149852</v>
      </c>
      <c r="C32" s="267">
        <f>B32/'- 3 -'!$D32*100</f>
        <v>0.48293416894278118</v>
      </c>
      <c r="D32" s="16">
        <v>2539180</v>
      </c>
      <c r="E32" s="267">
        <f>D32/'- 3 -'!$D32*100</f>
        <v>8.1831192316160681</v>
      </c>
      <c r="F32" s="16">
        <v>440000</v>
      </c>
      <c r="G32" s="267">
        <f>F32/'- 3 -'!$D32*100</f>
        <v>1.4180059948137076</v>
      </c>
    </row>
    <row r="33" spans="1:7" ht="14.1" customHeight="1" x14ac:dyDescent="0.2">
      <c r="A33" s="271" t="s">
        <v>129</v>
      </c>
      <c r="B33" s="272">
        <v>113085</v>
      </c>
      <c r="C33" s="273">
        <f>B33/'- 3 -'!$D33*100</f>
        <v>0.39648160919258135</v>
      </c>
      <c r="D33" s="272">
        <v>2746650</v>
      </c>
      <c r="E33" s="273">
        <f>D33/'- 3 -'!$D33*100</f>
        <v>9.6298908952452003</v>
      </c>
      <c r="F33" s="272">
        <v>384485</v>
      </c>
      <c r="G33" s="273">
        <f>F33/'- 3 -'!$D33*100</f>
        <v>1.3480234470567241</v>
      </c>
    </row>
    <row r="34" spans="1:7" ht="14.1" customHeight="1" x14ac:dyDescent="0.2">
      <c r="A34" s="15" t="s">
        <v>130</v>
      </c>
      <c r="B34" s="16">
        <v>129021</v>
      </c>
      <c r="C34" s="267">
        <f>B34/'- 3 -'!$D34*100</f>
        <v>0.41421608640104324</v>
      </c>
      <c r="D34" s="16">
        <v>2287133</v>
      </c>
      <c r="E34" s="267">
        <f>D34/'- 3 -'!$D34*100</f>
        <v>7.3427370764346671</v>
      </c>
      <c r="F34" s="16">
        <v>285742</v>
      </c>
      <c r="G34" s="267">
        <f>F34/'- 3 -'!$D34*100</f>
        <v>0.91736177025760846</v>
      </c>
    </row>
    <row r="35" spans="1:7" ht="14.1" customHeight="1" x14ac:dyDescent="0.2">
      <c r="A35" s="271" t="s">
        <v>131</v>
      </c>
      <c r="B35" s="272">
        <v>884056</v>
      </c>
      <c r="C35" s="273">
        <f>B35/'- 3 -'!$D35*100</f>
        <v>0.46308081381339561</v>
      </c>
      <c r="D35" s="272">
        <v>19590625</v>
      </c>
      <c r="E35" s="273">
        <f>D35/'- 3 -'!$D35*100</f>
        <v>10.261841521479468</v>
      </c>
      <c r="F35" s="272">
        <v>623500</v>
      </c>
      <c r="G35" s="273">
        <f>F35/'- 3 -'!$D35*100</f>
        <v>0.32659796145566811</v>
      </c>
    </row>
    <row r="36" spans="1:7" ht="14.1" customHeight="1" x14ac:dyDescent="0.2">
      <c r="A36" s="15" t="s">
        <v>132</v>
      </c>
      <c r="B36" s="16">
        <v>61435</v>
      </c>
      <c r="C36" s="267">
        <f>B36/'- 3 -'!$D36*100</f>
        <v>0.25484299166217284</v>
      </c>
      <c r="D36" s="16">
        <v>2486260</v>
      </c>
      <c r="E36" s="267">
        <f>D36/'- 3 -'!$D36*100</f>
        <v>10.313435931472187</v>
      </c>
      <c r="F36" s="16">
        <v>110000</v>
      </c>
      <c r="G36" s="267">
        <f>F36/'- 3 -'!$D36*100</f>
        <v>0.45629900029037207</v>
      </c>
    </row>
    <row r="37" spans="1:7" ht="14.1" customHeight="1" x14ac:dyDescent="0.2">
      <c r="A37" s="271" t="s">
        <v>133</v>
      </c>
      <c r="B37" s="272">
        <v>122100</v>
      </c>
      <c r="C37" s="273">
        <f>B37/'- 3 -'!$D37*100</f>
        <v>0.23017063919951142</v>
      </c>
      <c r="D37" s="272">
        <v>4225200</v>
      </c>
      <c r="E37" s="273">
        <f>D37/'- 3 -'!$D37*100</f>
        <v>7.9649220699899717</v>
      </c>
      <c r="F37" s="272">
        <v>520000</v>
      </c>
      <c r="G37" s="273">
        <f>F37/'- 3 -'!$D37*100</f>
        <v>0.98025169847457749</v>
      </c>
    </row>
    <row r="38" spans="1:7" ht="14.1" customHeight="1" x14ac:dyDescent="0.2">
      <c r="A38" s="15" t="s">
        <v>134</v>
      </c>
      <c r="B38" s="16">
        <v>641010</v>
      </c>
      <c r="C38" s="267">
        <f>B38/'- 3 -'!$D38*100</f>
        <v>0.44283362675496862</v>
      </c>
      <c r="D38" s="16">
        <v>11719590</v>
      </c>
      <c r="E38" s="267">
        <f>D38/'- 3 -'!$D38*100</f>
        <v>8.0963300787526915</v>
      </c>
      <c r="F38" s="16">
        <v>932650</v>
      </c>
      <c r="G38" s="267">
        <f>F38/'- 3 -'!$D38*100</f>
        <v>0.64430942105898725</v>
      </c>
    </row>
    <row r="39" spans="1:7" ht="14.1" customHeight="1" x14ac:dyDescent="0.2">
      <c r="A39" s="271" t="s">
        <v>135</v>
      </c>
      <c r="B39" s="272">
        <v>86500</v>
      </c>
      <c r="C39" s="273">
        <f>B39/'- 3 -'!$D39*100</f>
        <v>0.37120913931491872</v>
      </c>
      <c r="D39" s="272">
        <v>2117900</v>
      </c>
      <c r="E39" s="273">
        <f>D39/'- 3 -'!$D39*100</f>
        <v>9.0888304757811138</v>
      </c>
      <c r="F39" s="272">
        <v>160000</v>
      </c>
      <c r="G39" s="273">
        <f>F39/'- 3 -'!$D39*100</f>
        <v>0.68662962185418497</v>
      </c>
    </row>
    <row r="40" spans="1:7" ht="14.1" customHeight="1" x14ac:dyDescent="0.2">
      <c r="A40" s="15" t="s">
        <v>136</v>
      </c>
      <c r="B40" s="16">
        <v>504287</v>
      </c>
      <c r="C40" s="267">
        <f>B40/'- 3 -'!$D40*100</f>
        <v>0.46544427002473998</v>
      </c>
      <c r="D40" s="16">
        <v>8583937</v>
      </c>
      <c r="E40" s="267">
        <f>D40/'- 3 -'!$D40*100</f>
        <v>7.9227588474486881</v>
      </c>
      <c r="F40" s="16">
        <v>1421705</v>
      </c>
      <c r="G40" s="267">
        <f>F40/'- 3 -'!$D40*100</f>
        <v>1.312198105276406</v>
      </c>
    </row>
    <row r="41" spans="1:7" ht="14.1" customHeight="1" x14ac:dyDescent="0.2">
      <c r="A41" s="271" t="s">
        <v>137</v>
      </c>
      <c r="B41" s="272">
        <v>201458</v>
      </c>
      <c r="C41" s="273">
        <f>B41/'- 3 -'!$D41*100</f>
        <v>0.30989355375322108</v>
      </c>
      <c r="D41" s="272">
        <v>5434188</v>
      </c>
      <c r="E41" s="273">
        <f>D41/'- 3 -'!$D41*100</f>
        <v>8.3591608726538986</v>
      </c>
      <c r="F41" s="272">
        <v>525060</v>
      </c>
      <c r="G41" s="273">
        <f>F41/'- 3 -'!$D41*100</f>
        <v>0.80767559160552693</v>
      </c>
    </row>
    <row r="42" spans="1:7" ht="14.1" customHeight="1" x14ac:dyDescent="0.2">
      <c r="A42" s="15" t="s">
        <v>138</v>
      </c>
      <c r="B42" s="16">
        <v>96835</v>
      </c>
      <c r="C42" s="267">
        <f>B42/'- 3 -'!$D42*100</f>
        <v>0.45477489452848063</v>
      </c>
      <c r="D42" s="16">
        <v>1988182</v>
      </c>
      <c r="E42" s="267">
        <f>D42/'- 3 -'!$D42*100</f>
        <v>9.3372774240039611</v>
      </c>
      <c r="F42" s="16">
        <v>155343</v>
      </c>
      <c r="G42" s="267">
        <f>F42/'- 3 -'!$D42*100</f>
        <v>0.72955126184476438</v>
      </c>
    </row>
    <row r="43" spans="1:7" ht="14.1" customHeight="1" x14ac:dyDescent="0.2">
      <c r="A43" s="271" t="s">
        <v>139</v>
      </c>
      <c r="B43" s="272">
        <v>46346</v>
      </c>
      <c r="C43" s="273">
        <f>B43/'- 3 -'!$D43*100</f>
        <v>0.33633150184359678</v>
      </c>
      <c r="D43" s="272">
        <v>828231</v>
      </c>
      <c r="E43" s="273">
        <f>D43/'- 3 -'!$D43*100</f>
        <v>6.0104469879476978</v>
      </c>
      <c r="F43" s="272">
        <v>128783</v>
      </c>
      <c r="G43" s="273">
        <f>F43/'- 3 -'!$D43*100</f>
        <v>0.93457428476942839</v>
      </c>
    </row>
    <row r="44" spans="1:7" ht="14.1" customHeight="1" x14ac:dyDescent="0.2">
      <c r="A44" s="15" t="s">
        <v>140</v>
      </c>
      <c r="B44" s="16">
        <v>33561</v>
      </c>
      <c r="C44" s="267">
        <f>B44/'- 3 -'!$D44*100</f>
        <v>0.29745866546788607</v>
      </c>
      <c r="D44" s="16">
        <v>1063201</v>
      </c>
      <c r="E44" s="267">
        <f>D44/'- 3 -'!$D44*100</f>
        <v>9.4233887722094671</v>
      </c>
      <c r="F44" s="16">
        <v>50460</v>
      </c>
      <c r="G44" s="267">
        <f>F44/'- 3 -'!$D44*100</f>
        <v>0.44723829026279105</v>
      </c>
    </row>
    <row r="45" spans="1:7" ht="14.1" customHeight="1" x14ac:dyDescent="0.2">
      <c r="A45" s="271" t="s">
        <v>141</v>
      </c>
      <c r="B45" s="272">
        <v>53697</v>
      </c>
      <c r="C45" s="273">
        <f>B45/'- 3 -'!$D45*100</f>
        <v>0.25915473000215156</v>
      </c>
      <c r="D45" s="272">
        <v>1580736</v>
      </c>
      <c r="E45" s="273">
        <f>D45/'- 3 -'!$D45*100</f>
        <v>7.6290148664670472</v>
      </c>
      <c r="F45" s="272">
        <v>138760</v>
      </c>
      <c r="G45" s="273">
        <f>F45/'- 3 -'!$D45*100</f>
        <v>0.6696893743616692</v>
      </c>
    </row>
    <row r="46" spans="1:7" ht="14.1" customHeight="1" x14ac:dyDescent="0.2">
      <c r="A46" s="15" t="s">
        <v>142</v>
      </c>
      <c r="B46" s="16">
        <v>1100200</v>
      </c>
      <c r="C46" s="267">
        <f>B46/'- 3 -'!$D46*100</f>
        <v>0.27066252661082274</v>
      </c>
      <c r="D46" s="16">
        <v>43914800</v>
      </c>
      <c r="E46" s="267">
        <f>D46/'- 3 -'!$D46*100</f>
        <v>10.803572735510778</v>
      </c>
      <c r="F46" s="16">
        <v>6377000</v>
      </c>
      <c r="G46" s="267">
        <f>F46/'- 3 -'!$D46*100</f>
        <v>1.5688192439531143</v>
      </c>
    </row>
    <row r="47" spans="1:7" ht="5.0999999999999996" customHeight="1" x14ac:dyDescent="0.2">
      <c r="A47"/>
      <c r="B47" s="507"/>
      <c r="C47"/>
      <c r="D47"/>
      <c r="E47"/>
      <c r="F47" s="507"/>
      <c r="G47"/>
    </row>
    <row r="48" spans="1:7" ht="14.1" customHeight="1" x14ac:dyDescent="0.2">
      <c r="A48" s="274" t="s">
        <v>143</v>
      </c>
      <c r="B48" s="275">
        <f>SUM(B11:B46)</f>
        <v>9658761</v>
      </c>
      <c r="C48" s="276">
        <f>B48/'- 3 -'!$D48*100</f>
        <v>0.40055511453360476</v>
      </c>
      <c r="D48" s="275">
        <f>SUM(D11:D46)</f>
        <v>225253590</v>
      </c>
      <c r="E48" s="276">
        <f>D48/'- 3 -'!$D48*100</f>
        <v>9.3414132041941649</v>
      </c>
      <c r="F48" s="275">
        <f>SUM(F11:F46)</f>
        <v>23872950</v>
      </c>
      <c r="G48" s="276">
        <f>F48/'- 3 -'!$D48*100</f>
        <v>0.99002679758874024</v>
      </c>
    </row>
    <row r="49" spans="1:7" ht="5.0999999999999996" customHeight="1" x14ac:dyDescent="0.2">
      <c r="A49" s="17" t="s">
        <v>1</v>
      </c>
      <c r="B49" s="18"/>
      <c r="C49" s="266"/>
      <c r="D49" s="18"/>
      <c r="E49" s="266"/>
      <c r="F49" s="18"/>
      <c r="G49" s="266"/>
    </row>
    <row r="50" spans="1:7" ht="14.1" customHeight="1" x14ac:dyDescent="0.2">
      <c r="A50" s="15" t="s">
        <v>144</v>
      </c>
      <c r="B50" s="16">
        <v>29050</v>
      </c>
      <c r="C50" s="267">
        <f>B50/'- 3 -'!$D50*100</f>
        <v>0.80854311385678679</v>
      </c>
      <c r="D50" s="16">
        <v>449100</v>
      </c>
      <c r="E50" s="267">
        <f>D50/'- 3 -'!$D50*100</f>
        <v>12.499714713703373</v>
      </c>
      <c r="F50" s="16">
        <v>40000</v>
      </c>
      <c r="G50" s="267">
        <f>F50/'- 3 -'!$D50*100</f>
        <v>1.1133123770833553</v>
      </c>
    </row>
    <row r="51" spans="1:7" ht="14.1" customHeight="1" x14ac:dyDescent="0.2">
      <c r="A51" s="360" t="s">
        <v>514</v>
      </c>
      <c r="B51" s="272">
        <v>215737</v>
      </c>
      <c r="C51" s="273">
        <f>B51/'- 3 -'!$D51*100</f>
        <v>0.65664048874649739</v>
      </c>
      <c r="D51" s="272">
        <v>3777256</v>
      </c>
      <c r="E51" s="273">
        <f>D51/'- 3 -'!$D51*100</f>
        <v>11.4968652848637</v>
      </c>
      <c r="F51" s="272">
        <v>0</v>
      </c>
      <c r="G51" s="273">
        <f>F51/'- 3 -'!$D51*100</f>
        <v>0</v>
      </c>
    </row>
    <row r="52" spans="1:7" ht="50.1" customHeight="1" x14ac:dyDescent="0.2"/>
    <row r="53" spans="1:7" ht="15" customHeight="1" x14ac:dyDescent="0.2"/>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6:G6"/>
    <mergeCell ref="B8:C8"/>
    <mergeCell ref="D7:G7"/>
    <mergeCell ref="D8:E8"/>
    <mergeCell ref="F8: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x14ac:dyDescent="0.2">
      <c r="A1" s="3"/>
      <c r="B1" s="3"/>
      <c r="C1" s="3"/>
      <c r="D1" s="4"/>
      <c r="E1" s="4"/>
      <c r="F1" s="4"/>
    </row>
    <row r="2" spans="1:6" ht="15.95" customHeight="1" x14ac:dyDescent="0.2">
      <c r="A2" s="132"/>
      <c r="B2" s="5" t="str">
        <f>AEXP_BP</f>
        <v>ANALYSIS OF EXPENSE BY PROGRAM</v>
      </c>
      <c r="C2" s="152"/>
      <c r="D2" s="133"/>
      <c r="E2" s="6"/>
      <c r="F2" s="502" t="s">
        <v>536</v>
      </c>
    </row>
    <row r="3" spans="1:6" ht="15.95" customHeight="1" x14ac:dyDescent="0.2">
      <c r="A3" s="135"/>
      <c r="B3" s="7" t="str">
        <f>OPYEAR</f>
        <v>OPERATING FUND 2018/2019 BUDGET</v>
      </c>
      <c r="C3" s="153"/>
      <c r="D3" s="144"/>
      <c r="E3" s="8"/>
      <c r="F3" s="81"/>
    </row>
    <row r="4" spans="1:6" ht="15.95" customHeight="1" x14ac:dyDescent="0.2">
      <c r="D4" s="4"/>
      <c r="E4" s="4"/>
      <c r="F4" s="4"/>
    </row>
    <row r="5" spans="1:6" ht="15.95" customHeight="1" x14ac:dyDescent="0.2">
      <c r="D5" s="4"/>
      <c r="E5" s="4"/>
      <c r="F5" s="4"/>
    </row>
    <row r="6" spans="1:6" ht="15.95" customHeight="1" x14ac:dyDescent="0.2">
      <c r="B6" s="659" t="s">
        <v>236</v>
      </c>
      <c r="C6" s="660"/>
      <c r="D6" s="660"/>
      <c r="E6" s="661"/>
      <c r="F6" s="55"/>
    </row>
    <row r="7" spans="1:6" ht="15.95" customHeight="1" x14ac:dyDescent="0.2">
      <c r="B7" s="314"/>
      <c r="C7" s="270"/>
      <c r="D7" s="314"/>
      <c r="E7" s="270"/>
      <c r="F7" s="4"/>
    </row>
    <row r="8" spans="1:6" ht="15.95" customHeight="1" x14ac:dyDescent="0.2">
      <c r="A8" s="82"/>
      <c r="B8" s="605" t="s">
        <v>30</v>
      </c>
      <c r="C8" s="606"/>
      <c r="D8" s="618" t="s">
        <v>31</v>
      </c>
      <c r="E8" s="606"/>
      <c r="F8" s="4"/>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108</v>
      </c>
      <c r="B11" s="272">
        <v>62315</v>
      </c>
      <c r="C11" s="273">
        <f>B11/'- 3 -'!$D11*100</f>
        <v>0.30618504101204042</v>
      </c>
      <c r="D11" s="272">
        <v>33400</v>
      </c>
      <c r="E11" s="273">
        <f>D11/'- 3 -'!$D11*100</f>
        <v>0.16411105463856457</v>
      </c>
    </row>
    <row r="12" spans="1:6" ht="14.1" customHeight="1" x14ac:dyDescent="0.2">
      <c r="A12" s="15" t="s">
        <v>109</v>
      </c>
      <c r="B12" s="16">
        <v>298369</v>
      </c>
      <c r="C12" s="267">
        <f>B12/'- 3 -'!$D12*100</f>
        <v>0.85453195151699912</v>
      </c>
      <c r="D12" s="16">
        <v>140653</v>
      </c>
      <c r="E12" s="267">
        <f>D12/'- 3 -'!$D12*100</f>
        <v>0.40283167010219051</v>
      </c>
    </row>
    <row r="13" spans="1:6" ht="14.1" customHeight="1" x14ac:dyDescent="0.2">
      <c r="A13" s="271" t="s">
        <v>110</v>
      </c>
      <c r="B13" s="272">
        <v>296300</v>
      </c>
      <c r="C13" s="273">
        <f>B13/'- 3 -'!$D13*100</f>
        <v>0.28459134296762595</v>
      </c>
      <c r="D13" s="272">
        <v>201400</v>
      </c>
      <c r="E13" s="273">
        <f>D13/'- 3 -'!$D13*100</f>
        <v>0.1934414325807623</v>
      </c>
    </row>
    <row r="14" spans="1:6" ht="14.1" customHeight="1" x14ac:dyDescent="0.2">
      <c r="A14" s="15" t="s">
        <v>319</v>
      </c>
      <c r="B14" s="16">
        <v>260395</v>
      </c>
      <c r="C14" s="267">
        <f>B14/'- 3 -'!$D14*100</f>
        <v>0.27901381509215134</v>
      </c>
      <c r="D14" s="16">
        <v>300000</v>
      </c>
      <c r="E14" s="267">
        <f>D14/'- 3 -'!$D14*100</f>
        <v>0.3214506596810438</v>
      </c>
    </row>
    <row r="15" spans="1:6" ht="14.1" customHeight="1" x14ac:dyDescent="0.2">
      <c r="A15" s="271" t="s">
        <v>111</v>
      </c>
      <c r="B15" s="272">
        <v>105835</v>
      </c>
      <c r="C15" s="273">
        <f>B15/'- 3 -'!$D15*100</f>
        <v>0.50930504920603314</v>
      </c>
      <c r="D15" s="272">
        <v>86000</v>
      </c>
      <c r="E15" s="273">
        <f>D15/'- 3 -'!$D15*100</f>
        <v>0.41385396354437431</v>
      </c>
    </row>
    <row r="16" spans="1:6" ht="14.1" customHeight="1" x14ac:dyDescent="0.2">
      <c r="A16" s="15" t="s">
        <v>112</v>
      </c>
      <c r="B16" s="16">
        <v>30351</v>
      </c>
      <c r="C16" s="267">
        <f>B16/'- 3 -'!$D16*100</f>
        <v>0.20414414428957356</v>
      </c>
      <c r="D16" s="16">
        <v>41400</v>
      </c>
      <c r="E16" s="267">
        <f>D16/'- 3 -'!$D16*100</f>
        <v>0.27846092628211078</v>
      </c>
    </row>
    <row r="17" spans="1:5" ht="14.1" customHeight="1" x14ac:dyDescent="0.2">
      <c r="A17" s="271" t="s">
        <v>113</v>
      </c>
      <c r="B17" s="272">
        <v>105820</v>
      </c>
      <c r="C17" s="273">
        <f>B17/'- 3 -'!$D17*100</f>
        <v>0.56585868975960474</v>
      </c>
      <c r="D17" s="272">
        <v>57000</v>
      </c>
      <c r="E17" s="273">
        <f>D17/'- 3 -'!$D17*100</f>
        <v>0.30480008803909908</v>
      </c>
    </row>
    <row r="18" spans="1:5" ht="14.1" customHeight="1" x14ac:dyDescent="0.2">
      <c r="A18" s="15" t="s">
        <v>114</v>
      </c>
      <c r="B18" s="16">
        <v>3236239</v>
      </c>
      <c r="C18" s="267">
        <f>B18/'- 3 -'!$D18*100</f>
        <v>2.4030421990198256</v>
      </c>
      <c r="D18" s="16">
        <v>62700</v>
      </c>
      <c r="E18" s="267">
        <f>D18/'- 3 -'!$D18*100</f>
        <v>4.6557360528237585E-2</v>
      </c>
    </row>
    <row r="19" spans="1:5" ht="14.1" customHeight="1" x14ac:dyDescent="0.2">
      <c r="A19" s="271" t="s">
        <v>115</v>
      </c>
      <c r="B19" s="272">
        <v>115800</v>
      </c>
      <c r="C19" s="273">
        <f>B19/'- 3 -'!$D19*100</f>
        <v>0.23011986900257544</v>
      </c>
      <c r="D19" s="272">
        <v>44600</v>
      </c>
      <c r="E19" s="273">
        <f>D19/'- 3 -'!$D19*100</f>
        <v>8.8629932275603313E-2</v>
      </c>
    </row>
    <row r="20" spans="1:5" ht="14.1" customHeight="1" x14ac:dyDescent="0.2">
      <c r="A20" s="15" t="s">
        <v>116</v>
      </c>
      <c r="B20" s="16">
        <v>186200</v>
      </c>
      <c r="C20" s="267">
        <f>B20/'- 3 -'!$D20*100</f>
        <v>0.21340411656770078</v>
      </c>
      <c r="D20" s="16">
        <v>652300</v>
      </c>
      <c r="E20" s="267">
        <f>D20/'- 3 -'!$D20*100</f>
        <v>0.74760206894259518</v>
      </c>
    </row>
    <row r="21" spans="1:5" ht="14.1" customHeight="1" x14ac:dyDescent="0.2">
      <c r="A21" s="271" t="s">
        <v>117</v>
      </c>
      <c r="B21" s="272">
        <v>167000</v>
      </c>
      <c r="C21" s="273">
        <f>B21/'- 3 -'!$D21*100</f>
        <v>0.44462643658269174</v>
      </c>
      <c r="D21" s="272">
        <v>115000</v>
      </c>
      <c r="E21" s="273">
        <f>D21/'- 3 -'!$D21*100</f>
        <v>0.30617988147909908</v>
      </c>
    </row>
    <row r="22" spans="1:5" ht="14.1" customHeight="1" x14ac:dyDescent="0.2">
      <c r="A22" s="15" t="s">
        <v>118</v>
      </c>
      <c r="B22" s="16">
        <v>54120</v>
      </c>
      <c r="C22" s="267">
        <f>B22/'- 3 -'!$D22*100</f>
        <v>0.25916089716024399</v>
      </c>
      <c r="D22" s="16">
        <v>15000</v>
      </c>
      <c r="E22" s="267">
        <f>D22/'- 3 -'!$D22*100</f>
        <v>7.1829516951287142E-2</v>
      </c>
    </row>
    <row r="23" spans="1:5" ht="14.1" customHeight="1" x14ac:dyDescent="0.2">
      <c r="A23" s="271" t="s">
        <v>119</v>
      </c>
      <c r="B23" s="272">
        <v>55100</v>
      </c>
      <c r="C23" s="273">
        <f>B23/'- 3 -'!$D23*100</f>
        <v>0.32469422760841432</v>
      </c>
      <c r="D23" s="272">
        <v>12700</v>
      </c>
      <c r="E23" s="273">
        <f>D23/'- 3 -'!$D23*100</f>
        <v>7.4838778414280605E-2</v>
      </c>
    </row>
    <row r="24" spans="1:5" ht="14.1" customHeight="1" x14ac:dyDescent="0.2">
      <c r="A24" s="15" t="s">
        <v>120</v>
      </c>
      <c r="B24" s="16">
        <v>191845</v>
      </c>
      <c r="C24" s="267">
        <f>B24/'- 3 -'!$D24*100</f>
        <v>0.3283981432020292</v>
      </c>
      <c r="D24" s="16">
        <v>222300</v>
      </c>
      <c r="E24" s="267">
        <f>D24/'- 3 -'!$D24*100</f>
        <v>0.3805306744184685</v>
      </c>
    </row>
    <row r="25" spans="1:5" ht="14.1" customHeight="1" x14ac:dyDescent="0.2">
      <c r="A25" s="271" t="s">
        <v>121</v>
      </c>
      <c r="B25" s="272">
        <v>212000</v>
      </c>
      <c r="C25" s="273">
        <f>B25/'- 3 -'!$D25*100</f>
        <v>0.11282758591473403</v>
      </c>
      <c r="D25" s="272">
        <v>398500</v>
      </c>
      <c r="E25" s="273">
        <f>D25/'- 3 -'!$D25*100</f>
        <v>0.21208392918406374</v>
      </c>
    </row>
    <row r="26" spans="1:5" ht="14.1" customHeight="1" x14ac:dyDescent="0.2">
      <c r="A26" s="15" t="s">
        <v>122</v>
      </c>
      <c r="B26" s="16">
        <v>209203</v>
      </c>
      <c r="C26" s="267">
        <f>B26/'- 3 -'!$D26*100</f>
        <v>0.50997022591771446</v>
      </c>
      <c r="D26" s="16">
        <v>142250</v>
      </c>
      <c r="E26" s="267">
        <f>D26/'- 3 -'!$D26*100</f>
        <v>0.34676015466697363</v>
      </c>
    </row>
    <row r="27" spans="1:5" ht="14.1" customHeight="1" x14ac:dyDescent="0.2">
      <c r="A27" s="271" t="s">
        <v>123</v>
      </c>
      <c r="B27" s="272">
        <v>147553</v>
      </c>
      <c r="C27" s="273">
        <f>B27/'- 3 -'!$D27*100</f>
        <v>0.34535982637566215</v>
      </c>
      <c r="D27" s="272">
        <v>161440</v>
      </c>
      <c r="E27" s="273">
        <f>D27/'- 3 -'!$D27*100</f>
        <v>0.37786348207143805</v>
      </c>
    </row>
    <row r="28" spans="1:5" ht="14.1" customHeight="1" x14ac:dyDescent="0.2">
      <c r="A28" s="15" t="s">
        <v>124</v>
      </c>
      <c r="B28" s="16">
        <v>79150</v>
      </c>
      <c r="C28" s="267">
        <f>B28/'- 3 -'!$D28*100</f>
        <v>0.27489513176176905</v>
      </c>
      <c r="D28" s="16">
        <v>97000</v>
      </c>
      <c r="E28" s="267">
        <f>D28/'- 3 -'!$D28*100</f>
        <v>0.33688980140103086</v>
      </c>
    </row>
    <row r="29" spans="1:5" ht="14.1" customHeight="1" x14ac:dyDescent="0.2">
      <c r="A29" s="271" t="s">
        <v>125</v>
      </c>
      <c r="B29" s="272">
        <v>703945</v>
      </c>
      <c r="C29" s="273">
        <f>B29/'- 3 -'!$D29*100</f>
        <v>0.41444571073519804</v>
      </c>
      <c r="D29" s="272">
        <v>942219</v>
      </c>
      <c r="E29" s="273">
        <f>D29/'- 3 -'!$D29*100</f>
        <v>0.55472888240303941</v>
      </c>
    </row>
    <row r="30" spans="1:5" ht="14.1" customHeight="1" x14ac:dyDescent="0.2">
      <c r="A30" s="15" t="s">
        <v>126</v>
      </c>
      <c r="B30" s="16">
        <v>56768</v>
      </c>
      <c r="C30" s="267">
        <f>B30/'- 3 -'!$D30*100</f>
        <v>0.37156469724330127</v>
      </c>
      <c r="D30" s="16">
        <v>49500</v>
      </c>
      <c r="E30" s="267">
        <f>D30/'- 3 -'!$D30*100</f>
        <v>0.32399331513429064</v>
      </c>
    </row>
    <row r="31" spans="1:5" ht="14.1" customHeight="1" x14ac:dyDescent="0.2">
      <c r="A31" s="271" t="s">
        <v>127</v>
      </c>
      <c r="B31" s="272">
        <v>119986</v>
      </c>
      <c r="C31" s="273">
        <f>B31/'- 3 -'!$D31*100</f>
        <v>0.30835263888911019</v>
      </c>
      <c r="D31" s="272">
        <v>126500</v>
      </c>
      <c r="E31" s="273">
        <f>D31/'- 3 -'!$D31*100</f>
        <v>0.32509300101238842</v>
      </c>
    </row>
    <row r="32" spans="1:5" ht="14.1" customHeight="1" x14ac:dyDescent="0.2">
      <c r="A32" s="15" t="s">
        <v>128</v>
      </c>
      <c r="B32" s="16">
        <v>111820</v>
      </c>
      <c r="C32" s="267">
        <f>B32/'- 3 -'!$D32*100</f>
        <v>0.36036688713651999</v>
      </c>
      <c r="D32" s="16">
        <v>109975</v>
      </c>
      <c r="E32" s="267">
        <f>D32/'- 3 -'!$D32*100</f>
        <v>0.3544209301809943</v>
      </c>
    </row>
    <row r="33" spans="1:5" ht="14.1" customHeight="1" x14ac:dyDescent="0.2">
      <c r="A33" s="271" t="s">
        <v>129</v>
      </c>
      <c r="B33" s="272">
        <v>118700</v>
      </c>
      <c r="C33" s="273">
        <f>B33/'- 3 -'!$D33*100</f>
        <v>0.41616807720881999</v>
      </c>
      <c r="D33" s="272">
        <v>86500</v>
      </c>
      <c r="E33" s="273">
        <f>D33/'- 3 -'!$D33*100</f>
        <v>0.30327328288595556</v>
      </c>
    </row>
    <row r="34" spans="1:5" ht="14.1" customHeight="1" x14ac:dyDescent="0.2">
      <c r="A34" s="15" t="s">
        <v>130</v>
      </c>
      <c r="B34" s="16">
        <v>98762</v>
      </c>
      <c r="C34" s="267">
        <f>B34/'- 3 -'!$D34*100</f>
        <v>0.31707093515892631</v>
      </c>
      <c r="D34" s="16">
        <v>108804</v>
      </c>
      <c r="E34" s="267">
        <f>D34/'- 3 -'!$D34*100</f>
        <v>0.34931032207763935</v>
      </c>
    </row>
    <row r="35" spans="1:5" ht="14.1" customHeight="1" x14ac:dyDescent="0.2">
      <c r="A35" s="271" t="s">
        <v>131</v>
      </c>
      <c r="B35" s="272">
        <v>405000</v>
      </c>
      <c r="C35" s="273">
        <f>B35/'- 3 -'!$D35*100</f>
        <v>0.21214462612597529</v>
      </c>
      <c r="D35" s="272">
        <v>728800</v>
      </c>
      <c r="E35" s="273">
        <f>D35/'- 3 -'!$D35*100</f>
        <v>0.38175556424842172</v>
      </c>
    </row>
    <row r="36" spans="1:5" ht="14.1" customHeight="1" x14ac:dyDescent="0.2">
      <c r="A36" s="15" t="s">
        <v>132</v>
      </c>
      <c r="B36" s="16">
        <v>168550</v>
      </c>
      <c r="C36" s="267">
        <f>B36/'- 3 -'!$D36*100</f>
        <v>0.69917451362674743</v>
      </c>
      <c r="D36" s="16">
        <v>86000</v>
      </c>
      <c r="E36" s="267">
        <f>D36/'- 3 -'!$D36*100</f>
        <v>0.3567428547724727</v>
      </c>
    </row>
    <row r="37" spans="1:5" ht="14.1" customHeight="1" x14ac:dyDescent="0.2">
      <c r="A37" s="271" t="s">
        <v>133</v>
      </c>
      <c r="B37" s="272">
        <v>132200</v>
      </c>
      <c r="C37" s="273">
        <f>B37/'- 3 -'!$D37*100</f>
        <v>0.24921014334295991</v>
      </c>
      <c r="D37" s="272">
        <v>212000</v>
      </c>
      <c r="E37" s="273">
        <f>D37/'- 3 -'!$D37*100</f>
        <v>0.39964107707040469</v>
      </c>
    </row>
    <row r="38" spans="1:5" ht="14.1" customHeight="1" x14ac:dyDescent="0.2">
      <c r="A38" s="15" t="s">
        <v>134</v>
      </c>
      <c r="B38" s="16">
        <v>492160</v>
      </c>
      <c r="C38" s="267">
        <f>B38/'- 3 -'!$D38*100</f>
        <v>0.34000249254102949</v>
      </c>
      <c r="D38" s="16">
        <v>504660</v>
      </c>
      <c r="E38" s="267">
        <f>D38/'- 3 -'!$D38*100</f>
        <v>0.34863795896813221</v>
      </c>
    </row>
    <row r="39" spans="1:5" ht="14.1" customHeight="1" x14ac:dyDescent="0.2">
      <c r="A39" s="271" t="s">
        <v>135</v>
      </c>
      <c r="B39" s="272">
        <v>82900</v>
      </c>
      <c r="C39" s="273">
        <f>B39/'- 3 -'!$D39*100</f>
        <v>0.3557599728231996</v>
      </c>
      <c r="D39" s="272">
        <v>70100</v>
      </c>
      <c r="E39" s="273">
        <f>D39/'- 3 -'!$D39*100</f>
        <v>0.30082960307486478</v>
      </c>
    </row>
    <row r="40" spans="1:5" ht="14.1" customHeight="1" x14ac:dyDescent="0.2">
      <c r="A40" s="15" t="s">
        <v>136</v>
      </c>
      <c r="B40" s="16">
        <v>585153</v>
      </c>
      <c r="C40" s="267">
        <f>B40/'- 3 -'!$D40*100</f>
        <v>0.54008156255819928</v>
      </c>
      <c r="D40" s="16">
        <v>358299</v>
      </c>
      <c r="E40" s="267">
        <f>D40/'- 3 -'!$D40*100</f>
        <v>0.33070100261476959</v>
      </c>
    </row>
    <row r="41" spans="1:5" ht="14.1" customHeight="1" x14ac:dyDescent="0.2">
      <c r="A41" s="271" t="s">
        <v>137</v>
      </c>
      <c r="B41" s="272">
        <v>275275</v>
      </c>
      <c r="C41" s="273">
        <f>B41/'- 3 -'!$D41*100</f>
        <v>0.42344284173087154</v>
      </c>
      <c r="D41" s="272">
        <v>315000</v>
      </c>
      <c r="E41" s="273">
        <f>D41/'- 3 -'!$D41*100</f>
        <v>0.48454997782299358</v>
      </c>
    </row>
    <row r="42" spans="1:5" ht="14.1" customHeight="1" x14ac:dyDescent="0.2">
      <c r="A42" s="15" t="s">
        <v>138</v>
      </c>
      <c r="B42" s="16">
        <v>153125</v>
      </c>
      <c r="C42" s="267">
        <f>B42/'- 3 -'!$D42*100</f>
        <v>0.71913466953760097</v>
      </c>
      <c r="D42" s="16">
        <v>99597</v>
      </c>
      <c r="E42" s="267">
        <f>D42/'- 3 -'!$D42*100</f>
        <v>0.46774632282080947</v>
      </c>
    </row>
    <row r="43" spans="1:5" ht="14.1" customHeight="1" x14ac:dyDescent="0.2">
      <c r="A43" s="271" t="s">
        <v>139</v>
      </c>
      <c r="B43" s="272">
        <v>57250</v>
      </c>
      <c r="C43" s="273">
        <f>B43/'- 3 -'!$D43*100</f>
        <v>0.4154614957179889</v>
      </c>
      <c r="D43" s="272">
        <v>28250</v>
      </c>
      <c r="E43" s="273">
        <f>D43/'- 3 -'!$D43*100</f>
        <v>0.20500938434992469</v>
      </c>
    </row>
    <row r="44" spans="1:5" ht="14.1" customHeight="1" x14ac:dyDescent="0.2">
      <c r="A44" s="15" t="s">
        <v>140</v>
      </c>
      <c r="B44" s="16">
        <v>72459</v>
      </c>
      <c r="C44" s="267">
        <f>B44/'- 3 -'!$D44*100</f>
        <v>0.64222035818770462</v>
      </c>
      <c r="D44" s="16">
        <v>36000</v>
      </c>
      <c r="E44" s="267">
        <f>D44/'- 3 -'!$D44*100</f>
        <v>0.31907606915300196</v>
      </c>
    </row>
    <row r="45" spans="1:5" ht="14.1" customHeight="1" x14ac:dyDescent="0.2">
      <c r="A45" s="271" t="s">
        <v>141</v>
      </c>
      <c r="B45" s="272">
        <v>51200</v>
      </c>
      <c r="C45" s="273">
        <f>B45/'- 3 -'!$D45*100</f>
        <v>0.24710360310837026</v>
      </c>
      <c r="D45" s="272">
        <v>45000</v>
      </c>
      <c r="E45" s="273">
        <f>D45/'- 3 -'!$D45*100</f>
        <v>0.21718090116946606</v>
      </c>
    </row>
    <row r="46" spans="1:5" ht="14.1" customHeight="1" x14ac:dyDescent="0.2">
      <c r="A46" s="15" t="s">
        <v>142</v>
      </c>
      <c r="B46" s="16">
        <v>1765600</v>
      </c>
      <c r="C46" s="267">
        <f>B46/'- 3 -'!$D46*100</f>
        <v>0.43435898653341992</v>
      </c>
      <c r="D46" s="16">
        <v>1218000</v>
      </c>
      <c r="E46" s="267">
        <f>D46/'- 3 -'!$D46*100</f>
        <v>0.2996427535102546</v>
      </c>
    </row>
    <row r="47" spans="1:5" ht="5.0999999999999996" customHeight="1" x14ac:dyDescent="0.2">
      <c r="A47"/>
      <c r="B47" s="507"/>
      <c r="C47"/>
      <c r="D47" s="507"/>
      <c r="E47"/>
    </row>
    <row r="48" spans="1:5" ht="14.1" customHeight="1" x14ac:dyDescent="0.2">
      <c r="A48" s="274" t="s">
        <v>143</v>
      </c>
      <c r="B48" s="275">
        <f>SUM(B11:B46)</f>
        <v>11264448</v>
      </c>
      <c r="C48" s="276">
        <f>B48/'- 3 -'!$D48*100</f>
        <v>0.46714400105746839</v>
      </c>
      <c r="D48" s="275">
        <f>SUM(D11:D46)</f>
        <v>7908847</v>
      </c>
      <c r="E48" s="276">
        <f>D48/'- 3 -'!$D48*100</f>
        <v>0.32798504030835385</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24000</v>
      </c>
      <c r="E50" s="267">
        <f>D50/'- 3 -'!$D50*100</f>
        <v>0.66798742625001328</v>
      </c>
    </row>
    <row r="51" spans="1:5" ht="14.1" customHeight="1" x14ac:dyDescent="0.2">
      <c r="A51" s="360" t="s">
        <v>514</v>
      </c>
      <c r="B51" s="272">
        <v>0</v>
      </c>
      <c r="C51" s="273">
        <f>B51/'- 3 -'!$D51*100</f>
        <v>0</v>
      </c>
      <c r="D51" s="272">
        <v>111769</v>
      </c>
      <c r="E51" s="273">
        <f>D51/'- 3 -'!$D51*100</f>
        <v>0.34019222843882724</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8: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F59"/>
  <sheetViews>
    <sheetView showGridLines="0" showZeros="0" workbookViewId="0"/>
  </sheetViews>
  <sheetFormatPr defaultColWidth="15.83203125" defaultRowHeight="12" x14ac:dyDescent="0.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2" t="s">
        <v>537</v>
      </c>
    </row>
    <row r="3" spans="1:6" ht="15.95" customHeight="1" x14ac:dyDescent="0.2">
      <c r="A3" s="135"/>
      <c r="B3" s="7" t="str">
        <f>OPYEAR</f>
        <v>OPERATING FUND 2018/2019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59" t="s">
        <v>10</v>
      </c>
      <c r="C6" s="660"/>
      <c r="D6" s="660"/>
      <c r="E6" s="661"/>
    </row>
    <row r="7" spans="1:6" ht="15.95" customHeight="1" x14ac:dyDescent="0.2">
      <c r="B7" s="314"/>
      <c r="C7" s="270"/>
      <c r="D7" s="611" t="s">
        <v>430</v>
      </c>
      <c r="E7" s="612"/>
    </row>
    <row r="8" spans="1:6" ht="15.95" customHeight="1" x14ac:dyDescent="0.2">
      <c r="A8" s="82"/>
      <c r="B8" s="605" t="s">
        <v>32</v>
      </c>
      <c r="C8" s="606"/>
      <c r="D8" s="613"/>
      <c r="E8" s="614"/>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108</v>
      </c>
      <c r="B11" s="272">
        <v>14000</v>
      </c>
      <c r="C11" s="273">
        <f>B11/'- 3 -'!$D11*100</f>
        <v>6.8789064818559995E-2</v>
      </c>
      <c r="D11" s="272">
        <v>342500</v>
      </c>
      <c r="E11" s="273">
        <f>D11/'- 3 -'!$D11*100</f>
        <v>1.6828753357397714</v>
      </c>
    </row>
    <row r="12" spans="1:6" ht="14.1" customHeight="1" x14ac:dyDescent="0.2">
      <c r="A12" s="15" t="s">
        <v>109</v>
      </c>
      <c r="B12" s="16">
        <v>20000</v>
      </c>
      <c r="C12" s="267">
        <f>B12/'- 3 -'!$D12*100</f>
        <v>5.7280210177129601E-2</v>
      </c>
      <c r="D12" s="16">
        <v>532056</v>
      </c>
      <c r="E12" s="267">
        <f>D12/'- 3 -'!$D12*100</f>
        <v>1.5238139753001434</v>
      </c>
    </row>
    <row r="13" spans="1:6" ht="14.1" customHeight="1" x14ac:dyDescent="0.2">
      <c r="A13" s="271" t="s">
        <v>110</v>
      </c>
      <c r="B13" s="272">
        <v>8600</v>
      </c>
      <c r="C13" s="273">
        <f>B13/'- 3 -'!$D13*100</f>
        <v>8.2601604776293726E-3</v>
      </c>
      <c r="D13" s="272">
        <v>1787300</v>
      </c>
      <c r="E13" s="273">
        <f>D13/'- 3 -'!$D13*100</f>
        <v>1.7166726536822066</v>
      </c>
    </row>
    <row r="14" spans="1:6" ht="14.1" customHeight="1" x14ac:dyDescent="0.2">
      <c r="A14" s="15" t="s">
        <v>319</v>
      </c>
      <c r="B14" s="16">
        <v>83813</v>
      </c>
      <c r="C14" s="267">
        <f>B14/'- 3 -'!$D14*100</f>
        <v>8.9805813799491083E-2</v>
      </c>
      <c r="D14" s="16">
        <v>1346744</v>
      </c>
      <c r="E14" s="267">
        <f>D14/'- 3 -'!$D14*100</f>
        <v>1.4430391574049588</v>
      </c>
    </row>
    <row r="15" spans="1:6" ht="14.1" customHeight="1" x14ac:dyDescent="0.2">
      <c r="A15" s="271" t="s">
        <v>111</v>
      </c>
      <c r="B15" s="272">
        <v>8000</v>
      </c>
      <c r="C15" s="273">
        <f>B15/'- 3 -'!$D15*100</f>
        <v>3.8498043120406916E-2</v>
      </c>
      <c r="D15" s="272">
        <v>315000</v>
      </c>
      <c r="E15" s="273">
        <f>D15/'- 3 -'!$D15*100</f>
        <v>1.5158604478660223</v>
      </c>
    </row>
    <row r="16" spans="1:6" ht="14.1" customHeight="1" x14ac:dyDescent="0.2">
      <c r="A16" s="15" t="s">
        <v>112</v>
      </c>
      <c r="B16" s="16">
        <v>17500</v>
      </c>
      <c r="C16" s="267">
        <f>B16/'- 3 -'!$D16*100</f>
        <v>0.11770691328350093</v>
      </c>
      <c r="D16" s="16">
        <v>223564</v>
      </c>
      <c r="E16" s="267">
        <f>D16/'- 3 -'!$D16*100</f>
        <v>1.5037159063607202</v>
      </c>
    </row>
    <row r="17" spans="1:5" ht="14.1" customHeight="1" x14ac:dyDescent="0.2">
      <c r="A17" s="271" t="s">
        <v>113</v>
      </c>
      <c r="B17" s="272">
        <v>65000</v>
      </c>
      <c r="C17" s="273">
        <f>B17/'- 3 -'!$D17*100</f>
        <v>0.34757904776388493</v>
      </c>
      <c r="D17" s="272">
        <v>312000</v>
      </c>
      <c r="E17" s="273">
        <f>D17/'- 3 -'!$D17*100</f>
        <v>1.6683794292666476</v>
      </c>
    </row>
    <row r="18" spans="1:5" ht="14.1" customHeight="1" x14ac:dyDescent="0.2">
      <c r="A18" s="15" t="s">
        <v>114</v>
      </c>
      <c r="B18" s="16">
        <v>35000</v>
      </c>
      <c r="C18" s="267">
        <f>B18/'- 3 -'!$D18*100</f>
        <v>2.5988957232668509E-2</v>
      </c>
      <c r="D18" s="16">
        <v>1200000</v>
      </c>
      <c r="E18" s="267">
        <f>D18/'- 3 -'!$D18*100</f>
        <v>0.89104996226292021</v>
      </c>
    </row>
    <row r="19" spans="1:5" ht="14.1" customHeight="1" x14ac:dyDescent="0.2">
      <c r="A19" s="271" t="s">
        <v>115</v>
      </c>
      <c r="B19" s="272">
        <v>34000</v>
      </c>
      <c r="C19" s="273">
        <f>B19/'- 3 -'!$D19*100</f>
        <v>6.7565419223554093E-2</v>
      </c>
      <c r="D19" s="272">
        <v>812000</v>
      </c>
      <c r="E19" s="273">
        <f>D19/'- 3 -'!$D19*100</f>
        <v>1.6136211885154688</v>
      </c>
    </row>
    <row r="20" spans="1:5" ht="14.1" customHeight="1" x14ac:dyDescent="0.2">
      <c r="A20" s="15" t="s">
        <v>116</v>
      </c>
      <c r="B20" s="16">
        <v>175400</v>
      </c>
      <c r="C20" s="267">
        <f>B20/'- 3 -'!$D20*100</f>
        <v>0.20102621936613704</v>
      </c>
      <c r="D20" s="16">
        <v>1392700</v>
      </c>
      <c r="E20" s="267">
        <f>D20/'- 3 -'!$D20*100</f>
        <v>1.5961756882053539</v>
      </c>
    </row>
    <row r="21" spans="1:5" ht="14.1" customHeight="1" x14ac:dyDescent="0.2">
      <c r="A21" s="271" t="s">
        <v>117</v>
      </c>
      <c r="B21" s="272">
        <v>6320</v>
      </c>
      <c r="C21" s="273">
        <f>B21/'- 3 -'!$D21*100</f>
        <v>1.6826581312590488E-2</v>
      </c>
      <c r="D21" s="272">
        <v>655000</v>
      </c>
      <c r="E21" s="273">
        <f>D21/'- 3 -'!$D21*100</f>
        <v>1.7438941075548688</v>
      </c>
    </row>
    <row r="22" spans="1:5" ht="14.1" customHeight="1" x14ac:dyDescent="0.2">
      <c r="A22" s="15" t="s">
        <v>118</v>
      </c>
      <c r="B22" s="16">
        <v>10000</v>
      </c>
      <c r="C22" s="267">
        <f>B22/'- 3 -'!$D22*100</f>
        <v>4.7886344634191426E-2</v>
      </c>
      <c r="D22" s="16">
        <v>347000</v>
      </c>
      <c r="E22" s="267">
        <f>D22/'- 3 -'!$D22*100</f>
        <v>1.6616561588064425</v>
      </c>
    </row>
    <row r="23" spans="1:5" ht="14.1" customHeight="1" x14ac:dyDescent="0.2">
      <c r="A23" s="271" t="s">
        <v>119</v>
      </c>
      <c r="B23" s="272">
        <v>5000</v>
      </c>
      <c r="C23" s="273">
        <f>B23/'- 3 -'!$D23*100</f>
        <v>2.9464085989874253E-2</v>
      </c>
      <c r="D23" s="272">
        <v>259609</v>
      </c>
      <c r="E23" s="273">
        <f>D23/'- 3 -'!$D23*100</f>
        <v>1.5298283799490531</v>
      </c>
    </row>
    <row r="24" spans="1:5" ht="14.1" customHeight="1" x14ac:dyDescent="0.2">
      <c r="A24" s="15" t="s">
        <v>120</v>
      </c>
      <c r="B24" s="16">
        <v>60000</v>
      </c>
      <c r="C24" s="267">
        <f>B24/'- 3 -'!$D24*100</f>
        <v>0.10270733452590244</v>
      </c>
      <c r="D24" s="16">
        <v>960000</v>
      </c>
      <c r="E24" s="267">
        <f>D24/'- 3 -'!$D24*100</f>
        <v>1.6433173524144391</v>
      </c>
    </row>
    <row r="25" spans="1:5" ht="14.1" customHeight="1" x14ac:dyDescent="0.2">
      <c r="A25" s="271" t="s">
        <v>121</v>
      </c>
      <c r="B25" s="272">
        <v>108000</v>
      </c>
      <c r="C25" s="273">
        <f>B25/'- 3 -'!$D25*100</f>
        <v>5.7478204145241865E-2</v>
      </c>
      <c r="D25" s="272">
        <v>3156818</v>
      </c>
      <c r="E25" s="273">
        <f>D25/'- 3 -'!$D25*100</f>
        <v>1.6800761986423531</v>
      </c>
    </row>
    <row r="26" spans="1:5" ht="14.1" customHeight="1" x14ac:dyDescent="0.2">
      <c r="A26" s="15" t="s">
        <v>122</v>
      </c>
      <c r="B26" s="16">
        <v>135000</v>
      </c>
      <c r="C26" s="267">
        <f>B26/'- 3 -'!$D26*100</f>
        <v>0.32908696576479041</v>
      </c>
      <c r="D26" s="16">
        <v>644207</v>
      </c>
      <c r="E26" s="267">
        <f>D26/'- 3 -'!$D26*100</f>
        <v>1.5703713107736175</v>
      </c>
    </row>
    <row r="27" spans="1:5" ht="14.1" customHeight="1" x14ac:dyDescent="0.2">
      <c r="A27" s="271" t="s">
        <v>123</v>
      </c>
      <c r="B27" s="272">
        <v>5500</v>
      </c>
      <c r="C27" s="273">
        <f>B27/'- 3 -'!$D27*100</f>
        <v>1.2873198410511084E-2</v>
      </c>
      <c r="D27" s="272">
        <v>690000</v>
      </c>
      <c r="E27" s="273">
        <f>D27/'- 3 -'!$D27*100</f>
        <v>1.6150012551368449</v>
      </c>
    </row>
    <row r="28" spans="1:5" ht="14.1" customHeight="1" x14ac:dyDescent="0.2">
      <c r="A28" s="15" t="s">
        <v>124</v>
      </c>
      <c r="B28" s="16">
        <v>46600</v>
      </c>
      <c r="C28" s="267">
        <f>B28/'- 3 -'!$D28*100</f>
        <v>0.16184602830193856</v>
      </c>
      <c r="D28" s="16">
        <v>414000</v>
      </c>
      <c r="E28" s="267">
        <f>D28/'- 3 -'!$D28*100</f>
        <v>1.4378595647425443</v>
      </c>
    </row>
    <row r="29" spans="1:5" ht="14.1" customHeight="1" x14ac:dyDescent="0.2">
      <c r="A29" s="271" t="s">
        <v>125</v>
      </c>
      <c r="B29" s="272">
        <v>120000</v>
      </c>
      <c r="C29" s="273">
        <f>B29/'- 3 -'!$D29*100</f>
        <v>7.0649674744793653E-2</v>
      </c>
      <c r="D29" s="272">
        <v>2805000</v>
      </c>
      <c r="E29" s="273">
        <f>D29/'- 3 -'!$D29*100</f>
        <v>1.6514361471595518</v>
      </c>
    </row>
    <row r="30" spans="1:5" ht="14.1" customHeight="1" x14ac:dyDescent="0.2">
      <c r="A30" s="15" t="s">
        <v>126</v>
      </c>
      <c r="B30" s="16">
        <v>8000</v>
      </c>
      <c r="C30" s="267">
        <f>B30/'- 3 -'!$D30*100</f>
        <v>5.2362555981299498E-2</v>
      </c>
      <c r="D30" s="16">
        <v>243563</v>
      </c>
      <c r="E30" s="267">
        <f>D30/'- 3 -'!$D30*100</f>
        <v>1.5941976528091564</v>
      </c>
    </row>
    <row r="31" spans="1:5" ht="14.1" customHeight="1" x14ac:dyDescent="0.2">
      <c r="A31" s="271" t="s">
        <v>127</v>
      </c>
      <c r="B31" s="272">
        <v>35000</v>
      </c>
      <c r="C31" s="273">
        <f>B31/'- 3 -'!$D31*100</f>
        <v>8.9946680122004699E-2</v>
      </c>
      <c r="D31" s="272">
        <v>632680</v>
      </c>
      <c r="E31" s="273">
        <f>D31/'- 3 -'!$D31*100</f>
        <v>1.625927587988284</v>
      </c>
    </row>
    <row r="32" spans="1:5" ht="14.1" customHeight="1" x14ac:dyDescent="0.2">
      <c r="A32" s="15" t="s">
        <v>128</v>
      </c>
      <c r="B32" s="16">
        <v>50000</v>
      </c>
      <c r="C32" s="267">
        <f>B32/'- 3 -'!$D32*100</f>
        <v>0.16113704486519403</v>
      </c>
      <c r="D32" s="16">
        <v>508200</v>
      </c>
      <c r="E32" s="267">
        <f>D32/'- 3 -'!$D32*100</f>
        <v>1.6377969240098322</v>
      </c>
    </row>
    <row r="33" spans="1:5" ht="14.1" customHeight="1" x14ac:dyDescent="0.2">
      <c r="A33" s="271" t="s">
        <v>129</v>
      </c>
      <c r="B33" s="272">
        <v>27000</v>
      </c>
      <c r="C33" s="273">
        <f>B33/'- 3 -'!$D33*100</f>
        <v>9.466333685457573E-2</v>
      </c>
      <c r="D33" s="272">
        <v>429056</v>
      </c>
      <c r="E33" s="273">
        <f>D33/'- 3 -'!$D33*100</f>
        <v>1.5042915799065497</v>
      </c>
    </row>
    <row r="34" spans="1:5" ht="14.1" customHeight="1" x14ac:dyDescent="0.2">
      <c r="A34" s="15" t="s">
        <v>130</v>
      </c>
      <c r="B34" s="16">
        <v>115000</v>
      </c>
      <c r="C34" s="267">
        <f>B34/'- 3 -'!$D34*100</f>
        <v>0.36920229990559655</v>
      </c>
      <c r="D34" s="16">
        <v>510740</v>
      </c>
      <c r="E34" s="267">
        <f>D34/'- 3 -'!$D34*100</f>
        <v>1.639707675250299</v>
      </c>
    </row>
    <row r="35" spans="1:5" ht="14.1" customHeight="1" x14ac:dyDescent="0.2">
      <c r="A35" s="271" t="s">
        <v>131</v>
      </c>
      <c r="B35" s="272">
        <v>59000</v>
      </c>
      <c r="C35" s="273">
        <f>B35/'- 3 -'!$D35*100</f>
        <v>3.0905019608475411E-2</v>
      </c>
      <c r="D35" s="272">
        <v>3350000</v>
      </c>
      <c r="E35" s="273">
        <f>D35/'- 3 -'!$D35*100</f>
        <v>1.7547765370914004</v>
      </c>
    </row>
    <row r="36" spans="1:5" ht="14.1" customHeight="1" x14ac:dyDescent="0.2">
      <c r="A36" s="15" t="s">
        <v>132</v>
      </c>
      <c r="B36" s="16">
        <v>50000</v>
      </c>
      <c r="C36" s="267">
        <f>B36/'- 3 -'!$D36*100</f>
        <v>0.20740863649562369</v>
      </c>
      <c r="D36" s="16">
        <v>395000</v>
      </c>
      <c r="E36" s="267">
        <f>D36/'- 3 -'!$D36*100</f>
        <v>1.6385282283154272</v>
      </c>
    </row>
    <row r="37" spans="1:5" ht="14.1" customHeight="1" x14ac:dyDescent="0.2">
      <c r="A37" s="271" t="s">
        <v>133</v>
      </c>
      <c r="B37" s="272">
        <v>50000</v>
      </c>
      <c r="C37" s="273">
        <f>B37/'- 3 -'!$D37*100</f>
        <v>9.4254971007170923E-2</v>
      </c>
      <c r="D37" s="272">
        <v>850000</v>
      </c>
      <c r="E37" s="273">
        <f>D37/'- 3 -'!$D37*100</f>
        <v>1.6023345071219057</v>
      </c>
    </row>
    <row r="38" spans="1:5" ht="14.1" customHeight="1" x14ac:dyDescent="0.2">
      <c r="A38" s="15" t="s">
        <v>134</v>
      </c>
      <c r="B38" s="16">
        <v>250000</v>
      </c>
      <c r="C38" s="267">
        <f>B38/'- 3 -'!$D38*100</f>
        <v>0.17270932854205417</v>
      </c>
      <c r="D38" s="16">
        <v>2372120</v>
      </c>
      <c r="E38" s="267">
        <f>D38/'- 3 -'!$D38*100</f>
        <v>1.6387490096847102</v>
      </c>
    </row>
    <row r="39" spans="1:5" ht="14.1" customHeight="1" x14ac:dyDescent="0.2">
      <c r="A39" s="271" t="s">
        <v>135</v>
      </c>
      <c r="B39" s="272">
        <v>66200</v>
      </c>
      <c r="C39" s="273">
        <f>B39/'- 3 -'!$D39*100</f>
        <v>0.28409300604216897</v>
      </c>
      <c r="D39" s="272">
        <v>370000</v>
      </c>
      <c r="E39" s="273">
        <f>D39/'- 3 -'!$D39*100</f>
        <v>1.5878310005378027</v>
      </c>
    </row>
    <row r="40" spans="1:5" ht="14.1" customHeight="1" x14ac:dyDescent="0.2">
      <c r="A40" s="15" t="s">
        <v>136</v>
      </c>
      <c r="B40" s="16">
        <v>75197</v>
      </c>
      <c r="C40" s="267">
        <f>B40/'- 3 -'!$D40*100</f>
        <v>6.9404947526012714E-2</v>
      </c>
      <c r="D40" s="16">
        <v>1790282</v>
      </c>
      <c r="E40" s="267">
        <f>D40/'- 3 -'!$D40*100</f>
        <v>1.6523854444560966</v>
      </c>
    </row>
    <row r="41" spans="1:5" ht="14.1" customHeight="1" x14ac:dyDescent="0.2">
      <c r="A41" s="271" t="s">
        <v>137</v>
      </c>
      <c r="B41" s="272">
        <v>143000</v>
      </c>
      <c r="C41" s="273">
        <f>B41/'- 3 -'!$D41*100</f>
        <v>0.21997030739266057</v>
      </c>
      <c r="D41" s="272">
        <v>1030246</v>
      </c>
      <c r="E41" s="273">
        <f>D41/'- 3 -'!$D41*100</f>
        <v>1.5847799252451678</v>
      </c>
    </row>
    <row r="42" spans="1:5" ht="14.1" customHeight="1" x14ac:dyDescent="0.2">
      <c r="A42" s="15" t="s">
        <v>138</v>
      </c>
      <c r="B42" s="16">
        <v>5000</v>
      </c>
      <c r="C42" s="267">
        <f>B42/'- 3 -'!$D42*100</f>
        <v>2.3481948393064521E-2</v>
      </c>
      <c r="D42" s="16">
        <v>339000</v>
      </c>
      <c r="E42" s="267">
        <f>D42/'- 3 -'!$D42*100</f>
        <v>1.5920761010497748</v>
      </c>
    </row>
    <row r="43" spans="1:5" ht="14.1" customHeight="1" x14ac:dyDescent="0.2">
      <c r="A43" s="271" t="s">
        <v>139</v>
      </c>
      <c r="B43" s="272">
        <v>26000</v>
      </c>
      <c r="C43" s="273">
        <f>B43/'- 3 -'!$D43*100</f>
        <v>0.18868120329550589</v>
      </c>
      <c r="D43" s="272">
        <v>213301</v>
      </c>
      <c r="E43" s="273">
        <f>D43/'- 3 -'!$D43*100</f>
        <v>1.5479188209282579</v>
      </c>
    </row>
    <row r="44" spans="1:5" ht="14.1" customHeight="1" x14ac:dyDescent="0.2">
      <c r="A44" s="15" t="s">
        <v>140</v>
      </c>
      <c r="B44" s="16">
        <v>3000</v>
      </c>
      <c r="C44" s="267">
        <f>B44/'- 3 -'!$D44*100</f>
        <v>2.6589672429416827E-2</v>
      </c>
      <c r="D44" s="16">
        <v>179535</v>
      </c>
      <c r="E44" s="267">
        <f>D44/'- 3 -'!$D44*100</f>
        <v>1.5912589465384499</v>
      </c>
    </row>
    <row r="45" spans="1:5" ht="14.1" customHeight="1" x14ac:dyDescent="0.2">
      <c r="A45" s="271" t="s">
        <v>141</v>
      </c>
      <c r="B45" s="272">
        <v>25000</v>
      </c>
      <c r="C45" s="273">
        <f>B45/'- 3 -'!$D45*100</f>
        <v>0.12065605620525893</v>
      </c>
      <c r="D45" s="272">
        <v>349359</v>
      </c>
      <c r="E45" s="273">
        <f>D45/'- 3 -'!$D45*100</f>
        <v>1.6860911655925219</v>
      </c>
    </row>
    <row r="46" spans="1:5" ht="14.1" customHeight="1" x14ac:dyDescent="0.2">
      <c r="A46" s="15" t="s">
        <v>142</v>
      </c>
      <c r="B46" s="16">
        <v>452300</v>
      </c>
      <c r="C46" s="267">
        <f>B46/'- 3 -'!$D46*100</f>
        <v>0.11127127866394759</v>
      </c>
      <c r="D46" s="16">
        <v>6789200</v>
      </c>
      <c r="E46" s="267">
        <f>D46/'- 3 -'!$D46*100</f>
        <v>1.6702254368898364</v>
      </c>
    </row>
    <row r="47" spans="1:5" ht="5.0999999999999996" customHeight="1" x14ac:dyDescent="0.2">
      <c r="A47"/>
      <c r="B47" s="507"/>
      <c r="C47"/>
      <c r="D47"/>
      <c r="E47"/>
    </row>
    <row r="48" spans="1:5" ht="14.1" customHeight="1" x14ac:dyDescent="0.2">
      <c r="A48" s="274" t="s">
        <v>143</v>
      </c>
      <c r="B48" s="275">
        <f>SUM(B11:B46)</f>
        <v>2397430</v>
      </c>
      <c r="C48" s="276">
        <f>B48/'- 3 -'!$D48*100</f>
        <v>9.9422984815164192E-2</v>
      </c>
      <c r="D48" s="275">
        <f>SUM(D11:D46)</f>
        <v>38547780</v>
      </c>
      <c r="E48" s="276">
        <f>D48/'- 3 -'!$D48*100</f>
        <v>1.5986015631731854</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48447</v>
      </c>
      <c r="E50" s="267">
        <f>D50/'- 3 -'!$D50*100</f>
        <v>1.3484161183139329</v>
      </c>
    </row>
    <row r="51" spans="1:5" ht="14.1" customHeight="1" x14ac:dyDescent="0.2">
      <c r="A51" s="360" t="s">
        <v>514</v>
      </c>
      <c r="B51" s="272">
        <v>183600</v>
      </c>
      <c r="C51" s="273">
        <f>B51/'- 3 -'!$D51*100</f>
        <v>0.55882483641589964</v>
      </c>
      <c r="D51" s="272">
        <v>415186</v>
      </c>
      <c r="E51" s="273">
        <f>D51/'- 3 -'!$D51*100</f>
        <v>1.2637050573647697</v>
      </c>
    </row>
    <row r="52" spans="1:5" ht="50.1" customHeight="1" x14ac:dyDescent="0.2"/>
    <row r="53" spans="1:5" ht="15" customHeight="1" x14ac:dyDescent="0.2">
      <c r="C53" s="90"/>
    </row>
    <row r="54" spans="1:5" ht="14.45" customHeight="1" x14ac:dyDescent="0.2">
      <c r="C54" s="90"/>
    </row>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59"/>
  <sheetViews>
    <sheetView showGridLines="0" showZeros="0" workbookViewId="0"/>
  </sheetViews>
  <sheetFormatPr defaultColWidth="15.83203125" defaultRowHeight="12" x14ac:dyDescent="0.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4" ht="6.95" customHeight="1" x14ac:dyDescent="0.2">
      <c r="A1" s="3"/>
      <c r="B1" s="4"/>
      <c r="C1" s="4"/>
      <c r="D1" s="4"/>
      <c r="E1" s="4"/>
    </row>
    <row r="2" spans="1:54" ht="15.95" customHeight="1" x14ac:dyDescent="0.2">
      <c r="A2" s="537" t="str">
        <f>IF(Lang=1,BA2,BB2)</f>
        <v>OPERATING FUND EXPENSE PER PUPIL</v>
      </c>
      <c r="B2" s="537"/>
      <c r="C2" s="537"/>
      <c r="D2" s="537"/>
      <c r="E2" s="537"/>
      <c r="BA2" s="459" t="s">
        <v>252</v>
      </c>
      <c r="BB2" s="460" t="s">
        <v>370</v>
      </c>
    </row>
    <row r="3" spans="1:54" ht="15.95" customHeight="1" x14ac:dyDescent="0.2">
      <c r="A3" s="538"/>
      <c r="B3" s="538"/>
      <c r="C3" s="538"/>
      <c r="D3" s="538"/>
      <c r="E3" s="538"/>
    </row>
    <row r="4" spans="1:54" ht="15.95" customHeight="1" x14ac:dyDescent="0.2">
      <c r="B4" s="4"/>
      <c r="C4" s="22"/>
      <c r="D4" s="23"/>
      <c r="E4" s="22"/>
    </row>
    <row r="5" spans="1:54" ht="15.95" customHeight="1" x14ac:dyDescent="0.2">
      <c r="B5" s="4"/>
      <c r="C5" s="4"/>
      <c r="D5" s="4"/>
      <c r="E5" s="4"/>
    </row>
    <row r="6" spans="1:54" ht="15.95" customHeight="1" x14ac:dyDescent="0.2">
      <c r="B6" s="4"/>
      <c r="C6" s="4"/>
      <c r="D6" s="4"/>
      <c r="E6" s="4"/>
    </row>
    <row r="7" spans="1:54" ht="15.95" customHeight="1" x14ac:dyDescent="0.2">
      <c r="B7" s="283" t="s">
        <v>571</v>
      </c>
      <c r="C7" s="294"/>
      <c r="D7" s="283" t="s">
        <v>579</v>
      </c>
      <c r="E7" s="297"/>
    </row>
    <row r="8" spans="1:54" ht="15.95" customHeight="1" x14ac:dyDescent="0.2">
      <c r="A8" s="24"/>
      <c r="B8" s="25"/>
      <c r="C8" s="26"/>
      <c r="D8" s="25"/>
      <c r="E8" s="26"/>
    </row>
    <row r="9" spans="1:54" ht="15.95" customHeight="1" x14ac:dyDescent="0.2">
      <c r="A9" s="27" t="s">
        <v>37</v>
      </c>
      <c r="B9" s="28" t="s">
        <v>253</v>
      </c>
      <c r="C9" s="28" t="s">
        <v>40</v>
      </c>
      <c r="D9" s="28" t="s">
        <v>253</v>
      </c>
      <c r="E9" s="28" t="s">
        <v>40</v>
      </c>
    </row>
    <row r="10" spans="1:54" ht="5.0999999999999996" customHeight="1" x14ac:dyDescent="0.2">
      <c r="A10" s="29"/>
    </row>
    <row r="11" spans="1:54" ht="14.1" customHeight="1" x14ac:dyDescent="0.2">
      <c r="A11" s="271" t="s">
        <v>108</v>
      </c>
      <c r="B11" s="272">
        <v>20147114</v>
      </c>
      <c r="C11" s="272">
        <v>11218</v>
      </c>
      <c r="D11" s="272">
        <f>'- 3 -'!F11</f>
        <v>20330482</v>
      </c>
      <c r="E11" s="272">
        <f>ROUND(D11/'- 7 -'!E11,0)</f>
        <v>11273</v>
      </c>
      <c r="F11" s="1" t="str">
        <f>IF(B11=D11,"Check","")</f>
        <v/>
      </c>
    </row>
    <row r="12" spans="1:54" ht="14.1" customHeight="1" x14ac:dyDescent="0.2">
      <c r="A12" s="15" t="s">
        <v>109</v>
      </c>
      <c r="B12" s="30">
        <v>34280089</v>
      </c>
      <c r="C12" s="30">
        <v>15944</v>
      </c>
      <c r="D12" s="16">
        <f>'- 3 -'!F12</f>
        <v>34148587</v>
      </c>
      <c r="E12" s="16">
        <f>ROUND(D12/'- 7 -'!E12,0)</f>
        <v>16028</v>
      </c>
      <c r="F12" s="1" t="str">
        <f t="shared" ref="F12:F51" si="0">IF(B12=D12,"Check","")</f>
        <v/>
      </c>
      <c r="G12" s="79"/>
    </row>
    <row r="13" spans="1:54" ht="14.1" customHeight="1" x14ac:dyDescent="0.2">
      <c r="A13" s="271" t="s">
        <v>110</v>
      </c>
      <c r="B13" s="272">
        <v>101481400</v>
      </c>
      <c r="C13" s="272">
        <v>11897</v>
      </c>
      <c r="D13" s="272">
        <f>'- 3 -'!F13</f>
        <v>103749900</v>
      </c>
      <c r="E13" s="272">
        <f>ROUND(D13/'- 7 -'!E13,0)</f>
        <v>12072</v>
      </c>
      <c r="F13" s="1" t="str">
        <f t="shared" si="0"/>
        <v/>
      </c>
      <c r="G13" s="79"/>
    </row>
    <row r="14" spans="1:54" ht="14.1" customHeight="1" x14ac:dyDescent="0.2">
      <c r="A14" s="15" t="s">
        <v>319</v>
      </c>
      <c r="B14" s="16">
        <v>88470031</v>
      </c>
      <c r="C14" s="16">
        <v>15883</v>
      </c>
      <c r="D14" s="16">
        <f>'- 3 -'!F14</f>
        <v>91415155</v>
      </c>
      <c r="E14" s="16">
        <f>ROUND(D14/'- 7 -'!E14,0)</f>
        <v>15788</v>
      </c>
      <c r="F14" s="1" t="str">
        <f t="shared" si="0"/>
        <v/>
      </c>
    </row>
    <row r="15" spans="1:54" ht="14.1" customHeight="1" x14ac:dyDescent="0.2">
      <c r="A15" s="271" t="s">
        <v>111</v>
      </c>
      <c r="B15" s="272">
        <v>20637536</v>
      </c>
      <c r="C15" s="272">
        <v>14976</v>
      </c>
      <c r="D15" s="272">
        <f>'- 3 -'!F15</f>
        <v>20701807</v>
      </c>
      <c r="E15" s="272">
        <f>ROUND(D15/'- 7 -'!E15,0)</f>
        <v>15346</v>
      </c>
      <c r="F15" s="1" t="str">
        <f t="shared" si="0"/>
        <v/>
      </c>
    </row>
    <row r="16" spans="1:54" ht="14.1" customHeight="1" x14ac:dyDescent="0.2">
      <c r="A16" s="15" t="s">
        <v>112</v>
      </c>
      <c r="B16" s="30">
        <v>14687106</v>
      </c>
      <c r="C16" s="30">
        <v>15835</v>
      </c>
      <c r="D16" s="16">
        <f>'- 3 -'!F16</f>
        <v>14763971</v>
      </c>
      <c r="E16" s="16">
        <f>ROUND(D16/'- 7 -'!E16,0)</f>
        <v>15996</v>
      </c>
      <c r="F16" s="1" t="str">
        <f t="shared" si="0"/>
        <v/>
      </c>
    </row>
    <row r="17" spans="1:6" ht="14.1" customHeight="1" x14ac:dyDescent="0.2">
      <c r="A17" s="271" t="s">
        <v>113</v>
      </c>
      <c r="B17" s="272">
        <v>18330496</v>
      </c>
      <c r="C17" s="272">
        <v>13014</v>
      </c>
      <c r="D17" s="272">
        <f>'- 3 -'!F17</f>
        <v>18413242</v>
      </c>
      <c r="E17" s="272">
        <f>ROUND(D17/'- 7 -'!E17,0)</f>
        <v>13209</v>
      </c>
      <c r="F17" s="1" t="str">
        <f t="shared" si="0"/>
        <v/>
      </c>
    </row>
    <row r="18" spans="1:6" ht="14.1" customHeight="1" x14ac:dyDescent="0.2">
      <c r="A18" s="15" t="s">
        <v>114</v>
      </c>
      <c r="B18" s="16">
        <v>127668087</v>
      </c>
      <c r="C18" s="16">
        <v>20879</v>
      </c>
      <c r="D18" s="16">
        <f>'- 3 -'!F18</f>
        <v>130156756</v>
      </c>
      <c r="E18" s="16">
        <f>ROUND(D18/'- 7 -'!E18,0)</f>
        <v>21215</v>
      </c>
      <c r="F18" s="1" t="str">
        <f t="shared" si="0"/>
        <v/>
      </c>
    </row>
    <row r="19" spans="1:6" ht="14.1" customHeight="1" x14ac:dyDescent="0.2">
      <c r="A19" s="271" t="s">
        <v>115</v>
      </c>
      <c r="B19" s="272">
        <v>48664417</v>
      </c>
      <c r="C19" s="272">
        <v>11217</v>
      </c>
      <c r="D19" s="272">
        <f>'- 3 -'!F19</f>
        <v>50237300</v>
      </c>
      <c r="E19" s="272">
        <f>ROUND(D19/'- 7 -'!E19,0)</f>
        <v>11518</v>
      </c>
      <c r="F19" s="1" t="str">
        <f t="shared" si="0"/>
        <v/>
      </c>
    </row>
    <row r="20" spans="1:6" ht="14.1" customHeight="1" x14ac:dyDescent="0.2">
      <c r="A20" s="15" t="s">
        <v>116</v>
      </c>
      <c r="B20" s="30">
        <v>84740600</v>
      </c>
      <c r="C20" s="30">
        <v>10941</v>
      </c>
      <c r="D20" s="16">
        <f>'- 3 -'!F20</f>
        <v>87089800</v>
      </c>
      <c r="E20" s="16">
        <f>ROUND(D20/'- 7 -'!E20,0)</f>
        <v>11074</v>
      </c>
      <c r="F20" s="1" t="str">
        <f t="shared" si="0"/>
        <v/>
      </c>
    </row>
    <row r="21" spans="1:6" ht="14.1" customHeight="1" x14ac:dyDescent="0.2">
      <c r="A21" s="271" t="s">
        <v>117</v>
      </c>
      <c r="B21" s="272">
        <v>36874400</v>
      </c>
      <c r="C21" s="272">
        <v>13382</v>
      </c>
      <c r="D21" s="272">
        <f>'- 3 -'!F21</f>
        <v>37266620</v>
      </c>
      <c r="E21" s="272">
        <f>ROUND(D21/'- 7 -'!E21,0)</f>
        <v>13283</v>
      </c>
      <c r="F21" s="1" t="str">
        <f t="shared" si="0"/>
        <v/>
      </c>
    </row>
    <row r="22" spans="1:6" ht="14.1" customHeight="1" x14ac:dyDescent="0.2">
      <c r="A22" s="15" t="s">
        <v>118</v>
      </c>
      <c r="B22" s="16">
        <v>20579595</v>
      </c>
      <c r="C22" s="16">
        <v>13546</v>
      </c>
      <c r="D22" s="16">
        <f>'- 3 -'!F22</f>
        <v>20180285</v>
      </c>
      <c r="E22" s="16">
        <f>ROUND(D22/'- 7 -'!E22,0)</f>
        <v>13849</v>
      </c>
      <c r="F22" s="1" t="str">
        <f t="shared" si="0"/>
        <v/>
      </c>
    </row>
    <row r="23" spans="1:6" ht="14.1" customHeight="1" x14ac:dyDescent="0.2">
      <c r="A23" s="271" t="s">
        <v>119</v>
      </c>
      <c r="B23" s="272">
        <v>16306021</v>
      </c>
      <c r="C23" s="272">
        <v>14757</v>
      </c>
      <c r="D23" s="272">
        <f>'- 3 -'!F23</f>
        <v>16415122</v>
      </c>
      <c r="E23" s="272">
        <f>ROUND(D23/'- 7 -'!E23,0)</f>
        <v>15784</v>
      </c>
      <c r="F23" s="1" t="str">
        <f t="shared" si="0"/>
        <v/>
      </c>
    </row>
    <row r="24" spans="1:6" ht="14.1" customHeight="1" x14ac:dyDescent="0.2">
      <c r="A24" s="15" t="s">
        <v>120</v>
      </c>
      <c r="B24" s="30">
        <v>57647663</v>
      </c>
      <c r="C24" s="30">
        <v>14802</v>
      </c>
      <c r="D24" s="16">
        <f>'- 3 -'!F24</f>
        <v>57640123</v>
      </c>
      <c r="E24" s="16">
        <f>ROUND(D24/'- 7 -'!E24,0)</f>
        <v>15265</v>
      </c>
      <c r="F24" s="1" t="str">
        <f t="shared" si="0"/>
        <v/>
      </c>
    </row>
    <row r="25" spans="1:6" ht="14.1" customHeight="1" x14ac:dyDescent="0.2">
      <c r="A25" s="271" t="s">
        <v>121</v>
      </c>
      <c r="B25" s="272">
        <v>179323177</v>
      </c>
      <c r="C25" s="272">
        <v>12391</v>
      </c>
      <c r="D25" s="272">
        <f>'- 3 -'!F25</f>
        <v>185014568</v>
      </c>
      <c r="E25" s="272">
        <f>ROUND(D25/'- 7 -'!E25,0)</f>
        <v>12430</v>
      </c>
      <c r="F25" s="1" t="str">
        <f t="shared" si="0"/>
        <v/>
      </c>
    </row>
    <row r="26" spans="1:6" ht="14.1" customHeight="1" x14ac:dyDescent="0.2">
      <c r="A26" s="15" t="s">
        <v>122</v>
      </c>
      <c r="B26" s="16">
        <v>41069207</v>
      </c>
      <c r="C26" s="16">
        <v>13465</v>
      </c>
      <c r="D26" s="16">
        <f>'- 3 -'!F26</f>
        <v>40923091</v>
      </c>
      <c r="E26" s="16">
        <f>ROUND(D26/'- 7 -'!E26,0)</f>
        <v>14417</v>
      </c>
      <c r="F26" s="1" t="str">
        <f t="shared" si="0"/>
        <v/>
      </c>
    </row>
    <row r="27" spans="1:6" ht="14.1" customHeight="1" x14ac:dyDescent="0.2">
      <c r="A27" s="271" t="s">
        <v>123</v>
      </c>
      <c r="B27" s="272">
        <v>43988050</v>
      </c>
      <c r="C27" s="272">
        <v>14709</v>
      </c>
      <c r="D27" s="272">
        <f>'- 3 -'!F27</f>
        <v>42666917</v>
      </c>
      <c r="E27" s="272">
        <f>ROUND(D27/'- 7 -'!E27,0)</f>
        <v>14003</v>
      </c>
      <c r="F27" s="1" t="str">
        <f t="shared" si="0"/>
        <v/>
      </c>
    </row>
    <row r="28" spans="1:6" ht="14.1" customHeight="1" x14ac:dyDescent="0.2">
      <c r="A28" s="15" t="s">
        <v>124</v>
      </c>
      <c r="B28" s="30">
        <v>28673276</v>
      </c>
      <c r="C28" s="30">
        <v>14637</v>
      </c>
      <c r="D28" s="16">
        <f>'- 3 -'!F28</f>
        <v>28567416</v>
      </c>
      <c r="E28" s="16">
        <f>ROUND(D28/'- 7 -'!E28,0)</f>
        <v>14598</v>
      </c>
      <c r="F28" s="1" t="str">
        <f t="shared" si="0"/>
        <v/>
      </c>
    </row>
    <row r="29" spans="1:6" ht="14.1" customHeight="1" x14ac:dyDescent="0.2">
      <c r="A29" s="271" t="s">
        <v>125</v>
      </c>
      <c r="B29" s="272">
        <v>163789575</v>
      </c>
      <c r="C29" s="272">
        <v>12538</v>
      </c>
      <c r="D29" s="272">
        <f>'- 3 -'!F29</f>
        <v>169251624</v>
      </c>
      <c r="E29" s="272">
        <f>ROUND(D29/'- 7 -'!E29,0)</f>
        <v>12527</v>
      </c>
      <c r="F29" s="1" t="str">
        <f t="shared" si="0"/>
        <v/>
      </c>
    </row>
    <row r="30" spans="1:6" ht="14.1" customHeight="1" x14ac:dyDescent="0.2">
      <c r="A30" s="15" t="s">
        <v>126</v>
      </c>
      <c r="B30" s="16">
        <v>15133221</v>
      </c>
      <c r="C30" s="16">
        <v>14902</v>
      </c>
      <c r="D30" s="16">
        <f>'- 3 -'!F30</f>
        <v>15262793</v>
      </c>
      <c r="E30" s="16">
        <f>ROUND(D30/'- 7 -'!E30,0)</f>
        <v>15112</v>
      </c>
      <c r="F30" s="1" t="str">
        <f t="shared" si="0"/>
        <v/>
      </c>
    </row>
    <row r="31" spans="1:6" ht="14.1" customHeight="1" x14ac:dyDescent="0.2">
      <c r="A31" s="271" t="s">
        <v>127</v>
      </c>
      <c r="B31" s="272">
        <v>38240650</v>
      </c>
      <c r="C31" s="272">
        <v>11643</v>
      </c>
      <c r="D31" s="272">
        <f>'- 3 -'!F31</f>
        <v>38850998</v>
      </c>
      <c r="E31" s="272">
        <f>ROUND(D31/'- 7 -'!E31,0)</f>
        <v>11966</v>
      </c>
      <c r="F31" s="1" t="str">
        <f t="shared" si="0"/>
        <v/>
      </c>
    </row>
    <row r="32" spans="1:6" ht="14.1" customHeight="1" x14ac:dyDescent="0.2">
      <c r="A32" s="15" t="s">
        <v>128</v>
      </c>
      <c r="B32" s="30">
        <v>30999631</v>
      </c>
      <c r="C32" s="30">
        <v>14008</v>
      </c>
      <c r="D32" s="16">
        <f>'- 3 -'!F32</f>
        <v>30714026</v>
      </c>
      <c r="E32" s="16">
        <f>ROUND(D32/'- 7 -'!E32,0)</f>
        <v>13569</v>
      </c>
      <c r="F32" s="1" t="str">
        <f t="shared" si="0"/>
        <v/>
      </c>
    </row>
    <row r="33" spans="1:6" ht="14.1" customHeight="1" x14ac:dyDescent="0.2">
      <c r="A33" s="271" t="s">
        <v>129</v>
      </c>
      <c r="B33" s="272">
        <v>28343000</v>
      </c>
      <c r="C33" s="272">
        <v>14286</v>
      </c>
      <c r="D33" s="272">
        <f>'- 3 -'!F33</f>
        <v>28493736</v>
      </c>
      <c r="E33" s="272">
        <f>ROUND(D33/'- 7 -'!E33,0)</f>
        <v>13882</v>
      </c>
      <c r="F33" s="1" t="str">
        <f t="shared" si="0"/>
        <v/>
      </c>
    </row>
    <row r="34" spans="1:6" ht="14.1" customHeight="1" x14ac:dyDescent="0.2">
      <c r="A34" s="15" t="s">
        <v>130</v>
      </c>
      <c r="B34" s="16">
        <v>30685815</v>
      </c>
      <c r="C34" s="16">
        <v>14932</v>
      </c>
      <c r="D34" s="16">
        <f>'- 3 -'!F34</f>
        <v>31086178</v>
      </c>
      <c r="E34" s="16">
        <f>ROUND(D34/'- 7 -'!E34,0)</f>
        <v>14330</v>
      </c>
      <c r="F34" s="1" t="str">
        <f t="shared" si="0"/>
        <v/>
      </c>
    </row>
    <row r="35" spans="1:6" ht="14.1" customHeight="1" x14ac:dyDescent="0.2">
      <c r="A35" s="271" t="s">
        <v>131</v>
      </c>
      <c r="B35" s="272">
        <v>184640269</v>
      </c>
      <c r="C35" s="272">
        <v>11759</v>
      </c>
      <c r="D35" s="272">
        <f>'- 3 -'!F35</f>
        <v>190309709</v>
      </c>
      <c r="E35" s="272">
        <f>ROUND(D35/'- 7 -'!E35,0)</f>
        <v>11788</v>
      </c>
      <c r="F35" s="1" t="str">
        <f t="shared" si="0"/>
        <v/>
      </c>
    </row>
    <row r="36" spans="1:6" ht="14.1" customHeight="1" x14ac:dyDescent="0.2">
      <c r="A36" s="15" t="s">
        <v>132</v>
      </c>
      <c r="B36" s="30">
        <v>23932330</v>
      </c>
      <c r="C36" s="30">
        <v>14233</v>
      </c>
      <c r="D36" s="16">
        <f>'- 3 -'!F36</f>
        <v>24074930</v>
      </c>
      <c r="E36" s="16">
        <f>ROUND(D36/'- 7 -'!E36,0)</f>
        <v>14141</v>
      </c>
      <c r="F36" s="1" t="str">
        <f t="shared" si="0"/>
        <v/>
      </c>
    </row>
    <row r="37" spans="1:6" ht="14.1" customHeight="1" x14ac:dyDescent="0.2">
      <c r="A37" s="271" t="s">
        <v>133</v>
      </c>
      <c r="B37" s="272">
        <v>51761576</v>
      </c>
      <c r="C37" s="272">
        <v>12169</v>
      </c>
      <c r="D37" s="272">
        <f>'- 3 -'!F37</f>
        <v>52682176</v>
      </c>
      <c r="E37" s="272">
        <f>ROUND(D37/'- 7 -'!E37,0)</f>
        <v>12352</v>
      </c>
      <c r="F37" s="1" t="str">
        <f t="shared" si="0"/>
        <v/>
      </c>
    </row>
    <row r="38" spans="1:6" ht="14.1" customHeight="1" x14ac:dyDescent="0.2">
      <c r="A38" s="15" t="s">
        <v>134</v>
      </c>
      <c r="B38" s="16">
        <v>138251060</v>
      </c>
      <c r="C38" s="16">
        <v>12245</v>
      </c>
      <c r="D38" s="16">
        <f>'- 3 -'!F38</f>
        <v>141822090</v>
      </c>
      <c r="E38" s="16">
        <f>ROUND(D38/'- 7 -'!E38,0)</f>
        <v>12625</v>
      </c>
      <c r="F38" s="1" t="str">
        <f t="shared" si="0"/>
        <v/>
      </c>
    </row>
    <row r="39" spans="1:6" ht="14.1" customHeight="1" x14ac:dyDescent="0.2">
      <c r="A39" s="271" t="s">
        <v>135</v>
      </c>
      <c r="B39" s="272">
        <v>23116650</v>
      </c>
      <c r="C39" s="272">
        <v>15329</v>
      </c>
      <c r="D39" s="272">
        <f>'- 3 -'!F39</f>
        <v>23142828</v>
      </c>
      <c r="E39" s="272">
        <f>ROUND(D39/'- 7 -'!E39,0)</f>
        <v>15296</v>
      </c>
      <c r="F39" s="1" t="str">
        <f t="shared" si="0"/>
        <v/>
      </c>
    </row>
    <row r="40" spans="1:6" ht="14.1" customHeight="1" x14ac:dyDescent="0.2">
      <c r="A40" s="15" t="s">
        <v>136</v>
      </c>
      <c r="B40" s="30">
        <v>106758712</v>
      </c>
      <c r="C40" s="30">
        <v>12988</v>
      </c>
      <c r="D40" s="16">
        <f>'- 3 -'!F40</f>
        <v>107407529</v>
      </c>
      <c r="E40" s="16">
        <f>ROUND(D40/'- 7 -'!E40,0)</f>
        <v>12861</v>
      </c>
      <c r="F40" s="1" t="str">
        <f t="shared" si="0"/>
        <v/>
      </c>
    </row>
    <row r="41" spans="1:6" ht="14.1" customHeight="1" x14ac:dyDescent="0.2">
      <c r="A41" s="271" t="s">
        <v>137</v>
      </c>
      <c r="B41" s="272">
        <v>63285230</v>
      </c>
      <c r="C41" s="272">
        <v>14292</v>
      </c>
      <c r="D41" s="272">
        <f>'- 3 -'!F41</f>
        <v>63714740</v>
      </c>
      <c r="E41" s="272">
        <f>ROUND(D41/'- 7 -'!E41,0)</f>
        <v>14617</v>
      </c>
      <c r="F41" s="1" t="str">
        <f t="shared" si="0"/>
        <v/>
      </c>
    </row>
    <row r="42" spans="1:6" ht="14.1" customHeight="1" x14ac:dyDescent="0.2">
      <c r="A42" s="15" t="s">
        <v>138</v>
      </c>
      <c r="B42" s="16">
        <v>21388260</v>
      </c>
      <c r="C42" s="16">
        <v>15421</v>
      </c>
      <c r="D42" s="16">
        <f>'- 3 -'!F42</f>
        <v>21227467</v>
      </c>
      <c r="E42" s="16">
        <f>ROUND(D42/'- 7 -'!E42,0)</f>
        <v>15098</v>
      </c>
      <c r="F42" s="1" t="str">
        <f t="shared" si="0"/>
        <v/>
      </c>
    </row>
    <row r="43" spans="1:6" ht="14.1" customHeight="1" x14ac:dyDescent="0.2">
      <c r="A43" s="271" t="s">
        <v>139</v>
      </c>
      <c r="B43" s="272">
        <v>13422198</v>
      </c>
      <c r="C43" s="272">
        <v>14092</v>
      </c>
      <c r="D43" s="272">
        <f>'- 3 -'!F43</f>
        <v>13531828</v>
      </c>
      <c r="E43" s="272">
        <f>ROUND(D43/'- 7 -'!E43,0)</f>
        <v>14252</v>
      </c>
      <c r="F43" s="1" t="str">
        <f t="shared" si="0"/>
        <v/>
      </c>
    </row>
    <row r="44" spans="1:6" ht="14.1" customHeight="1" x14ac:dyDescent="0.2">
      <c r="A44" s="15" t="s">
        <v>140</v>
      </c>
      <c r="B44" s="30">
        <v>11240524</v>
      </c>
      <c r="C44" s="30">
        <v>15699</v>
      </c>
      <c r="D44" s="16">
        <f>'- 3 -'!F44</f>
        <v>11264076</v>
      </c>
      <c r="E44" s="16">
        <f>ROUND(D44/'- 7 -'!E44,0)</f>
        <v>16219</v>
      </c>
      <c r="F44" s="1" t="str">
        <f t="shared" si="0"/>
        <v/>
      </c>
    </row>
    <row r="45" spans="1:6" ht="14.1" customHeight="1" x14ac:dyDescent="0.2">
      <c r="A45" s="271" t="s">
        <v>141</v>
      </c>
      <c r="B45" s="272">
        <v>19765141</v>
      </c>
      <c r="C45" s="272">
        <v>11412</v>
      </c>
      <c r="D45" s="272">
        <f>'- 3 -'!F45</f>
        <v>20263607</v>
      </c>
      <c r="E45" s="272">
        <f>ROUND(D45/'- 7 -'!E45,0)</f>
        <v>11270</v>
      </c>
      <c r="F45" s="1" t="str">
        <f t="shared" si="0"/>
        <v/>
      </c>
    </row>
    <row r="46" spans="1:6" ht="14.1" customHeight="1" x14ac:dyDescent="0.2">
      <c r="A46" s="15" t="s">
        <v>142</v>
      </c>
      <c r="B46" s="16">
        <v>391659500</v>
      </c>
      <c r="C46" s="16">
        <v>12943</v>
      </c>
      <c r="D46" s="16">
        <f>'- 3 -'!F46</f>
        <v>396080650</v>
      </c>
      <c r="E46" s="16">
        <f>ROUND(D46/'- 7 -'!E46,0)</f>
        <v>13091</v>
      </c>
      <c r="F46" s="1" t="str">
        <f t="shared" si="0"/>
        <v/>
      </c>
    </row>
    <row r="47" spans="1:6" ht="5.0999999999999996" customHeight="1" x14ac:dyDescent="0.2">
      <c r="A47"/>
      <c r="B47"/>
      <c r="C47"/>
      <c r="D47"/>
      <c r="E47"/>
    </row>
    <row r="48" spans="1:6" ht="14.1" customHeight="1" x14ac:dyDescent="0.2">
      <c r="A48" s="274" t="s">
        <v>143</v>
      </c>
      <c r="B48" s="275">
        <v>2339981607</v>
      </c>
      <c r="C48" s="275">
        <v>13187</v>
      </c>
      <c r="D48" s="275">
        <f>SUM(D11:D46)</f>
        <v>2378862127</v>
      </c>
      <c r="E48" s="275">
        <f>ROUND(D48/'- 7 -'!E48,0)</f>
        <v>13284</v>
      </c>
      <c r="F48" s="1" t="str">
        <f t="shared" si="0"/>
        <v/>
      </c>
    </row>
    <row r="49" spans="1:6" ht="5.0999999999999996" customHeight="1" x14ac:dyDescent="0.2">
      <c r="A49" s="17" t="s">
        <v>1</v>
      </c>
      <c r="B49" s="18"/>
      <c r="C49" s="18"/>
      <c r="D49" s="18"/>
      <c r="E49" s="18"/>
    </row>
    <row r="50" spans="1:6" ht="14.1" customHeight="1" x14ac:dyDescent="0.2">
      <c r="A50" s="15" t="s">
        <v>144</v>
      </c>
      <c r="B50" s="16">
        <v>3367142</v>
      </c>
      <c r="C50" s="16">
        <v>20785</v>
      </c>
      <c r="D50" s="16">
        <f>'- 3 -'!F50</f>
        <v>3399982</v>
      </c>
      <c r="E50" s="16">
        <f>ROUND(D50/'- 7 -'!E50,0)</f>
        <v>20238</v>
      </c>
      <c r="F50" s="1" t="str">
        <f t="shared" si="0"/>
        <v/>
      </c>
    </row>
    <row r="51" spans="1:6" ht="14.1" customHeight="1" x14ac:dyDescent="0.2">
      <c r="A51" s="360" t="s">
        <v>514</v>
      </c>
      <c r="B51" s="353">
        <v>18008493</v>
      </c>
      <c r="C51" s="353">
        <v>16894</v>
      </c>
      <c r="D51" s="272">
        <f>'- 3 -'!F51</f>
        <v>19101156</v>
      </c>
      <c r="E51" s="272">
        <f>ROUND(D51/'- 7 -'!E51,0)</f>
        <v>13942</v>
      </c>
      <c r="F51" s="1" t="str">
        <f t="shared" si="0"/>
        <v/>
      </c>
    </row>
    <row r="52" spans="1:6" ht="50.1" customHeight="1" x14ac:dyDescent="0.2">
      <c r="A52" s="19"/>
      <c r="B52" s="19"/>
      <c r="C52" s="19"/>
      <c r="D52" s="19"/>
      <c r="E52" s="19"/>
    </row>
    <row r="53" spans="1:6" ht="15" customHeight="1" x14ac:dyDescent="0.2">
      <c r="A53" s="539" t="s">
        <v>565</v>
      </c>
      <c r="B53" s="539"/>
      <c r="C53" s="539"/>
      <c r="D53" s="539"/>
      <c r="E53" s="539"/>
    </row>
    <row r="54" spans="1:6" ht="12" customHeight="1" x14ac:dyDescent="0.2">
      <c r="A54" s="540"/>
      <c r="B54" s="540"/>
      <c r="C54" s="540"/>
      <c r="D54" s="540"/>
      <c r="E54" s="540"/>
    </row>
    <row r="55" spans="1:6" ht="12" customHeight="1" x14ac:dyDescent="0.2">
      <c r="A55" s="540"/>
      <c r="B55" s="540"/>
      <c r="C55" s="540"/>
      <c r="D55" s="540"/>
      <c r="E55" s="540"/>
    </row>
    <row r="56" spans="1:6" ht="12" customHeight="1" x14ac:dyDescent="0.2">
      <c r="A56" s="2"/>
      <c r="B56" s="31"/>
      <c r="C56" s="31"/>
      <c r="D56" s="31"/>
      <c r="E56" s="31"/>
    </row>
    <row r="57" spans="1:6" ht="12" customHeight="1" x14ac:dyDescent="0.2"/>
    <row r="58" spans="1:6" ht="14.45" customHeight="1" x14ac:dyDescent="0.2">
      <c r="A58" s="2"/>
    </row>
    <row r="59" spans="1:6" ht="14.45" customHeight="1" x14ac:dyDescent="0.2">
      <c r="A59" s="2"/>
    </row>
  </sheetData>
  <mergeCells count="2">
    <mergeCell ref="A2:E3"/>
    <mergeCell ref="A53:E55"/>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B59"/>
  <sheetViews>
    <sheetView showGridLines="0" showZeros="0" workbookViewId="0"/>
  </sheetViews>
  <sheetFormatPr defaultColWidth="15.83203125" defaultRowHeight="12" x14ac:dyDescent="0.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54" ht="6.95" customHeight="1" x14ac:dyDescent="0.2">
      <c r="A1" s="3"/>
      <c r="B1" s="4"/>
      <c r="C1" s="4"/>
      <c r="D1" s="4"/>
      <c r="E1" s="4"/>
      <c r="F1" s="4"/>
      <c r="G1" s="4"/>
      <c r="H1" s="4"/>
    </row>
    <row r="2" spans="1:54" ht="15.95" customHeight="1" x14ac:dyDescent="0.2">
      <c r="A2" s="132"/>
      <c r="B2" s="5" t="str">
        <f>IF(Lang=1,BA2,BB2)</f>
        <v>ANALYSIS OF  TRANSPORTATION EXPENSES</v>
      </c>
      <c r="C2" s="6"/>
      <c r="D2" s="6"/>
      <c r="E2" s="6"/>
      <c r="F2" s="85"/>
      <c r="G2" s="85"/>
      <c r="H2" s="85"/>
      <c r="BA2" s="456" t="s">
        <v>259</v>
      </c>
      <c r="BB2" s="456" t="s">
        <v>436</v>
      </c>
    </row>
    <row r="3" spans="1:54" ht="15.95" customHeight="1" x14ac:dyDescent="0.2">
      <c r="A3" s="135"/>
      <c r="B3" s="7" t="str">
        <f>OPYEAR</f>
        <v>OPERATING FUND 2018/2019 BUDGET</v>
      </c>
      <c r="C3" s="8"/>
      <c r="D3" s="8"/>
      <c r="E3" s="8"/>
      <c r="F3" s="87"/>
      <c r="G3" s="87"/>
      <c r="H3" s="87"/>
    </row>
    <row r="4" spans="1:54" ht="15.95" customHeight="1" x14ac:dyDescent="0.2">
      <c r="B4" s="4"/>
      <c r="C4" s="4"/>
      <c r="D4" s="4"/>
      <c r="E4" s="4"/>
      <c r="F4" s="4"/>
      <c r="G4" s="4"/>
      <c r="H4" s="4"/>
    </row>
    <row r="5" spans="1:54" ht="15.95" customHeight="1" x14ac:dyDescent="0.2">
      <c r="B5" s="4"/>
      <c r="C5" s="4"/>
      <c r="D5" s="4"/>
      <c r="E5" s="4"/>
      <c r="F5" s="4"/>
      <c r="G5" s="4"/>
      <c r="H5" s="4"/>
    </row>
    <row r="6" spans="1:54" ht="15.95" customHeight="1" x14ac:dyDescent="0.2">
      <c r="B6" s="617" t="s">
        <v>11</v>
      </c>
      <c r="C6" s="619"/>
      <c r="D6" s="619"/>
      <c r="E6" s="619"/>
      <c r="F6" s="619"/>
      <c r="G6" s="619"/>
      <c r="H6" s="604"/>
    </row>
    <row r="7" spans="1:54" ht="15.95" customHeight="1" x14ac:dyDescent="0.2">
      <c r="B7" s="618" t="s">
        <v>26</v>
      </c>
      <c r="C7" s="620"/>
      <c r="D7" s="620"/>
      <c r="E7" s="620"/>
      <c r="F7" s="620"/>
      <c r="G7" s="620"/>
      <c r="H7" s="606"/>
    </row>
    <row r="8" spans="1:54" ht="15.95" customHeight="1" x14ac:dyDescent="0.2">
      <c r="A8" s="82"/>
      <c r="B8" s="22"/>
      <c r="C8" s="568" t="s">
        <v>431</v>
      </c>
      <c r="D8" s="529" t="s">
        <v>396</v>
      </c>
      <c r="E8" s="691" t="s">
        <v>432</v>
      </c>
      <c r="F8" s="693" t="s">
        <v>434</v>
      </c>
      <c r="G8" s="693" t="s">
        <v>433</v>
      </c>
      <c r="H8" s="693" t="s">
        <v>434</v>
      </c>
    </row>
    <row r="9" spans="1:54" ht="15.95" customHeight="1" x14ac:dyDescent="0.2">
      <c r="A9" s="27" t="s">
        <v>37</v>
      </c>
      <c r="B9" s="89" t="s">
        <v>38</v>
      </c>
      <c r="C9" s="569"/>
      <c r="D9" s="569"/>
      <c r="E9" s="692"/>
      <c r="F9" s="692"/>
      <c r="G9" s="694"/>
      <c r="H9" s="692"/>
    </row>
    <row r="10" spans="1:54" ht="5.0999999999999996" customHeight="1" x14ac:dyDescent="0.2">
      <c r="A10" s="29"/>
    </row>
    <row r="11" spans="1:54" ht="14.1" customHeight="1" x14ac:dyDescent="0.2">
      <c r="A11" s="271" t="s">
        <v>108</v>
      </c>
      <c r="B11" s="303">
        <f>'- 29 -'!$D11</f>
        <v>1075578</v>
      </c>
      <c r="C11" s="303">
        <v>649</v>
      </c>
      <c r="D11" s="303">
        <f ca="1">IF(AND(CELL("type",C11)="v",C11&gt;0),B11/C11,"")</f>
        <v>1657.2850539291217</v>
      </c>
      <c r="E11" s="303">
        <v>636000</v>
      </c>
      <c r="F11" s="304">
        <f ca="1">IF(AND(CELL("type",E11)="v",E11&gt;0),B11/E11,"")</f>
        <v>1.6911603773584907</v>
      </c>
      <c r="G11" s="303">
        <v>404000</v>
      </c>
      <c r="H11" s="304">
        <f ca="1">IF(AND(CELL("type",G11)="v",G11&gt;0),B11/G11,"")</f>
        <v>2.6623217821782177</v>
      </c>
    </row>
    <row r="12" spans="1:54" ht="14.1" customHeight="1" x14ac:dyDescent="0.2">
      <c r="A12" s="15" t="s">
        <v>109</v>
      </c>
      <c r="B12" s="139">
        <f>'- 29 -'!$D12</f>
        <v>2117163</v>
      </c>
      <c r="C12" s="139">
        <v>1349</v>
      </c>
      <c r="D12" s="139">
        <f t="shared" ref="D12:D46" ca="1" si="0">IF(AND(CELL("type",C12)="v",C12&gt;0),B12/C12,"")</f>
        <v>1569.4314306893996</v>
      </c>
      <c r="E12" s="139">
        <v>1244685</v>
      </c>
      <c r="F12" s="145">
        <f t="shared" ref="F12:F46" ca="1" si="1">IF(AND(CELL("type",E12)="v",E12&gt;0),B12/E12,"")</f>
        <v>1.70096289422625</v>
      </c>
      <c r="G12" s="139">
        <v>809250</v>
      </c>
      <c r="H12" s="145">
        <f t="shared" ref="H12:H46" ca="1" si="2">IF(AND(CELL("type",G12)="v",G12&gt;0),B12/G12,"")</f>
        <v>2.6162038924930493</v>
      </c>
    </row>
    <row r="13" spans="1:54" ht="14.1" customHeight="1" x14ac:dyDescent="0.2">
      <c r="A13" s="271" t="s">
        <v>110</v>
      </c>
      <c r="B13" s="303">
        <f>'- 29 -'!$D13</f>
        <v>2284100</v>
      </c>
      <c r="C13" s="303">
        <v>3427</v>
      </c>
      <c r="D13" s="303">
        <f t="shared" ca="1" si="0"/>
        <v>666.50131310183838</v>
      </c>
      <c r="E13" s="303">
        <v>829000</v>
      </c>
      <c r="F13" s="304">
        <f t="shared" ca="1" si="1"/>
        <v>2.7552472858866102</v>
      </c>
      <c r="G13" s="303">
        <v>513600</v>
      </c>
      <c r="H13" s="304">
        <f t="shared" ca="1" si="2"/>
        <v>4.4472352024922115</v>
      </c>
    </row>
    <row r="14" spans="1:54" ht="14.1" customHeight="1" x14ac:dyDescent="0.2">
      <c r="A14" s="15" t="s">
        <v>319</v>
      </c>
      <c r="B14" s="139">
        <f>'- 29 -'!$D14</f>
        <v>9047003</v>
      </c>
      <c r="C14" s="139">
        <v>4670</v>
      </c>
      <c r="D14" s="139">
        <f t="shared" ca="1" si="0"/>
        <v>1937.2597430406852</v>
      </c>
      <c r="E14" s="139">
        <v>3127240</v>
      </c>
      <c r="F14" s="145">
        <f t="shared" ca="1" si="1"/>
        <v>2.8929672810529414</v>
      </c>
      <c r="G14" s="139">
        <v>1703110</v>
      </c>
      <c r="H14" s="145">
        <f t="shared" ca="1" si="2"/>
        <v>5.312048546482611</v>
      </c>
    </row>
    <row r="15" spans="1:54" ht="14.1" customHeight="1" x14ac:dyDescent="0.2">
      <c r="A15" s="271" t="s">
        <v>111</v>
      </c>
      <c r="B15" s="303">
        <f>'- 29 -'!$D15</f>
        <v>1487450</v>
      </c>
      <c r="C15" s="303">
        <v>960</v>
      </c>
      <c r="D15" s="303">
        <f t="shared" ca="1" si="0"/>
        <v>1549.4270833333333</v>
      </c>
      <c r="E15" s="303">
        <v>750000</v>
      </c>
      <c r="F15" s="304">
        <f t="shared" ca="1" si="1"/>
        <v>1.9832666666666667</v>
      </c>
      <c r="G15" s="303">
        <v>460000</v>
      </c>
      <c r="H15" s="304">
        <f t="shared" ca="1" si="2"/>
        <v>3.233586956521739</v>
      </c>
    </row>
    <row r="16" spans="1:54" ht="14.1" customHeight="1" x14ac:dyDescent="0.2">
      <c r="A16" s="15" t="s">
        <v>112</v>
      </c>
      <c r="B16" s="139">
        <f>'- 29 -'!$D16</f>
        <v>362075</v>
      </c>
      <c r="C16" s="139">
        <v>350</v>
      </c>
      <c r="D16" s="139">
        <f t="shared" ca="1" si="0"/>
        <v>1034.5</v>
      </c>
      <c r="E16" s="139">
        <v>63921</v>
      </c>
      <c r="F16" s="145">
        <f t="shared" ca="1" si="1"/>
        <v>5.6644138858903963</v>
      </c>
      <c r="G16" s="139">
        <v>40248</v>
      </c>
      <c r="H16" s="145">
        <f t="shared" ca="1" si="2"/>
        <v>8.9960991850526728</v>
      </c>
    </row>
    <row r="17" spans="1:8" ht="14.1" customHeight="1" x14ac:dyDescent="0.2">
      <c r="A17" s="271" t="s">
        <v>113</v>
      </c>
      <c r="B17" s="303">
        <f>'- 29 -'!$D17</f>
        <v>1318390</v>
      </c>
      <c r="C17" s="303">
        <v>725</v>
      </c>
      <c r="D17" s="303">
        <f t="shared" ca="1" si="0"/>
        <v>1818.4689655172415</v>
      </c>
      <c r="E17" s="303">
        <v>944850</v>
      </c>
      <c r="F17" s="304">
        <f t="shared" ca="1" si="1"/>
        <v>1.3953431761655288</v>
      </c>
      <c r="G17" s="303">
        <v>618440</v>
      </c>
      <c r="H17" s="304">
        <f t="shared" ca="1" si="2"/>
        <v>2.1317993661470798</v>
      </c>
    </row>
    <row r="18" spans="1:8" ht="14.1" customHeight="1" x14ac:dyDescent="0.2">
      <c r="A18" s="15" t="s">
        <v>114</v>
      </c>
      <c r="B18" s="139">
        <f>'- 29 -'!$D18</f>
        <v>7308175</v>
      </c>
      <c r="C18" s="139">
        <v>5000</v>
      </c>
      <c r="D18" s="139">
        <f t="shared" ca="1" si="0"/>
        <v>1461.635</v>
      </c>
      <c r="E18" s="139">
        <v>1575000</v>
      </c>
      <c r="F18" s="145">
        <f t="shared" ca="1" si="1"/>
        <v>4.6401111111111115</v>
      </c>
      <c r="G18" s="139">
        <v>1073000</v>
      </c>
      <c r="H18" s="145">
        <f t="shared" ca="1" si="2"/>
        <v>6.8109739049394218</v>
      </c>
    </row>
    <row r="19" spans="1:8" ht="14.1" customHeight="1" x14ac:dyDescent="0.2">
      <c r="A19" s="271" t="s">
        <v>115</v>
      </c>
      <c r="B19" s="303">
        <f>'- 29 -'!$D19</f>
        <v>2737500</v>
      </c>
      <c r="C19" s="303">
        <v>2650</v>
      </c>
      <c r="D19" s="303">
        <f t="shared" ca="1" si="0"/>
        <v>1033.0188679245282</v>
      </c>
      <c r="E19" s="303">
        <v>830000</v>
      </c>
      <c r="F19" s="304">
        <f t="shared" ca="1" si="1"/>
        <v>3.2981927710843375</v>
      </c>
      <c r="G19" s="303">
        <v>485000</v>
      </c>
      <c r="H19" s="304">
        <f t="shared" ca="1" si="2"/>
        <v>5.6443298969072169</v>
      </c>
    </row>
    <row r="20" spans="1:8" ht="14.1" customHeight="1" x14ac:dyDescent="0.2">
      <c r="A20" s="15" t="s">
        <v>116</v>
      </c>
      <c r="B20" s="139">
        <f>'- 29 -'!$D20</f>
        <v>3447700</v>
      </c>
      <c r="C20" s="139">
        <v>5196</v>
      </c>
      <c r="D20" s="139">
        <f t="shared" ca="1" si="0"/>
        <v>663.52963818321791</v>
      </c>
      <c r="E20" s="139">
        <v>1402041</v>
      </c>
      <c r="F20" s="145">
        <f t="shared" ca="1" si="1"/>
        <v>2.4590579020157044</v>
      </c>
      <c r="G20" s="139">
        <v>822029</v>
      </c>
      <c r="H20" s="145">
        <f t="shared" ca="1" si="2"/>
        <v>4.194134270202146</v>
      </c>
    </row>
    <row r="21" spans="1:8" ht="14.1" customHeight="1" x14ac:dyDescent="0.2">
      <c r="A21" s="271" t="s">
        <v>117</v>
      </c>
      <c r="B21" s="303">
        <f>'- 29 -'!$D21</f>
        <v>1929000</v>
      </c>
      <c r="C21" s="303">
        <v>1629</v>
      </c>
      <c r="D21" s="303">
        <f t="shared" ca="1" si="0"/>
        <v>1184.1620626151014</v>
      </c>
      <c r="E21" s="303">
        <v>982488</v>
      </c>
      <c r="F21" s="304">
        <f t="shared" ca="1" si="1"/>
        <v>1.9633827588733908</v>
      </c>
      <c r="G21" s="303">
        <v>614601</v>
      </c>
      <c r="H21" s="304">
        <f t="shared" ca="1" si="2"/>
        <v>3.1386216423338067</v>
      </c>
    </row>
    <row r="22" spans="1:8" ht="14.1" customHeight="1" x14ac:dyDescent="0.2">
      <c r="A22" s="15" t="s">
        <v>118</v>
      </c>
      <c r="B22" s="139">
        <f>'- 29 -'!$D22</f>
        <v>440235</v>
      </c>
      <c r="C22" s="139">
        <v>400</v>
      </c>
      <c r="D22" s="139">
        <f t="shared" ca="1" si="0"/>
        <v>1100.5875000000001</v>
      </c>
      <c r="E22" s="139">
        <v>155588</v>
      </c>
      <c r="F22" s="145">
        <f t="shared" ca="1" si="1"/>
        <v>2.829491991670309</v>
      </c>
      <c r="G22" s="139">
        <v>96224</v>
      </c>
      <c r="H22" s="145">
        <f t="shared" ca="1" si="2"/>
        <v>4.5751060026604593</v>
      </c>
    </row>
    <row r="23" spans="1:8" ht="14.1" customHeight="1" x14ac:dyDescent="0.2">
      <c r="A23" s="271" t="s">
        <v>119</v>
      </c>
      <c r="B23" s="303">
        <f>'- 29 -'!$D23</f>
        <v>1600890</v>
      </c>
      <c r="C23" s="303">
        <v>738</v>
      </c>
      <c r="D23" s="303">
        <f t="shared" ca="1" si="0"/>
        <v>2169.2276422764226</v>
      </c>
      <c r="E23" s="303">
        <v>957900</v>
      </c>
      <c r="F23" s="304">
        <f t="shared" ca="1" si="1"/>
        <v>1.6712496085186346</v>
      </c>
      <c r="G23" s="303">
        <v>540423</v>
      </c>
      <c r="H23" s="304">
        <f t="shared" ca="1" si="2"/>
        <v>2.9622906501018647</v>
      </c>
    </row>
    <row r="24" spans="1:8" ht="14.1" customHeight="1" x14ac:dyDescent="0.2">
      <c r="A24" s="15" t="s">
        <v>120</v>
      </c>
      <c r="B24" s="139">
        <f>'- 29 -'!$D24</f>
        <v>2412935</v>
      </c>
      <c r="C24" s="139">
        <v>2495</v>
      </c>
      <c r="D24" s="139">
        <f t="shared" ca="1" si="0"/>
        <v>967.10821643286579</v>
      </c>
      <c r="E24" s="139">
        <v>1007510</v>
      </c>
      <c r="F24" s="145">
        <f t="shared" ca="1" si="1"/>
        <v>2.3949489335093448</v>
      </c>
      <c r="G24" s="139">
        <v>633810</v>
      </c>
      <c r="H24" s="145">
        <f t="shared" ca="1" si="2"/>
        <v>3.8070320758586957</v>
      </c>
    </row>
    <row r="25" spans="1:8" ht="14.1" customHeight="1" x14ac:dyDescent="0.2">
      <c r="A25" s="271" t="s">
        <v>121</v>
      </c>
      <c r="B25" s="303">
        <f>'- 29 -'!$D25</f>
        <v>3917377</v>
      </c>
      <c r="C25" s="303">
        <v>2401</v>
      </c>
      <c r="D25" s="303">
        <f t="shared" ca="1" si="0"/>
        <v>1631.5605997501041</v>
      </c>
      <c r="E25" s="303">
        <v>839445</v>
      </c>
      <c r="F25" s="304">
        <f t="shared" ca="1" si="1"/>
        <v>4.6666273549785871</v>
      </c>
      <c r="G25" s="303">
        <v>518397</v>
      </c>
      <c r="H25" s="304">
        <f t="shared" ca="1" si="2"/>
        <v>7.5567123266531251</v>
      </c>
    </row>
    <row r="26" spans="1:8" ht="14.1" customHeight="1" x14ac:dyDescent="0.2">
      <c r="A26" s="15" t="s">
        <v>122</v>
      </c>
      <c r="B26" s="139">
        <f>'- 29 -'!$D26</f>
        <v>2622699</v>
      </c>
      <c r="C26" s="139">
        <v>1438</v>
      </c>
      <c r="D26" s="139">
        <f t="shared" ca="1" si="0"/>
        <v>1823.8518776077885</v>
      </c>
      <c r="E26" s="139">
        <v>1223849</v>
      </c>
      <c r="F26" s="145">
        <f t="shared" ca="1" si="1"/>
        <v>2.1429923135942426</v>
      </c>
      <c r="G26" s="139">
        <v>1000681</v>
      </c>
      <c r="H26" s="145">
        <f t="shared" ca="1" si="2"/>
        <v>2.6209141574587704</v>
      </c>
    </row>
    <row r="27" spans="1:8" ht="14.1" customHeight="1" x14ac:dyDescent="0.2">
      <c r="A27" s="271" t="s">
        <v>123</v>
      </c>
      <c r="B27" s="303">
        <f>'- 29 -'!$D27</f>
        <v>0</v>
      </c>
      <c r="C27" s="307" t="s">
        <v>88</v>
      </c>
      <c r="D27" s="307" t="str">
        <f ca="1">IF(AND(CELL("type",C27)="v",C27&gt;0),B27/C27,"")</f>
        <v/>
      </c>
      <c r="E27" s="307" t="s">
        <v>88</v>
      </c>
      <c r="F27" s="308" t="str">
        <f ca="1">IF(AND(CELL("type",E27)="v",E27&gt;0),B27/E27,"")</f>
        <v/>
      </c>
      <c r="G27" s="307" t="s">
        <v>88</v>
      </c>
      <c r="H27" s="304" t="str">
        <f t="shared" ca="1" si="2"/>
        <v/>
      </c>
    </row>
    <row r="28" spans="1:8" ht="14.1" customHeight="1" x14ac:dyDescent="0.2">
      <c r="A28" s="15" t="s">
        <v>124</v>
      </c>
      <c r="B28" s="139">
        <f>'- 29 -'!$D28</f>
        <v>1740525</v>
      </c>
      <c r="C28" s="139">
        <v>771</v>
      </c>
      <c r="D28" s="139">
        <f t="shared" ca="1" si="0"/>
        <v>2257.4902723735408</v>
      </c>
      <c r="E28" s="139">
        <v>1209000</v>
      </c>
      <c r="F28" s="145">
        <f t="shared" ca="1" si="1"/>
        <v>1.4396401985111662</v>
      </c>
      <c r="G28" s="139">
        <v>759550</v>
      </c>
      <c r="H28" s="145">
        <f t="shared" ca="1" si="2"/>
        <v>2.2915212955039168</v>
      </c>
    </row>
    <row r="29" spans="1:8" ht="14.1" customHeight="1" x14ac:dyDescent="0.2">
      <c r="A29" s="271" t="s">
        <v>125</v>
      </c>
      <c r="B29" s="303">
        <f>'- 29 -'!$D29</f>
        <v>3075445</v>
      </c>
      <c r="C29" s="303">
        <v>3050</v>
      </c>
      <c r="D29" s="303">
        <f t="shared" ca="1" si="0"/>
        <v>1008.3426229508196</v>
      </c>
      <c r="E29" s="303">
        <v>604000</v>
      </c>
      <c r="F29" s="304">
        <f t="shared" ca="1" si="1"/>
        <v>5.0917963576158938</v>
      </c>
      <c r="G29" s="303">
        <v>347000</v>
      </c>
      <c r="H29" s="304">
        <f t="shared" ca="1" si="2"/>
        <v>8.8629538904899139</v>
      </c>
    </row>
    <row r="30" spans="1:8" ht="14.1" customHeight="1" x14ac:dyDescent="0.2">
      <c r="A30" s="15" t="s">
        <v>126</v>
      </c>
      <c r="B30" s="139">
        <f>'- 29 -'!$D30</f>
        <v>1117469</v>
      </c>
      <c r="C30" s="139">
        <v>563</v>
      </c>
      <c r="D30" s="139">
        <f t="shared" ca="1" si="0"/>
        <v>1984.8472468916518</v>
      </c>
      <c r="E30" s="139">
        <v>699025</v>
      </c>
      <c r="F30" s="145">
        <f t="shared" ca="1" si="1"/>
        <v>1.5986109223561389</v>
      </c>
      <c r="G30" s="139">
        <v>444503</v>
      </c>
      <c r="H30" s="145">
        <f t="shared" ca="1" si="2"/>
        <v>2.513974033921031</v>
      </c>
    </row>
    <row r="31" spans="1:8" ht="14.1" customHeight="1" x14ac:dyDescent="0.2">
      <c r="A31" s="271" t="s">
        <v>127</v>
      </c>
      <c r="B31" s="303">
        <f>'- 29 -'!$D31</f>
        <v>953453</v>
      </c>
      <c r="C31" s="303">
        <v>1140</v>
      </c>
      <c r="D31" s="303">
        <f t="shared" ca="1" si="0"/>
        <v>836.36228070175434</v>
      </c>
      <c r="E31" s="303">
        <v>592725</v>
      </c>
      <c r="F31" s="304">
        <f t="shared" ca="1" si="1"/>
        <v>1.6085925176093467</v>
      </c>
      <c r="G31" s="303">
        <v>382550</v>
      </c>
      <c r="H31" s="304">
        <f t="shared" ca="1" si="2"/>
        <v>2.4923617827734939</v>
      </c>
    </row>
    <row r="32" spans="1:8" ht="14.1" customHeight="1" x14ac:dyDescent="0.2">
      <c r="A32" s="15" t="s">
        <v>128</v>
      </c>
      <c r="B32" s="139">
        <f>'- 29 -'!$D32</f>
        <v>2092843</v>
      </c>
      <c r="C32" s="139">
        <v>1507</v>
      </c>
      <c r="D32" s="139">
        <f t="shared" ca="1" si="0"/>
        <v>1388.7478433974784</v>
      </c>
      <c r="E32" s="139">
        <v>1226513</v>
      </c>
      <c r="F32" s="145">
        <f t="shared" ca="1" si="1"/>
        <v>1.7063357665185774</v>
      </c>
      <c r="G32" s="139">
        <v>763865</v>
      </c>
      <c r="H32" s="145">
        <f t="shared" ca="1" si="2"/>
        <v>2.7398074267049806</v>
      </c>
    </row>
    <row r="33" spans="1:8" ht="14.1" customHeight="1" x14ac:dyDescent="0.2">
      <c r="A33" s="271" t="s">
        <v>129</v>
      </c>
      <c r="B33" s="303">
        <f>'- 29 -'!$D33</f>
        <v>2223600</v>
      </c>
      <c r="C33" s="303">
        <v>1167</v>
      </c>
      <c r="D33" s="303">
        <f t="shared" ca="1" si="0"/>
        <v>1905.3984575835475</v>
      </c>
      <c r="E33" s="303">
        <v>1535000</v>
      </c>
      <c r="F33" s="304">
        <f t="shared" ca="1" si="1"/>
        <v>1.4485993485342019</v>
      </c>
      <c r="G33" s="303">
        <v>902000</v>
      </c>
      <c r="H33" s="304">
        <f t="shared" ca="1" si="2"/>
        <v>2.465188470066519</v>
      </c>
    </row>
    <row r="34" spans="1:8" ht="14.1" customHeight="1" x14ac:dyDescent="0.2">
      <c r="A34" s="15" t="s">
        <v>130</v>
      </c>
      <c r="B34" s="139">
        <f>'- 29 -'!$D34</f>
        <v>2587944</v>
      </c>
      <c r="C34" s="139">
        <v>1280</v>
      </c>
      <c r="D34" s="139">
        <f t="shared" ca="1" si="0"/>
        <v>2021.83125</v>
      </c>
      <c r="E34" s="139">
        <v>1536052</v>
      </c>
      <c r="F34" s="145">
        <f t="shared" ca="1" si="1"/>
        <v>1.6848023374208685</v>
      </c>
      <c r="G34" s="139">
        <v>990388</v>
      </c>
      <c r="H34" s="145">
        <f t="shared" ca="1" si="2"/>
        <v>2.613060739831258</v>
      </c>
    </row>
    <row r="35" spans="1:8" ht="14.1" customHeight="1" x14ac:dyDescent="0.2">
      <c r="A35" s="271" t="s">
        <v>131</v>
      </c>
      <c r="B35" s="303">
        <f>'- 29 -'!$D35</f>
        <v>4270500</v>
      </c>
      <c r="C35" s="303">
        <v>3875</v>
      </c>
      <c r="D35" s="303">
        <f t="shared" ca="1" si="0"/>
        <v>1102.0645161290322</v>
      </c>
      <c r="E35" s="303">
        <v>1050000</v>
      </c>
      <c r="F35" s="304">
        <f t="shared" ca="1" si="1"/>
        <v>4.0671428571428567</v>
      </c>
      <c r="G35" s="303">
        <v>510000</v>
      </c>
      <c r="H35" s="304">
        <f t="shared" ca="1" si="2"/>
        <v>8.3735294117647054</v>
      </c>
    </row>
    <row r="36" spans="1:8" ht="14.1" customHeight="1" x14ac:dyDescent="0.2">
      <c r="A36" s="15" t="s">
        <v>132</v>
      </c>
      <c r="B36" s="139">
        <f>'- 29 -'!$D36</f>
        <v>1547800</v>
      </c>
      <c r="C36" s="139">
        <v>905</v>
      </c>
      <c r="D36" s="139">
        <f t="shared" ca="1" si="0"/>
        <v>1710.2762430939226</v>
      </c>
      <c r="E36" s="139">
        <v>817190</v>
      </c>
      <c r="F36" s="145">
        <f t="shared" ca="1" si="1"/>
        <v>1.8940515669550533</v>
      </c>
      <c r="G36" s="139">
        <v>528275</v>
      </c>
      <c r="H36" s="145">
        <f t="shared" ca="1" si="2"/>
        <v>2.9299133973782596</v>
      </c>
    </row>
    <row r="37" spans="1:8" ht="14.1" customHeight="1" x14ac:dyDescent="0.2">
      <c r="A37" s="271" t="s">
        <v>133</v>
      </c>
      <c r="B37" s="303">
        <f>'- 29 -'!$D37</f>
        <v>3048500</v>
      </c>
      <c r="C37" s="303">
        <v>2980</v>
      </c>
      <c r="D37" s="303">
        <f t="shared" ca="1" si="0"/>
        <v>1022.9865771812081</v>
      </c>
      <c r="E37" s="303">
        <v>1390000</v>
      </c>
      <c r="F37" s="304">
        <f t="shared" ca="1" si="1"/>
        <v>2.1931654676258994</v>
      </c>
      <c r="G37" s="303">
        <v>860000</v>
      </c>
      <c r="H37" s="304">
        <f t="shared" ca="1" si="2"/>
        <v>3.5447674418604653</v>
      </c>
    </row>
    <row r="38" spans="1:8" ht="14.1" customHeight="1" x14ac:dyDescent="0.2">
      <c r="A38" s="15" t="s">
        <v>134</v>
      </c>
      <c r="B38" s="139">
        <f>'- 29 -'!$D38</f>
        <v>2906770</v>
      </c>
      <c r="C38" s="139">
        <v>2717</v>
      </c>
      <c r="D38" s="139">
        <f t="shared" ca="1" si="0"/>
        <v>1069.8454177401545</v>
      </c>
      <c r="E38" s="139">
        <v>577395</v>
      </c>
      <c r="F38" s="145">
        <f t="shared" ca="1" si="1"/>
        <v>5.0342832896024383</v>
      </c>
      <c r="G38" s="139">
        <v>420615</v>
      </c>
      <c r="H38" s="145">
        <f t="shared" ca="1" si="2"/>
        <v>6.9107616228617621</v>
      </c>
    </row>
    <row r="39" spans="1:8" ht="14.1" customHeight="1" x14ac:dyDescent="0.2">
      <c r="A39" s="271" t="s">
        <v>135</v>
      </c>
      <c r="B39" s="303">
        <f>'- 29 -'!$D39</f>
        <v>1962600</v>
      </c>
      <c r="C39" s="303">
        <v>780</v>
      </c>
      <c r="D39" s="303">
        <f t="shared" ca="1" si="0"/>
        <v>2516.1538461538462</v>
      </c>
      <c r="E39" s="303">
        <v>1097700</v>
      </c>
      <c r="F39" s="304">
        <f t="shared" ca="1" si="1"/>
        <v>1.7879201967750751</v>
      </c>
      <c r="G39" s="303">
        <v>683300</v>
      </c>
      <c r="H39" s="304">
        <f t="shared" ca="1" si="2"/>
        <v>2.8722376701302501</v>
      </c>
    </row>
    <row r="40" spans="1:8" ht="14.1" customHeight="1" x14ac:dyDescent="0.2">
      <c r="A40" s="15" t="s">
        <v>136</v>
      </c>
      <c r="B40" s="139">
        <f>'- 29 -'!$D40</f>
        <v>2506023</v>
      </c>
      <c r="C40" s="139">
        <v>2209</v>
      </c>
      <c r="D40" s="139">
        <f t="shared" ca="1" si="0"/>
        <v>1134.4603893164328</v>
      </c>
      <c r="E40" s="139">
        <v>685260</v>
      </c>
      <c r="F40" s="145">
        <f t="shared" ca="1" si="1"/>
        <v>3.6570396637772524</v>
      </c>
      <c r="G40" s="139">
        <v>423000</v>
      </c>
      <c r="H40" s="145">
        <f t="shared" ca="1" si="2"/>
        <v>5.9244042553191489</v>
      </c>
    </row>
    <row r="41" spans="1:8" ht="14.1" customHeight="1" x14ac:dyDescent="0.2">
      <c r="A41" s="271" t="s">
        <v>137</v>
      </c>
      <c r="B41" s="303">
        <f>'- 29 -'!$D41</f>
        <v>4774400</v>
      </c>
      <c r="C41" s="303">
        <v>3713</v>
      </c>
      <c r="D41" s="303">
        <f t="shared" ca="1" si="0"/>
        <v>1285.8604901696742</v>
      </c>
      <c r="E41" s="303">
        <v>2790485</v>
      </c>
      <c r="F41" s="304">
        <f t="shared" ca="1" si="1"/>
        <v>1.7109570558522982</v>
      </c>
      <c r="G41" s="303">
        <v>1581755</v>
      </c>
      <c r="H41" s="304">
        <f t="shared" ca="1" si="2"/>
        <v>3.0184194138788878</v>
      </c>
    </row>
    <row r="42" spans="1:8" ht="14.1" customHeight="1" x14ac:dyDescent="0.2">
      <c r="A42" s="15" t="s">
        <v>138</v>
      </c>
      <c r="B42" s="139">
        <f>'- 29 -'!$D42</f>
        <v>1697990</v>
      </c>
      <c r="C42" s="139">
        <v>1268</v>
      </c>
      <c r="D42" s="139">
        <f t="shared" ca="1" si="0"/>
        <v>1339.1088328075709</v>
      </c>
      <c r="E42" s="139">
        <v>767028</v>
      </c>
      <c r="F42" s="145">
        <f t="shared" ca="1" si="1"/>
        <v>2.2137262264219819</v>
      </c>
      <c r="G42" s="139">
        <v>650534</v>
      </c>
      <c r="H42" s="145">
        <f t="shared" ca="1" si="2"/>
        <v>2.6101479707440349</v>
      </c>
    </row>
    <row r="43" spans="1:8" ht="14.1" customHeight="1" x14ac:dyDescent="0.2">
      <c r="A43" s="271" t="s">
        <v>139</v>
      </c>
      <c r="B43" s="303">
        <f>'- 29 -'!$D43</f>
        <v>918491</v>
      </c>
      <c r="C43" s="303">
        <v>511</v>
      </c>
      <c r="D43" s="303">
        <f t="shared" ca="1" si="0"/>
        <v>1797.4383561643835</v>
      </c>
      <c r="E43" s="303">
        <v>632509</v>
      </c>
      <c r="F43" s="304">
        <f t="shared" ca="1" si="1"/>
        <v>1.4521390209467375</v>
      </c>
      <c r="G43" s="303">
        <v>407847</v>
      </c>
      <c r="H43" s="304">
        <f t="shared" ca="1" si="2"/>
        <v>2.2520479493535568</v>
      </c>
    </row>
    <row r="44" spans="1:8" ht="14.1" customHeight="1" x14ac:dyDescent="0.2">
      <c r="A44" s="15" t="s">
        <v>140</v>
      </c>
      <c r="B44" s="139">
        <f>'- 29 -'!$D44</f>
        <v>1085942</v>
      </c>
      <c r="C44" s="139">
        <v>491</v>
      </c>
      <c r="D44" s="139">
        <f t="shared" ca="1" si="0"/>
        <v>2211.6945010183299</v>
      </c>
      <c r="E44" s="139">
        <v>711284</v>
      </c>
      <c r="F44" s="145">
        <f t="shared" ca="1" si="1"/>
        <v>1.5267347501138786</v>
      </c>
      <c r="G44" s="139">
        <v>472982</v>
      </c>
      <c r="H44" s="145">
        <f t="shared" ca="1" si="2"/>
        <v>2.295947837338419</v>
      </c>
    </row>
    <row r="45" spans="1:8" ht="14.1" customHeight="1" x14ac:dyDescent="0.2">
      <c r="A45" s="271" t="s">
        <v>141</v>
      </c>
      <c r="B45" s="303">
        <f>'- 29 -'!$D45</f>
        <v>709319</v>
      </c>
      <c r="C45" s="303">
        <v>990</v>
      </c>
      <c r="D45" s="303">
        <f t="shared" ca="1" si="0"/>
        <v>716.48383838383836</v>
      </c>
      <c r="E45" s="303">
        <v>260000</v>
      </c>
      <c r="F45" s="304">
        <f t="shared" ca="1" si="1"/>
        <v>2.7281499999999999</v>
      </c>
      <c r="G45" s="303">
        <v>160000</v>
      </c>
      <c r="H45" s="304">
        <f t="shared" ca="1" si="2"/>
        <v>4.4332437499999999</v>
      </c>
    </row>
    <row r="46" spans="1:8" ht="14.1" customHeight="1" x14ac:dyDescent="0.2">
      <c r="A46" s="15" t="s">
        <v>142</v>
      </c>
      <c r="B46" s="139">
        <f>'- 29 -'!$D46</f>
        <v>6005200</v>
      </c>
      <c r="C46" s="139">
        <v>2147</v>
      </c>
      <c r="D46" s="139">
        <f t="shared" ca="1" si="0"/>
        <v>2797.0190964136004</v>
      </c>
      <c r="E46" s="139">
        <v>869756</v>
      </c>
      <c r="F46" s="145">
        <f t="shared" ca="1" si="1"/>
        <v>6.904465160343821</v>
      </c>
      <c r="G46" s="139">
        <v>538354</v>
      </c>
      <c r="H46" s="145">
        <f t="shared" ca="1" si="2"/>
        <v>11.15474204705454</v>
      </c>
    </row>
    <row r="47" spans="1:8" ht="5.0999999999999996" customHeight="1" x14ac:dyDescent="0.2">
      <c r="A47"/>
      <c r="B47"/>
      <c r="C47"/>
      <c r="D47"/>
      <c r="E47"/>
      <c r="F47"/>
      <c r="G47"/>
      <c r="H47"/>
    </row>
    <row r="48" spans="1:8" ht="14.1" customHeight="1" x14ac:dyDescent="0.2">
      <c r="A48" s="274" t="s">
        <v>143</v>
      </c>
      <c r="B48" s="305">
        <f>SUM(B11:B46)</f>
        <v>89333084</v>
      </c>
      <c r="C48" s="305">
        <f>SUM(C11:C46)</f>
        <v>66141</v>
      </c>
      <c r="D48" s="305">
        <f>B48/C48</f>
        <v>1350.6461045342526</v>
      </c>
      <c r="E48" s="305">
        <f>SUM(E11:E46)</f>
        <v>35620439</v>
      </c>
      <c r="F48" s="306">
        <f>B48/E48</f>
        <v>2.5079164240508098</v>
      </c>
      <c r="G48" s="305">
        <f>SUM(G11:G46)</f>
        <v>22159331</v>
      </c>
      <c r="H48" s="306">
        <f>B48/G48</f>
        <v>4.0313980598060475</v>
      </c>
    </row>
    <row r="49" spans="1:8" ht="5.0999999999999996" customHeight="1" x14ac:dyDescent="0.2">
      <c r="A49" s="17" t="s">
        <v>1</v>
      </c>
      <c r="B49" s="140"/>
      <c r="C49" s="140"/>
      <c r="D49" s="140"/>
      <c r="E49" s="140"/>
      <c r="F49" s="79"/>
      <c r="G49" s="140"/>
      <c r="H49" s="79"/>
    </row>
    <row r="50" spans="1:8" ht="14.1" customHeight="1" x14ac:dyDescent="0.2">
      <c r="A50" s="15" t="s">
        <v>144</v>
      </c>
      <c r="B50" s="139">
        <f>'- 29 -'!$D50</f>
        <v>0</v>
      </c>
      <c r="C50" s="361" t="s">
        <v>88</v>
      </c>
      <c r="D50" s="139" t="str">
        <f ca="1">IF(AND(CELL("type",C50)="v",C50&gt;0),B50/C50,"")</f>
        <v/>
      </c>
      <c r="E50" s="361" t="s">
        <v>88</v>
      </c>
      <c r="F50" s="145" t="str">
        <f ca="1">IF(AND(CELL("type",E50)="v",E50&gt;0),B50/E50,"")</f>
        <v/>
      </c>
      <c r="G50" s="361" t="s">
        <v>88</v>
      </c>
      <c r="H50" s="145" t="str">
        <f ca="1">IF(AND(CELL("type",G50)="v",G50&gt;0),B50/G50,"")</f>
        <v/>
      </c>
    </row>
    <row r="51" spans="1:8" ht="14.1" customHeight="1" x14ac:dyDescent="0.2">
      <c r="A51" s="360" t="s">
        <v>514</v>
      </c>
      <c r="B51" s="303">
        <f>'- 29 -'!$D51</f>
        <v>0</v>
      </c>
      <c r="C51" s="303">
        <v>0</v>
      </c>
      <c r="D51" s="303" t="str">
        <f ca="1">IF(AND(CELL("type",C51)="v",C51&gt;0),B51/C51,"")</f>
        <v/>
      </c>
      <c r="E51" s="303">
        <v>0</v>
      </c>
      <c r="F51" s="304" t="str">
        <f ca="1">IF(AND(CELL("type",E51)="v",E51&gt;0),B51/E51,"")</f>
        <v/>
      </c>
      <c r="G51" s="303">
        <v>0</v>
      </c>
      <c r="H51" s="304" t="str">
        <f ca="1">IF(AND(CELL("type",G51)="v",G51&gt;0),B51/G51,"")</f>
        <v/>
      </c>
    </row>
    <row r="52" spans="1:8" ht="50.1" customHeight="1" x14ac:dyDescent="0.2"/>
    <row r="53" spans="1:8" ht="15" customHeight="1" x14ac:dyDescent="0.2"/>
    <row r="54" spans="1:8" ht="14.45" customHeight="1" x14ac:dyDescent="0.2"/>
    <row r="55" spans="1:8" ht="14.45" customHeight="1" x14ac:dyDescent="0.2"/>
    <row r="56" spans="1:8" ht="14.45" customHeight="1" x14ac:dyDescent="0.2"/>
    <row r="57" spans="1:8" ht="14.45" customHeight="1" x14ac:dyDescent="0.2"/>
    <row r="58" spans="1:8" ht="14.45" customHeight="1" x14ac:dyDescent="0.2"/>
    <row r="59" spans="1:8" ht="14.45" customHeight="1" x14ac:dyDescent="0.2"/>
  </sheetData>
  <mergeCells count="8">
    <mergeCell ref="B6:H6"/>
    <mergeCell ref="B7:H7"/>
    <mergeCell ref="C8:C9"/>
    <mergeCell ref="D8:D9"/>
    <mergeCell ref="E8:E9"/>
    <mergeCell ref="F8:F9"/>
    <mergeCell ref="G8:G9"/>
    <mergeCell ref="H8:H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BB59"/>
  <sheetViews>
    <sheetView showGridLines="0" showZeros="0" workbookViewId="0"/>
  </sheetViews>
  <sheetFormatPr defaultColWidth="15.83203125" defaultRowHeight="12" x14ac:dyDescent="0.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4" ht="6.95" customHeight="1" x14ac:dyDescent="0.2">
      <c r="A1" s="3"/>
      <c r="B1" s="4"/>
      <c r="C1" s="4"/>
      <c r="D1" s="4"/>
      <c r="E1" s="4"/>
    </row>
    <row r="2" spans="1:54" ht="15.95" customHeight="1" x14ac:dyDescent="0.2">
      <c r="A2" s="132"/>
      <c r="B2" s="5" t="str">
        <f>IF(Lang=1,BA2,BB2)</f>
        <v>ANALYSIS OF  TRANSPORTATION EXPENSES (CONT'D)</v>
      </c>
      <c r="C2" s="6"/>
      <c r="D2" s="6"/>
      <c r="E2" s="146"/>
      <c r="BA2" s="456" t="s">
        <v>260</v>
      </c>
      <c r="BB2" s="456" t="s">
        <v>437</v>
      </c>
    </row>
    <row r="3" spans="1:54" ht="15.95" customHeight="1" x14ac:dyDescent="0.2">
      <c r="A3" s="135"/>
      <c r="B3" s="7" t="str">
        <f>OPYEAR</f>
        <v>OPERATING FUND 2018/2019 BUDGET</v>
      </c>
      <c r="C3" s="8"/>
      <c r="D3" s="8"/>
      <c r="E3" s="147"/>
    </row>
    <row r="4" spans="1:54" ht="15.95" customHeight="1" x14ac:dyDescent="0.2">
      <c r="B4" s="4"/>
      <c r="C4" s="4"/>
      <c r="D4" s="4"/>
      <c r="E4" s="4"/>
    </row>
    <row r="5" spans="1:54" ht="15.95" customHeight="1" x14ac:dyDescent="0.2">
      <c r="B5" s="4"/>
      <c r="C5" s="4"/>
      <c r="D5" s="4"/>
      <c r="E5" s="4"/>
    </row>
    <row r="6" spans="1:54" ht="15.95" customHeight="1" x14ac:dyDescent="0.2">
      <c r="B6" s="617" t="s">
        <v>12</v>
      </c>
      <c r="C6" s="619"/>
      <c r="D6" s="604"/>
    </row>
    <row r="7" spans="1:54" ht="15.95" customHeight="1" x14ac:dyDescent="0.2">
      <c r="B7" s="618" t="s">
        <v>27</v>
      </c>
      <c r="C7" s="620"/>
      <c r="D7" s="606"/>
    </row>
    <row r="8" spans="1:54" ht="15.95" customHeight="1" x14ac:dyDescent="0.2">
      <c r="A8" s="82"/>
      <c r="B8" s="148"/>
      <c r="C8" s="693" t="s">
        <v>435</v>
      </c>
      <c r="D8" s="693" t="s">
        <v>434</v>
      </c>
    </row>
    <row r="9" spans="1:54" ht="15.95" customHeight="1" x14ac:dyDescent="0.2">
      <c r="A9" s="27" t="s">
        <v>37</v>
      </c>
      <c r="B9" s="89" t="s">
        <v>38</v>
      </c>
      <c r="C9" s="692"/>
      <c r="D9" s="692"/>
    </row>
    <row r="10" spans="1:54" ht="5.0999999999999996" customHeight="1" x14ac:dyDescent="0.2">
      <c r="A10" s="29"/>
    </row>
    <row r="11" spans="1:54" ht="14.1" customHeight="1" x14ac:dyDescent="0.2">
      <c r="A11" s="271" t="s">
        <v>108</v>
      </c>
      <c r="B11" s="303">
        <f>SUM('- 29 -'!$B11,'- 29 -'!$D11,'- 30 -'!$D11)</f>
        <v>1300897</v>
      </c>
      <c r="C11" s="303">
        <v>644000</v>
      </c>
      <c r="D11" s="304">
        <f ca="1">IF(AND(CELL("type",C11)="v",C11&gt;0),B11/C11,"")</f>
        <v>2.0200263975155281</v>
      </c>
      <c r="E11" s="149"/>
    </row>
    <row r="12" spans="1:54" ht="14.1" customHeight="1" x14ac:dyDescent="0.2">
      <c r="A12" s="15" t="s">
        <v>109</v>
      </c>
      <c r="B12" s="139">
        <f>SUM('- 29 -'!$B12,'- 29 -'!$D12,'- 30 -'!$D12)</f>
        <v>2468084</v>
      </c>
      <c r="C12" s="139">
        <v>1369153</v>
      </c>
      <c r="D12" s="145">
        <f t="shared" ref="D12:D46" ca="1" si="0">IF(AND(CELL("type",C12)="v",C12&gt;0),B12/C12,"")</f>
        <v>1.8026356440806834</v>
      </c>
      <c r="E12" s="149"/>
    </row>
    <row r="13" spans="1:54" ht="14.1" customHeight="1" x14ac:dyDescent="0.2">
      <c r="A13" s="271" t="s">
        <v>110</v>
      </c>
      <c r="B13" s="303">
        <f>SUM('- 29 -'!$B13,'- 29 -'!$D13,'- 30 -'!$D13)</f>
        <v>2579100</v>
      </c>
      <c r="C13" s="303">
        <v>839000</v>
      </c>
      <c r="D13" s="304">
        <f t="shared" ca="1" si="0"/>
        <v>3.0740166865315852</v>
      </c>
      <c r="E13" s="149"/>
    </row>
    <row r="14" spans="1:54" ht="14.1" customHeight="1" x14ac:dyDescent="0.2">
      <c r="A14" s="15" t="s">
        <v>319</v>
      </c>
      <c r="B14" s="139">
        <f>SUM('- 29 -'!$B14,'- 29 -'!$D14,'- 30 -'!$D14)</f>
        <v>9319692</v>
      </c>
      <c r="C14" s="361" t="s">
        <v>88</v>
      </c>
      <c r="D14" s="145" t="str">
        <f t="shared" ca="1" si="0"/>
        <v/>
      </c>
      <c r="E14" s="149"/>
    </row>
    <row r="15" spans="1:54" ht="14.1" customHeight="1" x14ac:dyDescent="0.2">
      <c r="A15" s="271" t="s">
        <v>111</v>
      </c>
      <c r="B15" s="303">
        <f>SUM('- 29 -'!$B15,'- 29 -'!$D15,'- 30 -'!$D15)</f>
        <v>1640930</v>
      </c>
      <c r="C15" s="303">
        <v>800000</v>
      </c>
      <c r="D15" s="304">
        <f t="shared" ca="1" si="0"/>
        <v>2.0511625000000002</v>
      </c>
      <c r="E15" s="149"/>
    </row>
    <row r="16" spans="1:54" ht="14.1" customHeight="1" x14ac:dyDescent="0.2">
      <c r="A16" s="15" t="s">
        <v>112</v>
      </c>
      <c r="B16" s="139">
        <f>SUM('- 29 -'!$B16,'- 29 -'!$D16,'- 30 -'!$D16)</f>
        <v>547296</v>
      </c>
      <c r="C16" s="139">
        <v>63921</v>
      </c>
      <c r="D16" s="145">
        <f t="shared" ca="1" si="0"/>
        <v>8.5620688036795425</v>
      </c>
      <c r="E16" s="149"/>
    </row>
    <row r="17" spans="1:5" ht="14.1" customHeight="1" x14ac:dyDescent="0.2">
      <c r="A17" s="271" t="s">
        <v>113</v>
      </c>
      <c r="B17" s="303">
        <f>SUM('- 29 -'!$B17,'- 29 -'!$D17,'- 30 -'!$D17)</f>
        <v>1420300</v>
      </c>
      <c r="C17" s="303">
        <v>899970</v>
      </c>
      <c r="D17" s="304">
        <f t="shared" ca="1" si="0"/>
        <v>1.57816371656833</v>
      </c>
      <c r="E17" s="149"/>
    </row>
    <row r="18" spans="1:5" ht="14.1" customHeight="1" x14ac:dyDescent="0.2">
      <c r="A18" s="15" t="s">
        <v>114</v>
      </c>
      <c r="B18" s="139">
        <f>SUM('- 29 -'!$B18,'- 29 -'!$D18,'- 30 -'!$D18)</f>
        <v>8654904</v>
      </c>
      <c r="C18" s="139">
        <v>1750000</v>
      </c>
      <c r="D18" s="145">
        <f t="shared" ca="1" si="0"/>
        <v>4.9456594285714282</v>
      </c>
      <c r="E18" s="149"/>
    </row>
    <row r="19" spans="1:5" ht="14.1" customHeight="1" x14ac:dyDescent="0.2">
      <c r="A19" s="271" t="s">
        <v>115</v>
      </c>
      <c r="B19" s="303">
        <f>SUM('- 29 -'!$B19,'- 29 -'!$D19,'- 30 -'!$D19)</f>
        <v>3175600</v>
      </c>
      <c r="C19" s="303">
        <v>970000</v>
      </c>
      <c r="D19" s="304">
        <f t="shared" ca="1" si="0"/>
        <v>3.2738144329896905</v>
      </c>
      <c r="E19" s="149"/>
    </row>
    <row r="20" spans="1:5" ht="14.1" customHeight="1" x14ac:dyDescent="0.2">
      <c r="A20" s="15" t="s">
        <v>116</v>
      </c>
      <c r="B20" s="139">
        <f>SUM('- 29 -'!$B20,'- 29 -'!$D20,'- 30 -'!$D20)</f>
        <v>4116200</v>
      </c>
      <c r="C20" s="139">
        <v>1587382</v>
      </c>
      <c r="D20" s="145">
        <f t="shared" ca="1" si="0"/>
        <v>2.5930746348389992</v>
      </c>
      <c r="E20" s="149"/>
    </row>
    <row r="21" spans="1:5" ht="14.1" customHeight="1" x14ac:dyDescent="0.2">
      <c r="A21" s="271" t="s">
        <v>117</v>
      </c>
      <c r="B21" s="303">
        <f>SUM('- 29 -'!$B21,'- 29 -'!$D21,'- 30 -'!$D21)</f>
        <v>2229000</v>
      </c>
      <c r="C21" s="303">
        <v>932000</v>
      </c>
      <c r="D21" s="304">
        <f t="shared" ca="1" si="0"/>
        <v>2.3916309012875536</v>
      </c>
      <c r="E21" s="149"/>
    </row>
    <row r="22" spans="1:5" ht="14.1" customHeight="1" x14ac:dyDescent="0.2">
      <c r="A22" s="15" t="s">
        <v>118</v>
      </c>
      <c r="B22" s="139">
        <f>SUM('- 29 -'!$B22,'- 29 -'!$D22,'- 30 -'!$D22)</f>
        <v>586490</v>
      </c>
      <c r="C22" s="139">
        <v>185469</v>
      </c>
      <c r="D22" s="145">
        <f t="shared" ca="1" si="0"/>
        <v>3.1621996128733105</v>
      </c>
      <c r="E22" s="149"/>
    </row>
    <row r="23" spans="1:5" ht="14.1" customHeight="1" x14ac:dyDescent="0.2">
      <c r="A23" s="271" t="s">
        <v>119</v>
      </c>
      <c r="B23" s="303">
        <f>SUM('- 29 -'!$B23,'- 29 -'!$D23,'- 30 -'!$D23)</f>
        <v>1720015</v>
      </c>
      <c r="C23" s="303">
        <v>950000</v>
      </c>
      <c r="D23" s="304">
        <f t="shared" ca="1" si="0"/>
        <v>1.8105421052631578</v>
      </c>
      <c r="E23" s="149"/>
    </row>
    <row r="24" spans="1:5" ht="14.1" customHeight="1" x14ac:dyDescent="0.2">
      <c r="A24" s="15" t="s">
        <v>120</v>
      </c>
      <c r="B24" s="139">
        <f>SUM('- 29 -'!$B24,'- 29 -'!$D24,'- 30 -'!$D24)</f>
        <v>2709185</v>
      </c>
      <c r="C24" s="139">
        <v>1050000</v>
      </c>
      <c r="D24" s="145">
        <f t="shared" ca="1" si="0"/>
        <v>2.5801761904761906</v>
      </c>
      <c r="E24" s="149"/>
    </row>
    <row r="25" spans="1:5" ht="14.1" customHeight="1" x14ac:dyDescent="0.2">
      <c r="A25" s="271" t="s">
        <v>121</v>
      </c>
      <c r="B25" s="303">
        <f>SUM('- 29 -'!$B25,'- 29 -'!$D25,'- 30 -'!$D25)</f>
        <v>4372560</v>
      </c>
      <c r="C25" s="303">
        <v>1204000</v>
      </c>
      <c r="D25" s="304">
        <f t="shared" ca="1" si="0"/>
        <v>3.6316943521594682</v>
      </c>
      <c r="E25" s="149"/>
    </row>
    <row r="26" spans="1:5" ht="14.1" customHeight="1" x14ac:dyDescent="0.2">
      <c r="A26" s="15" t="s">
        <v>122</v>
      </c>
      <c r="B26" s="139">
        <f>SUM('- 29 -'!$B26,'- 29 -'!$D26,'- 30 -'!$D26)</f>
        <v>3090077</v>
      </c>
      <c r="C26" s="139">
        <v>1263849</v>
      </c>
      <c r="D26" s="145">
        <f t="shared" ca="1" si="0"/>
        <v>2.4449732523426455</v>
      </c>
      <c r="E26" s="149"/>
    </row>
    <row r="27" spans="1:5" ht="14.1" customHeight="1" x14ac:dyDescent="0.2">
      <c r="A27" s="271" t="s">
        <v>123</v>
      </c>
      <c r="B27" s="303">
        <f>SUM('- 29 -'!$B27,'- 29 -'!$D27,'- 30 -'!$D27)</f>
        <v>120000</v>
      </c>
      <c r="C27" s="307" t="s">
        <v>88</v>
      </c>
      <c r="D27" s="304" t="str">
        <f t="shared" ca="1" si="0"/>
        <v/>
      </c>
      <c r="E27" s="149"/>
    </row>
    <row r="28" spans="1:5" ht="14.1" customHeight="1" x14ac:dyDescent="0.2">
      <c r="A28" s="15" t="s">
        <v>124</v>
      </c>
      <c r="B28" s="139">
        <f>SUM('- 29 -'!$B28,'- 29 -'!$D28,'- 30 -'!$D28)</f>
        <v>1969895</v>
      </c>
      <c r="C28" s="139">
        <v>1165000</v>
      </c>
      <c r="D28" s="145">
        <f t="shared" ca="1" si="0"/>
        <v>1.6908969957081545</v>
      </c>
      <c r="E28" s="149"/>
    </row>
    <row r="29" spans="1:5" ht="14.1" customHeight="1" x14ac:dyDescent="0.2">
      <c r="A29" s="271" t="s">
        <v>125</v>
      </c>
      <c r="B29" s="303">
        <f>SUM('- 29 -'!$B29,'- 29 -'!$D29,'- 30 -'!$D29)</f>
        <v>3455920</v>
      </c>
      <c r="C29" s="303">
        <v>736000</v>
      </c>
      <c r="D29" s="304">
        <f t="shared" ca="1" si="0"/>
        <v>4.6955434782608698</v>
      </c>
      <c r="E29" s="149"/>
    </row>
    <row r="30" spans="1:5" ht="14.1" customHeight="1" x14ac:dyDescent="0.2">
      <c r="A30" s="15" t="s">
        <v>126</v>
      </c>
      <c r="B30" s="139">
        <f>SUM('- 29 -'!$B30,'- 29 -'!$D30,'- 30 -'!$D30)</f>
        <v>1258568</v>
      </c>
      <c r="C30" s="139">
        <v>736240</v>
      </c>
      <c r="D30" s="145">
        <f t="shared" ca="1" si="0"/>
        <v>1.709453439095947</v>
      </c>
      <c r="E30" s="149"/>
    </row>
    <row r="31" spans="1:5" ht="14.1" customHeight="1" x14ac:dyDescent="0.2">
      <c r="A31" s="271" t="s">
        <v>127</v>
      </c>
      <c r="B31" s="303">
        <f>SUM('- 29 -'!$B31,'- 29 -'!$D31,'- 30 -'!$D31)</f>
        <v>1086973</v>
      </c>
      <c r="C31" s="303">
        <v>577346</v>
      </c>
      <c r="D31" s="304">
        <f t="shared" ca="1" si="0"/>
        <v>1.8827063840400731</v>
      </c>
      <c r="E31" s="149"/>
    </row>
    <row r="32" spans="1:5" ht="14.1" customHeight="1" x14ac:dyDescent="0.2">
      <c r="A32" s="15" t="s">
        <v>128</v>
      </c>
      <c r="B32" s="139">
        <f>SUM('- 29 -'!$B32,'- 29 -'!$D32,'- 30 -'!$D32)</f>
        <v>2350685</v>
      </c>
      <c r="C32" s="139">
        <v>1083620</v>
      </c>
      <c r="D32" s="145">
        <f t="shared" ca="1" si="0"/>
        <v>2.1692890496668573</v>
      </c>
      <c r="E32" s="149"/>
    </row>
    <row r="33" spans="1:5" ht="14.1" customHeight="1" x14ac:dyDescent="0.2">
      <c r="A33" s="271" t="s">
        <v>129</v>
      </c>
      <c r="B33" s="303">
        <f>SUM('- 29 -'!$B33,'- 29 -'!$D33,'- 30 -'!$D33)</f>
        <v>2423375</v>
      </c>
      <c r="C33" s="303">
        <v>1585000</v>
      </c>
      <c r="D33" s="304">
        <f t="shared" ca="1" si="0"/>
        <v>1.5289432176656153</v>
      </c>
      <c r="E33" s="149"/>
    </row>
    <row r="34" spans="1:5" ht="14.1" customHeight="1" x14ac:dyDescent="0.2">
      <c r="A34" s="15" t="s">
        <v>130</v>
      </c>
      <c r="B34" s="139">
        <f>SUM('- 29 -'!$B34,'- 29 -'!$D34,'- 30 -'!$D34)</f>
        <v>2905642</v>
      </c>
      <c r="C34" s="139">
        <v>1367034</v>
      </c>
      <c r="D34" s="145">
        <f t="shared" ca="1" si="0"/>
        <v>2.1255082170597075</v>
      </c>
      <c r="E34" s="149"/>
    </row>
    <row r="35" spans="1:5" ht="14.1" customHeight="1" x14ac:dyDescent="0.2">
      <c r="A35" s="271" t="s">
        <v>131</v>
      </c>
      <c r="B35" s="303">
        <f>SUM('- 29 -'!$B35,'- 29 -'!$D35,'- 30 -'!$D35)</f>
        <v>4852306</v>
      </c>
      <c r="C35" s="303">
        <v>1350000</v>
      </c>
      <c r="D35" s="304">
        <f t="shared" ca="1" si="0"/>
        <v>3.5943007407407408</v>
      </c>
      <c r="E35" s="149"/>
    </row>
    <row r="36" spans="1:5" ht="14.1" customHeight="1" x14ac:dyDescent="0.2">
      <c r="A36" s="15" t="s">
        <v>132</v>
      </c>
      <c r="B36" s="139">
        <f>SUM('- 29 -'!$B36,'- 29 -'!$D36,'- 30 -'!$D36)</f>
        <v>1705455</v>
      </c>
      <c r="C36" s="139">
        <v>841705</v>
      </c>
      <c r="D36" s="145">
        <f t="shared" ca="1" si="0"/>
        <v>2.0261908863556708</v>
      </c>
      <c r="E36" s="149"/>
    </row>
    <row r="37" spans="1:5" ht="14.1" customHeight="1" x14ac:dyDescent="0.2">
      <c r="A37" s="271" t="s">
        <v>133</v>
      </c>
      <c r="B37" s="303">
        <f>SUM('- 29 -'!$B37,'- 29 -'!$D37,'- 30 -'!$D37)</f>
        <v>3367429</v>
      </c>
      <c r="C37" s="303">
        <v>1410000</v>
      </c>
      <c r="D37" s="304">
        <f t="shared" ca="1" si="0"/>
        <v>2.3882475177304965</v>
      </c>
      <c r="E37" s="149"/>
    </row>
    <row r="38" spans="1:5" ht="14.1" customHeight="1" x14ac:dyDescent="0.2">
      <c r="A38" s="15" t="s">
        <v>134</v>
      </c>
      <c r="B38" s="139">
        <f>SUM('- 29 -'!$B38,'- 29 -'!$D38,'- 30 -'!$D38)</f>
        <v>3579400</v>
      </c>
      <c r="C38" s="139">
        <v>874000</v>
      </c>
      <c r="D38" s="145">
        <f t="shared" ca="1" si="0"/>
        <v>4.0954233409610987</v>
      </c>
      <c r="E38" s="149"/>
    </row>
    <row r="39" spans="1:5" ht="14.1" customHeight="1" x14ac:dyDescent="0.2">
      <c r="A39" s="271" t="s">
        <v>135</v>
      </c>
      <c r="B39" s="303">
        <f>SUM('- 29 -'!$B39,'- 29 -'!$D39,'- 30 -'!$D39)</f>
        <v>2124400</v>
      </c>
      <c r="C39" s="303">
        <v>1001500</v>
      </c>
      <c r="D39" s="304">
        <f t="shared" ca="1" si="0"/>
        <v>2.1212181727408885</v>
      </c>
      <c r="E39" s="149"/>
    </row>
    <row r="40" spans="1:5" ht="14.1" customHeight="1" x14ac:dyDescent="0.2">
      <c r="A40" s="15" t="s">
        <v>136</v>
      </c>
      <c r="B40" s="139">
        <f>SUM('- 29 -'!$B40,'- 29 -'!$D40,'- 30 -'!$D40)</f>
        <v>2781083</v>
      </c>
      <c r="C40" s="139">
        <v>706842</v>
      </c>
      <c r="D40" s="145">
        <f t="shared" ca="1" si="0"/>
        <v>3.9345186052894423</v>
      </c>
      <c r="E40" s="149"/>
    </row>
    <row r="41" spans="1:5" ht="14.1" customHeight="1" x14ac:dyDescent="0.2">
      <c r="A41" s="271" t="s">
        <v>137</v>
      </c>
      <c r="B41" s="303">
        <f>SUM('- 29 -'!$B41,'- 29 -'!$D41,'- 30 -'!$D41)</f>
        <v>5457847</v>
      </c>
      <c r="C41" s="303">
        <v>2479710</v>
      </c>
      <c r="D41" s="304">
        <f t="shared" ca="1" si="0"/>
        <v>2.2010021333139762</v>
      </c>
      <c r="E41" s="149"/>
    </row>
    <row r="42" spans="1:5" ht="14.1" customHeight="1" x14ac:dyDescent="0.2">
      <c r="A42" s="15" t="s">
        <v>138</v>
      </c>
      <c r="B42" s="139">
        <f>SUM('- 29 -'!$B42,'- 29 -'!$D42,'- 30 -'!$D42)</f>
        <v>1915126</v>
      </c>
      <c r="C42" s="139">
        <v>712585</v>
      </c>
      <c r="D42" s="145">
        <f t="shared" ca="1" si="0"/>
        <v>2.6875755173067071</v>
      </c>
      <c r="E42" s="149"/>
    </row>
    <row r="43" spans="1:5" ht="14.1" customHeight="1" x14ac:dyDescent="0.2">
      <c r="A43" s="271" t="s">
        <v>139</v>
      </c>
      <c r="B43" s="303">
        <f>SUM('- 29 -'!$B43,'- 29 -'!$D43,'- 30 -'!$D43)</f>
        <v>1018197</v>
      </c>
      <c r="C43" s="303">
        <v>602920</v>
      </c>
      <c r="D43" s="304">
        <f t="shared" ca="1" si="0"/>
        <v>1.6887762887281894</v>
      </c>
      <c r="E43" s="149"/>
    </row>
    <row r="44" spans="1:5" ht="14.1" customHeight="1" x14ac:dyDescent="0.2">
      <c r="A44" s="15" t="s">
        <v>140</v>
      </c>
      <c r="B44" s="139">
        <f>SUM('- 29 -'!$B44,'- 29 -'!$D44,'- 30 -'!$D44)</f>
        <v>1158253</v>
      </c>
      <c r="C44" s="139">
        <v>878297</v>
      </c>
      <c r="D44" s="145">
        <f t="shared" ca="1" si="0"/>
        <v>1.3187486692997927</v>
      </c>
      <c r="E44" s="149"/>
    </row>
    <row r="45" spans="1:5" ht="14.1" customHeight="1" x14ac:dyDescent="0.2">
      <c r="A45" s="271" t="s">
        <v>141</v>
      </c>
      <c r="B45" s="303">
        <f>SUM('- 29 -'!$B45,'- 29 -'!$D45,'- 30 -'!$D45)</f>
        <v>822441</v>
      </c>
      <c r="C45" s="303">
        <v>290000</v>
      </c>
      <c r="D45" s="304">
        <f t="shared" ca="1" si="0"/>
        <v>2.836003448275862</v>
      </c>
      <c r="E45" s="149"/>
    </row>
    <row r="46" spans="1:5" ht="14.1" customHeight="1" x14ac:dyDescent="0.2">
      <c r="A46" s="15" t="s">
        <v>142</v>
      </c>
      <c r="B46" s="139">
        <f>SUM('- 29 -'!$B46,'- 29 -'!$D46,'- 30 -'!$D46)</f>
        <v>7116900</v>
      </c>
      <c r="C46" s="139">
        <v>1221957</v>
      </c>
      <c r="D46" s="145">
        <f t="shared" ca="1" si="0"/>
        <v>5.8241820293185436</v>
      </c>
      <c r="E46" s="149"/>
    </row>
    <row r="47" spans="1:5" ht="5.0999999999999996" customHeight="1" x14ac:dyDescent="0.2">
      <c r="A47"/>
      <c r="B47"/>
      <c r="C47"/>
      <c r="D47"/>
      <c r="E47"/>
    </row>
    <row r="48" spans="1:5" ht="14.1" customHeight="1" x14ac:dyDescent="0.2">
      <c r="A48" s="274" t="s">
        <v>143</v>
      </c>
      <c r="B48" s="305">
        <f>SUM(B11:B46)</f>
        <v>101400225</v>
      </c>
      <c r="C48" s="305">
        <f>SUM(C11:C46)</f>
        <v>34128500</v>
      </c>
      <c r="D48" s="306">
        <f>B48/C48</f>
        <v>2.9711304335086512</v>
      </c>
      <c r="E48" s="149"/>
    </row>
    <row r="49" spans="1:5" ht="5.0999999999999996" customHeight="1" x14ac:dyDescent="0.2">
      <c r="A49" s="17" t="s">
        <v>1</v>
      </c>
      <c r="B49" s="140"/>
      <c r="C49" s="140"/>
      <c r="D49" s="79"/>
    </row>
    <row r="50" spans="1:5" ht="14.1" customHeight="1" x14ac:dyDescent="0.2">
      <c r="A50" s="15" t="s">
        <v>144</v>
      </c>
      <c r="B50" s="139">
        <f>SUM('- 29 -'!$B50,'- 29 -'!$D50,'- 30 -'!$D50)</f>
        <v>50300</v>
      </c>
      <c r="C50" s="361" t="s">
        <v>88</v>
      </c>
      <c r="D50" s="145" t="str">
        <f ca="1">IF(AND(CELL("type",C50)="v",C50&gt;0),B50/C50,"")</f>
        <v/>
      </c>
      <c r="E50" s="149"/>
    </row>
    <row r="51" spans="1:5" ht="14.1" customHeight="1" x14ac:dyDescent="0.2">
      <c r="A51" s="360" t="s">
        <v>514</v>
      </c>
      <c r="B51" s="303">
        <f>SUM('- 29 -'!$B51,'- 29 -'!$D51,'- 30 -'!$D51)</f>
        <v>0</v>
      </c>
      <c r="C51" s="303">
        <v>0</v>
      </c>
      <c r="D51" s="304" t="str">
        <f ca="1">IF(AND(CELL("type",C51)="v",C51&gt;0),B51/C51,"")</f>
        <v/>
      </c>
      <c r="E51" s="149"/>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4">
    <mergeCell ref="B6:D6"/>
    <mergeCell ref="B7:D7"/>
    <mergeCell ref="C8:C9"/>
    <mergeCell ref="D8:D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B59"/>
  <sheetViews>
    <sheetView showGridLines="0" showZeros="0" workbookViewId="0"/>
  </sheetViews>
  <sheetFormatPr defaultColWidth="15.83203125" defaultRowHeight="12" x14ac:dyDescent="0.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0" width="2.33203125" style="1" hidden="1" customWidth="1"/>
    <col min="11" max="13" width="0" style="1" hidden="1" customWidth="1"/>
    <col min="14" max="16384" width="15.83203125" style="1"/>
  </cols>
  <sheetData>
    <row r="1" spans="1:54" ht="6.95" customHeight="1" x14ac:dyDescent="0.2">
      <c r="A1" s="3"/>
      <c r="B1" s="4"/>
      <c r="C1" s="4"/>
      <c r="D1" s="4"/>
      <c r="E1" s="4"/>
      <c r="F1" s="4"/>
    </row>
    <row r="2" spans="1:54" ht="15.95" customHeight="1" x14ac:dyDescent="0.2">
      <c r="A2" s="5" t="str">
        <f>IF(Lang=1,BA2,BB2)</f>
        <v xml:space="preserve"> ANALYSIS OF OPERATIONS AND MAINTENANCE EXPENSES FOR SCHOOL BUILDINGS</v>
      </c>
      <c r="B2" s="142"/>
      <c r="C2" s="133"/>
      <c r="D2" s="6"/>
      <c r="E2" s="6"/>
      <c r="F2" s="6"/>
      <c r="G2" s="6"/>
      <c r="BA2" s="456" t="s">
        <v>261</v>
      </c>
      <c r="BB2" s="456" t="s">
        <v>442</v>
      </c>
    </row>
    <row r="3" spans="1:54" ht="15.95" customHeight="1" x14ac:dyDescent="0.2">
      <c r="A3" s="7" t="str">
        <f>OPYEAR</f>
        <v>OPERATING FUND 2018/2019 BUDGET</v>
      </c>
      <c r="B3" s="143"/>
      <c r="C3" s="144"/>
      <c r="D3" s="8"/>
      <c r="E3" s="8"/>
      <c r="F3" s="8"/>
      <c r="G3" s="8"/>
    </row>
    <row r="4" spans="1:54" ht="15.95" customHeight="1" x14ac:dyDescent="0.2">
      <c r="B4" s="4"/>
      <c r="C4" s="4"/>
      <c r="D4" s="84"/>
      <c r="E4" s="4"/>
      <c r="F4" s="4"/>
    </row>
    <row r="5" spans="1:54" ht="15.95" customHeight="1" x14ac:dyDescent="0.2">
      <c r="B5" s="4"/>
      <c r="C5" s="4"/>
      <c r="D5" s="4"/>
      <c r="E5" s="4"/>
      <c r="F5" s="4"/>
      <c r="I5"/>
    </row>
    <row r="6" spans="1:54" ht="15.95" customHeight="1" x14ac:dyDescent="0.2">
      <c r="B6" s="277"/>
      <c r="C6" s="309"/>
      <c r="D6" s="280"/>
      <c r="E6" s="279"/>
      <c r="F6" s="611" t="s">
        <v>438</v>
      </c>
      <c r="G6" s="604"/>
      <c r="I6"/>
    </row>
    <row r="7" spans="1:54" ht="15.95" customHeight="1" x14ac:dyDescent="0.2">
      <c r="B7" s="618" t="s">
        <v>23</v>
      </c>
      <c r="C7" s="620"/>
      <c r="D7" s="620"/>
      <c r="E7" s="606"/>
      <c r="F7" s="618"/>
      <c r="G7" s="606"/>
      <c r="I7" s="375" t="s">
        <v>25</v>
      </c>
    </row>
    <row r="8" spans="1:54" ht="15.95" customHeight="1" x14ac:dyDescent="0.2">
      <c r="A8" s="82"/>
      <c r="B8" s="88" t="s">
        <v>1</v>
      </c>
      <c r="C8" s="529" t="s">
        <v>439</v>
      </c>
      <c r="D8" s="529" t="s">
        <v>440</v>
      </c>
      <c r="E8" s="529" t="s">
        <v>441</v>
      </c>
      <c r="F8" s="88" t="s">
        <v>1</v>
      </c>
      <c r="G8" s="529" t="s">
        <v>440</v>
      </c>
      <c r="I8" s="375" t="s">
        <v>36</v>
      </c>
    </row>
    <row r="9" spans="1:54" ht="15.95" customHeight="1" x14ac:dyDescent="0.2">
      <c r="A9" s="27" t="s">
        <v>37</v>
      </c>
      <c r="B9" s="89" t="s">
        <v>38</v>
      </c>
      <c r="C9" s="531"/>
      <c r="D9" s="569"/>
      <c r="E9" s="569"/>
      <c r="F9" s="89" t="s">
        <v>38</v>
      </c>
      <c r="G9" s="569"/>
      <c r="I9" s="359" t="s">
        <v>581</v>
      </c>
      <c r="J9" s="359"/>
    </row>
    <row r="10" spans="1:54" ht="5.0999999999999996" customHeight="1" x14ac:dyDescent="0.2">
      <c r="A10" s="29"/>
    </row>
    <row r="11" spans="1:54" ht="14.1" customHeight="1" x14ac:dyDescent="0.2">
      <c r="A11" s="271" t="s">
        <v>108</v>
      </c>
      <c r="B11" s="303">
        <f>'- 31 -'!D11</f>
        <v>1565507</v>
      </c>
      <c r="C11" s="303">
        <f>B11/'- 7 -'!E11</f>
        <v>868.03825894094814</v>
      </c>
      <c r="D11" s="304">
        <f t="shared" ref="D11:D42" si="0">B11/I11</f>
        <v>5.6638567598759781</v>
      </c>
      <c r="E11" s="303">
        <f>I11/'- 7 -'!E11</f>
        <v>153.25921818685887</v>
      </c>
      <c r="F11" s="303">
        <f>'- 31 -'!F11</f>
        <v>150800</v>
      </c>
      <c r="G11" s="304">
        <f t="shared" ref="G11:G42" si="1">F11/I11</f>
        <v>0.54558018545384823</v>
      </c>
      <c r="I11" s="1">
        <v>276403</v>
      </c>
    </row>
    <row r="12" spans="1:54" ht="14.1" customHeight="1" x14ac:dyDescent="0.2">
      <c r="A12" s="15" t="s">
        <v>109</v>
      </c>
      <c r="B12" s="139">
        <f>'- 31 -'!D12</f>
        <v>2557106</v>
      </c>
      <c r="C12" s="139">
        <f>B12/'- 7 -'!E12</f>
        <v>1200.2375029335838</v>
      </c>
      <c r="D12" s="145">
        <f t="shared" si="0"/>
        <v>6.5488905507293884</v>
      </c>
      <c r="E12" s="139">
        <f>I12/'- 7 -'!E12</f>
        <v>183.27340999765315</v>
      </c>
      <c r="F12" s="139">
        <f>'- 31 -'!F12</f>
        <v>334640</v>
      </c>
      <c r="G12" s="145">
        <f t="shared" si="1"/>
        <v>0.85703163415833472</v>
      </c>
      <c r="I12" s="1">
        <v>390464</v>
      </c>
    </row>
    <row r="13" spans="1:54" ht="14.1" customHeight="1" x14ac:dyDescent="0.2">
      <c r="A13" s="271" t="s">
        <v>110</v>
      </c>
      <c r="B13" s="303">
        <f>'- 31 -'!D13</f>
        <v>7063400</v>
      </c>
      <c r="C13" s="303">
        <f>B13/'- 7 -'!E13</f>
        <v>821.89899930183844</v>
      </c>
      <c r="D13" s="304">
        <f t="shared" si="0"/>
        <v>6.7078758709630852</v>
      </c>
      <c r="E13" s="303">
        <f>I13/'- 7 -'!E13</f>
        <v>122.52746101931581</v>
      </c>
      <c r="F13" s="303">
        <f>'- 31 -'!F13</f>
        <v>736300</v>
      </c>
      <c r="G13" s="304">
        <f t="shared" si="1"/>
        <v>0.69923960186172662</v>
      </c>
      <c r="I13" s="1">
        <v>1053001</v>
      </c>
    </row>
    <row r="14" spans="1:54" ht="14.1" customHeight="1" x14ac:dyDescent="0.2">
      <c r="A14" s="15" t="s">
        <v>319</v>
      </c>
      <c r="B14" s="139">
        <f>'- 31 -'!D14</f>
        <v>8583649</v>
      </c>
      <c r="C14" s="139">
        <f>B14/'- 7 -'!E14</f>
        <v>1482.4955094991365</v>
      </c>
      <c r="D14" s="145">
        <f t="shared" si="0"/>
        <v>8.6849766222518117</v>
      </c>
      <c r="E14" s="139">
        <f>I14/'- 7 -'!E14</f>
        <v>170.69654576856649</v>
      </c>
      <c r="F14" s="139">
        <f>'- 31 -'!F14</f>
        <v>1000000</v>
      </c>
      <c r="G14" s="145">
        <f t="shared" si="1"/>
        <v>1.0118047257351521</v>
      </c>
      <c r="I14" s="1">
        <v>988333</v>
      </c>
    </row>
    <row r="15" spans="1:54" ht="14.1" customHeight="1" x14ac:dyDescent="0.2">
      <c r="A15" s="271" t="s">
        <v>111</v>
      </c>
      <c r="B15" s="303">
        <f>'- 31 -'!D15</f>
        <v>2031950</v>
      </c>
      <c r="C15" s="303">
        <f>B15/'- 7 -'!E15</f>
        <v>1506.2638991845811</v>
      </c>
      <c r="D15" s="304">
        <f t="shared" si="0"/>
        <v>6.9765565451461615</v>
      </c>
      <c r="E15" s="303">
        <f>I15/'- 7 -'!E15</f>
        <v>215.90363232023722</v>
      </c>
      <c r="F15" s="303">
        <f>'- 31 -'!F15</f>
        <v>248000</v>
      </c>
      <c r="G15" s="304">
        <f t="shared" si="1"/>
        <v>0.8514904516332823</v>
      </c>
      <c r="I15" s="1">
        <v>291254</v>
      </c>
    </row>
    <row r="16" spans="1:54" ht="14.1" customHeight="1" x14ac:dyDescent="0.2">
      <c r="A16" s="15" t="s">
        <v>112</v>
      </c>
      <c r="B16" s="139">
        <f>'- 31 -'!D16</f>
        <v>2020294</v>
      </c>
      <c r="C16" s="139">
        <f>B16/'- 7 -'!E16</f>
        <v>2188.8342361863488</v>
      </c>
      <c r="D16" s="145">
        <f t="shared" si="0"/>
        <v>9.6321437936541994</v>
      </c>
      <c r="E16" s="139">
        <f>I16/'- 7 -'!E16</f>
        <v>227.24268689057422</v>
      </c>
      <c r="F16" s="139">
        <f>'- 31 -'!F16</f>
        <v>100000</v>
      </c>
      <c r="G16" s="145">
        <f t="shared" si="1"/>
        <v>0.47676941047462396</v>
      </c>
      <c r="I16" s="1">
        <v>209745</v>
      </c>
    </row>
    <row r="17" spans="1:12" ht="14.1" customHeight="1" x14ac:dyDescent="0.2">
      <c r="A17" s="271" t="s">
        <v>113</v>
      </c>
      <c r="B17" s="303">
        <f>'- 31 -'!D17</f>
        <v>1637150</v>
      </c>
      <c r="C17" s="303">
        <f>B17/'- 7 -'!E17</f>
        <v>1174.426111908178</v>
      </c>
      <c r="D17" s="304">
        <f t="shared" si="0"/>
        <v>6.2443026435733824</v>
      </c>
      <c r="E17" s="303">
        <f>I17/'- 7 -'!E17</f>
        <v>188.07962697274033</v>
      </c>
      <c r="F17" s="303">
        <f>'- 31 -'!F17</f>
        <v>70000</v>
      </c>
      <c r="G17" s="304">
        <f t="shared" si="1"/>
        <v>0.26698908777456964</v>
      </c>
      <c r="I17" s="1">
        <v>262183</v>
      </c>
    </row>
    <row r="18" spans="1:12" ht="14.1" customHeight="1" x14ac:dyDescent="0.2">
      <c r="A18" s="15" t="s">
        <v>114</v>
      </c>
      <c r="B18" s="139">
        <f>'- 31 -'!D18</f>
        <v>16787341</v>
      </c>
      <c r="C18" s="139">
        <f>B18/'- 7 -'!E18</f>
        <v>2736.2337006128569</v>
      </c>
      <c r="D18" s="145">
        <f t="shared" si="0"/>
        <v>11.54246705509771</v>
      </c>
      <c r="E18" s="139">
        <f>I18/'- 7 -'!E18</f>
        <v>237.05796062068066</v>
      </c>
      <c r="F18" s="139">
        <f>'- 31 -'!F18</f>
        <v>2129277</v>
      </c>
      <c r="G18" s="145">
        <f t="shared" si="1"/>
        <v>1.4640263531715527</v>
      </c>
      <c r="I18" s="1">
        <v>1454398</v>
      </c>
    </row>
    <row r="19" spans="1:12" ht="14.1" customHeight="1" x14ac:dyDescent="0.2">
      <c r="A19" s="271" t="s">
        <v>115</v>
      </c>
      <c r="B19" s="303">
        <f>'- 31 -'!D19</f>
        <v>3979850</v>
      </c>
      <c r="C19" s="303">
        <f>B19/'- 7 -'!E19</f>
        <v>912.49570102029122</v>
      </c>
      <c r="D19" s="304">
        <f t="shared" si="0"/>
        <v>6.2148158674289213</v>
      </c>
      <c r="E19" s="303">
        <f>I19/'- 7 -'!E19</f>
        <v>146.82586266192823</v>
      </c>
      <c r="F19" s="303">
        <f>'- 31 -'!F19</f>
        <v>101000</v>
      </c>
      <c r="G19" s="304">
        <f t="shared" si="1"/>
        <v>0.15771860814109101</v>
      </c>
      <c r="I19" s="1">
        <v>640381</v>
      </c>
    </row>
    <row r="20" spans="1:12" ht="14.1" customHeight="1" x14ac:dyDescent="0.2">
      <c r="A20" s="15" t="s">
        <v>116</v>
      </c>
      <c r="B20" s="139">
        <f>'- 31 -'!D20</f>
        <v>7561100</v>
      </c>
      <c r="C20" s="139">
        <f>B20/'- 7 -'!E20</f>
        <v>961.48270600203455</v>
      </c>
      <c r="D20" s="145">
        <f t="shared" si="0"/>
        <v>7.1766742662538467</v>
      </c>
      <c r="E20" s="139">
        <f>I20/'- 7 -'!E20</f>
        <v>133.97329603255341</v>
      </c>
      <c r="F20" s="139">
        <f>'- 31 -'!F20</f>
        <v>696000</v>
      </c>
      <c r="G20" s="145">
        <f t="shared" si="1"/>
        <v>0.66061357333095416</v>
      </c>
      <c r="I20" s="1">
        <v>1053566</v>
      </c>
    </row>
    <row r="21" spans="1:12" ht="14.1" customHeight="1" x14ac:dyDescent="0.2">
      <c r="A21" s="271" t="s">
        <v>117</v>
      </c>
      <c r="B21" s="303">
        <f>'- 31 -'!D21</f>
        <v>2799000</v>
      </c>
      <c r="C21" s="303">
        <f>B21/'- 7 -'!E21</f>
        <v>997.68312243806804</v>
      </c>
      <c r="D21" s="304">
        <f t="shared" si="0"/>
        <v>6.0936117222018424</v>
      </c>
      <c r="E21" s="303">
        <f>I21/'- 7 -'!E21</f>
        <v>163.72607378363929</v>
      </c>
      <c r="F21" s="303">
        <f>'- 31 -'!F21</f>
        <v>375000</v>
      </c>
      <c r="G21" s="304">
        <f t="shared" si="1"/>
        <v>0.81640028432500567</v>
      </c>
      <c r="I21" s="1">
        <v>459333.5</v>
      </c>
    </row>
    <row r="22" spans="1:12" ht="14.1" customHeight="1" x14ac:dyDescent="0.2">
      <c r="A22" s="15" t="s">
        <v>118</v>
      </c>
      <c r="B22" s="139">
        <f>'- 31 -'!D22</f>
        <v>2202199</v>
      </c>
      <c r="C22" s="139">
        <f>B22/'- 7 -'!E22</f>
        <v>1511.2537743617897</v>
      </c>
      <c r="D22" s="145">
        <f t="shared" si="0"/>
        <v>6.4601834033465533</v>
      </c>
      <c r="E22" s="139">
        <f>I22/'- 7 -'!E22</f>
        <v>233.93357123250067</v>
      </c>
      <c r="F22" s="139">
        <f>'- 31 -'!F22</f>
        <v>226000</v>
      </c>
      <c r="G22" s="145">
        <f t="shared" si="1"/>
        <v>0.66297434934641286</v>
      </c>
      <c r="I22" s="1">
        <v>340888</v>
      </c>
    </row>
    <row r="23" spans="1:12" ht="14.1" customHeight="1" x14ac:dyDescent="0.2">
      <c r="A23" s="271" t="s">
        <v>119</v>
      </c>
      <c r="B23" s="303">
        <f>'- 31 -'!D23</f>
        <v>1354450</v>
      </c>
      <c r="C23" s="303">
        <f>B23/'- 7 -'!E23</f>
        <v>1302.3557692307693</v>
      </c>
      <c r="D23" s="304">
        <f t="shared" si="0"/>
        <v>5.8067102239599411</v>
      </c>
      <c r="E23" s="303">
        <f>I23/'- 7 -'!E23</f>
        <v>224.28461538461539</v>
      </c>
      <c r="F23" s="303">
        <f>'- 31 -'!F23</f>
        <v>140382</v>
      </c>
      <c r="G23" s="304">
        <f t="shared" si="1"/>
        <v>0.60183660870459921</v>
      </c>
      <c r="I23" s="1">
        <v>233256</v>
      </c>
    </row>
    <row r="24" spans="1:12" ht="14.1" customHeight="1" x14ac:dyDescent="0.2">
      <c r="A24" s="15" t="s">
        <v>120</v>
      </c>
      <c r="B24" s="139">
        <f>'- 31 -'!D24</f>
        <v>5330760</v>
      </c>
      <c r="C24" s="139">
        <f>B24/'- 7 -'!E24</f>
        <v>1411.7478813559321</v>
      </c>
      <c r="D24" s="145">
        <f t="shared" si="0"/>
        <v>7.4898732523193523</v>
      </c>
      <c r="E24" s="139">
        <f>I24/'- 7 -'!E24</f>
        <v>188.4875529661017</v>
      </c>
      <c r="F24" s="139">
        <f>'- 31 -'!F24</f>
        <v>576800</v>
      </c>
      <c r="G24" s="145">
        <f t="shared" si="1"/>
        <v>0.81042082028412499</v>
      </c>
      <c r="I24" s="1">
        <v>711729</v>
      </c>
    </row>
    <row r="25" spans="1:12" ht="14.1" customHeight="1" x14ac:dyDescent="0.2">
      <c r="A25" s="271" t="s">
        <v>121</v>
      </c>
      <c r="B25" s="303">
        <f>'- 31 -'!D25</f>
        <v>17054234</v>
      </c>
      <c r="C25" s="303">
        <f>B25/'- 7 -'!E25</f>
        <v>1145.7328854551563</v>
      </c>
      <c r="D25" s="304">
        <f t="shared" si="0"/>
        <v>7.3633409610983982</v>
      </c>
      <c r="E25" s="303">
        <f>I25/'- 7 -'!E25</f>
        <v>155.59959690964058</v>
      </c>
      <c r="F25" s="303">
        <f>'- 31 -'!F25</f>
        <v>501460</v>
      </c>
      <c r="G25" s="304">
        <f t="shared" si="1"/>
        <v>0.21651051336298088</v>
      </c>
      <c r="I25" s="1">
        <v>2316100</v>
      </c>
    </row>
    <row r="26" spans="1:12" ht="14.1" customHeight="1" x14ac:dyDescent="0.2">
      <c r="A26" s="15" t="s">
        <v>122</v>
      </c>
      <c r="B26" s="139">
        <f>'- 31 -'!D26</f>
        <v>4382195</v>
      </c>
      <c r="C26" s="139">
        <f>B26/'- 7 -'!E26</f>
        <v>1543.8418178615466</v>
      </c>
      <c r="D26" s="145">
        <f t="shared" si="0"/>
        <v>5.6926187609037635</v>
      </c>
      <c r="E26" s="139">
        <f>I26/'- 7 -'!E26</f>
        <v>271.20063413774881</v>
      </c>
      <c r="F26" s="139">
        <f>'- 31 -'!F26</f>
        <v>243000</v>
      </c>
      <c r="G26" s="145">
        <f t="shared" si="1"/>
        <v>0.31566517667507143</v>
      </c>
      <c r="I26" s="1">
        <v>769803</v>
      </c>
    </row>
    <row r="27" spans="1:12" ht="14.1" customHeight="1" x14ac:dyDescent="0.2">
      <c r="A27" s="271" t="s">
        <v>123</v>
      </c>
      <c r="B27" s="303">
        <f>'- 31 -'!D27</f>
        <v>4360560</v>
      </c>
      <c r="C27" s="349">
        <f>B27/'- 7 -'!E27</f>
        <v>1431.0994420741713</v>
      </c>
      <c r="D27" s="304">
        <f t="shared" si="0"/>
        <v>9.3249875433310301</v>
      </c>
      <c r="E27" s="349">
        <f>I27/'- 7 -'!E27</f>
        <v>153.46931407942239</v>
      </c>
      <c r="F27" s="307">
        <f>'- 31 -'!F27</f>
        <v>456000</v>
      </c>
      <c r="G27" s="304">
        <f t="shared" si="1"/>
        <v>0.97514867809615047</v>
      </c>
      <c r="I27" s="1">
        <v>467621</v>
      </c>
      <c r="L27" s="375" t="s">
        <v>36</v>
      </c>
    </row>
    <row r="28" spans="1:12" ht="14.1" customHeight="1" x14ac:dyDescent="0.2">
      <c r="A28" s="15" t="s">
        <v>124</v>
      </c>
      <c r="B28" s="139">
        <f>'- 31 -'!D28</f>
        <v>3039202</v>
      </c>
      <c r="C28" s="139">
        <f>B28/'- 7 -'!E28</f>
        <v>1552.990291262136</v>
      </c>
      <c r="D28" s="145">
        <f t="shared" si="0"/>
        <v>6.8563068641981992</v>
      </c>
      <c r="E28" s="139">
        <f>I28/'- 7 -'!E28</f>
        <v>226.50536535513541</v>
      </c>
      <c r="F28" s="139">
        <f>'- 31 -'!F28</f>
        <v>156017</v>
      </c>
      <c r="G28" s="145">
        <f t="shared" si="1"/>
        <v>0.3519675322770946</v>
      </c>
      <c r="I28" s="1">
        <f>393271+50000</f>
        <v>443271</v>
      </c>
      <c r="J28" s="204" t="s">
        <v>356</v>
      </c>
      <c r="K28" s="1">
        <v>50000</v>
      </c>
      <c r="L28" s="131" t="s">
        <v>515</v>
      </c>
    </row>
    <row r="29" spans="1:12" ht="14.1" customHeight="1" x14ac:dyDescent="0.2">
      <c r="A29" s="271" t="s">
        <v>125</v>
      </c>
      <c r="B29" s="303">
        <f>'- 31 -'!D29</f>
        <v>15173512</v>
      </c>
      <c r="C29" s="303">
        <f>B29/'- 7 -'!E29</f>
        <v>1123.0570872406724</v>
      </c>
      <c r="D29" s="304">
        <f t="shared" si="0"/>
        <v>8.2540730433344613</v>
      </c>
      <c r="E29" s="303">
        <f>I29/'- 7 -'!E29</f>
        <v>136.06095818931382</v>
      </c>
      <c r="F29" s="303">
        <f>'- 31 -'!F29</f>
        <v>3111550</v>
      </c>
      <c r="G29" s="304">
        <f t="shared" si="1"/>
        <v>1.6926180951375887</v>
      </c>
      <c r="I29" s="1">
        <v>1838306</v>
      </c>
    </row>
    <row r="30" spans="1:12" ht="14.1" customHeight="1" x14ac:dyDescent="0.2">
      <c r="A30" s="15" t="s">
        <v>126</v>
      </c>
      <c r="B30" s="139">
        <f>'- 31 -'!D30</f>
        <v>1264280</v>
      </c>
      <c r="C30" s="139">
        <f>B30/'- 7 -'!E30</f>
        <v>1251.7623762376238</v>
      </c>
      <c r="D30" s="145">
        <f t="shared" si="0"/>
        <v>6.0282751221838122</v>
      </c>
      <c r="E30" s="139">
        <f>I30/'- 7 -'!E30</f>
        <v>207.64851485148515</v>
      </c>
      <c r="F30" s="139">
        <f>'- 31 -'!F30</f>
        <v>137276</v>
      </c>
      <c r="G30" s="145">
        <f t="shared" si="1"/>
        <v>0.65455239003456911</v>
      </c>
      <c r="I30" s="1">
        <v>209725</v>
      </c>
    </row>
    <row r="31" spans="1:12" ht="14.1" customHeight="1" x14ac:dyDescent="0.2">
      <c r="A31" s="271" t="s">
        <v>127</v>
      </c>
      <c r="B31" s="303">
        <f>'- 31 -'!D31</f>
        <v>3400038</v>
      </c>
      <c r="C31" s="303">
        <f>B31/'- 7 -'!E31</f>
        <v>1047.1643721703779</v>
      </c>
      <c r="D31" s="304">
        <f t="shared" si="0"/>
        <v>5.6059613786553761</v>
      </c>
      <c r="E31" s="303">
        <f>I31/'- 7 -'!E31</f>
        <v>186.79478887554282</v>
      </c>
      <c r="F31" s="303">
        <f>'- 31 -'!F31</f>
        <v>129960</v>
      </c>
      <c r="G31" s="304">
        <f t="shared" si="1"/>
        <v>0.21427723477503857</v>
      </c>
      <c r="I31" s="1">
        <v>606504</v>
      </c>
    </row>
    <row r="32" spans="1:12" ht="14.1" customHeight="1" x14ac:dyDescent="0.2">
      <c r="A32" s="15" t="s">
        <v>128</v>
      </c>
      <c r="B32" s="139">
        <f>'- 31 -'!D32</f>
        <v>2539180</v>
      </c>
      <c r="C32" s="139">
        <f>B32/'- 7 -'!E32</f>
        <v>1121.7936823503424</v>
      </c>
      <c r="D32" s="145">
        <f t="shared" si="0"/>
        <v>6.5846005435346351</v>
      </c>
      <c r="E32" s="139">
        <f>I32/'- 7 -'!E32</f>
        <v>170.36624696266844</v>
      </c>
      <c r="F32" s="139">
        <f>'- 31 -'!F32</f>
        <v>440000</v>
      </c>
      <c r="G32" s="145">
        <f t="shared" si="1"/>
        <v>1.1410078210899737</v>
      </c>
      <c r="I32" s="1">
        <v>385624</v>
      </c>
    </row>
    <row r="33" spans="1:9" ht="14.1" customHeight="1" x14ac:dyDescent="0.2">
      <c r="A33" s="271" t="s">
        <v>129</v>
      </c>
      <c r="B33" s="303">
        <f>'- 31 -'!D33</f>
        <v>2746650</v>
      </c>
      <c r="C33" s="303">
        <f>B33/'- 7 -'!E33</f>
        <v>1338.1973203410475</v>
      </c>
      <c r="D33" s="304">
        <f t="shared" si="0"/>
        <v>5.5831326035917916</v>
      </c>
      <c r="E33" s="303">
        <f>I33/'- 7 -'!E33</f>
        <v>239.68574908647992</v>
      </c>
      <c r="F33" s="303">
        <f>'- 31 -'!F33</f>
        <v>384485</v>
      </c>
      <c r="G33" s="304">
        <f t="shared" si="1"/>
        <v>0.78154506001565183</v>
      </c>
      <c r="I33" s="1">
        <v>491955</v>
      </c>
    </row>
    <row r="34" spans="1:9" ht="14.1" customHeight="1" x14ac:dyDescent="0.2">
      <c r="A34" s="15" t="s">
        <v>130</v>
      </c>
      <c r="B34" s="139">
        <f>'- 31 -'!D34</f>
        <v>2287133</v>
      </c>
      <c r="C34" s="139">
        <f>B34/'- 7 -'!E34</f>
        <v>1054.3184437376112</v>
      </c>
      <c r="D34" s="145">
        <f t="shared" si="0"/>
        <v>6.0660543499594208</v>
      </c>
      <c r="E34" s="139">
        <f>I34/'- 7 -'!E34</f>
        <v>173.80629696215368</v>
      </c>
      <c r="F34" s="139">
        <f>'- 31 -'!F34</f>
        <v>285742</v>
      </c>
      <c r="G34" s="145">
        <f t="shared" si="1"/>
        <v>0.75785995045592225</v>
      </c>
      <c r="I34" s="1">
        <v>377038</v>
      </c>
    </row>
    <row r="35" spans="1:9" ht="14.1" customHeight="1" x14ac:dyDescent="0.2">
      <c r="A35" s="271" t="s">
        <v>131</v>
      </c>
      <c r="B35" s="303">
        <f>'- 31 -'!D35</f>
        <v>19590625</v>
      </c>
      <c r="C35" s="303">
        <f>B35/'- 7 -'!E35</f>
        <v>1213.4926288404361</v>
      </c>
      <c r="D35" s="304">
        <f t="shared" si="0"/>
        <v>7.9850595701493026</v>
      </c>
      <c r="E35" s="303">
        <f>I35/'- 7 -'!E35</f>
        <v>151.97039147670961</v>
      </c>
      <c r="F35" s="303">
        <f>'- 31 -'!F35</f>
        <v>623500</v>
      </c>
      <c r="G35" s="304">
        <f t="shared" si="1"/>
        <v>0.25413607998663085</v>
      </c>
      <c r="I35" s="1">
        <v>2453410</v>
      </c>
    </row>
    <row r="36" spans="1:9" ht="14.1" customHeight="1" x14ac:dyDescent="0.2">
      <c r="A36" s="15" t="s">
        <v>132</v>
      </c>
      <c r="B36" s="139">
        <f>'- 31 -'!D36</f>
        <v>2486260</v>
      </c>
      <c r="C36" s="139">
        <f>B36/'- 7 -'!E36</f>
        <v>1460.3582966226138</v>
      </c>
      <c r="D36" s="145">
        <f t="shared" si="0"/>
        <v>7.7237270075396323</v>
      </c>
      <c r="E36" s="139">
        <f>I36/'- 7 -'!E36</f>
        <v>189.07430249632893</v>
      </c>
      <c r="F36" s="139">
        <f>'- 31 -'!F36</f>
        <v>110000</v>
      </c>
      <c r="G36" s="145">
        <f t="shared" si="1"/>
        <v>0.34172209295462241</v>
      </c>
      <c r="I36" s="1">
        <v>321899</v>
      </c>
    </row>
    <row r="37" spans="1:9" ht="14.1" customHeight="1" x14ac:dyDescent="0.2">
      <c r="A37" s="271" t="s">
        <v>133</v>
      </c>
      <c r="B37" s="303">
        <f>'- 31 -'!D37</f>
        <v>4225200</v>
      </c>
      <c r="C37" s="303">
        <f>B37/'- 7 -'!E37</f>
        <v>990.66822977725678</v>
      </c>
      <c r="D37" s="304">
        <f t="shared" si="0"/>
        <v>7.1869487786167348</v>
      </c>
      <c r="E37" s="303">
        <f>I37/'- 7 -'!E37</f>
        <v>137.84267291910902</v>
      </c>
      <c r="F37" s="303">
        <f>'- 31 -'!F37</f>
        <v>520000</v>
      </c>
      <c r="G37" s="304">
        <f t="shared" si="1"/>
        <v>0.88450567189262097</v>
      </c>
      <c r="I37" s="1">
        <v>587899</v>
      </c>
    </row>
    <row r="38" spans="1:9" ht="14.1" customHeight="1" x14ac:dyDescent="0.2">
      <c r="A38" s="15" t="s">
        <v>134</v>
      </c>
      <c r="B38" s="139">
        <f>'- 31 -'!D38</f>
        <v>11719590</v>
      </c>
      <c r="C38" s="139">
        <f>B38/'- 7 -'!E38</f>
        <v>1043.317902608386</v>
      </c>
      <c r="D38" s="145">
        <f t="shared" si="0"/>
        <v>8.4921488351871304</v>
      </c>
      <c r="E38" s="139">
        <f>I38/'- 7 -'!E38</f>
        <v>122.85676132822933</v>
      </c>
      <c r="F38" s="139">
        <f>'- 31 -'!F38</f>
        <v>932650</v>
      </c>
      <c r="G38" s="145">
        <f t="shared" si="1"/>
        <v>0.67580884750552517</v>
      </c>
      <c r="I38" s="1">
        <v>1380050</v>
      </c>
    </row>
    <row r="39" spans="1:9" ht="14.1" customHeight="1" x14ac:dyDescent="0.2">
      <c r="A39" s="271" t="s">
        <v>135</v>
      </c>
      <c r="B39" s="303">
        <f>'- 31 -'!D39</f>
        <v>2117900</v>
      </c>
      <c r="C39" s="303">
        <f>B39/'- 7 -'!E39</f>
        <v>1399.8017184401851</v>
      </c>
      <c r="D39" s="304">
        <f t="shared" si="0"/>
        <v>6.7000313189055465</v>
      </c>
      <c r="E39" s="303">
        <f>I39/'- 7 -'!E39</f>
        <v>208.92465300727034</v>
      </c>
      <c r="F39" s="303">
        <f>'- 31 -'!F39</f>
        <v>160000</v>
      </c>
      <c r="G39" s="304">
        <f t="shared" si="1"/>
        <v>0.50616413004621907</v>
      </c>
      <c r="I39" s="1">
        <v>316103</v>
      </c>
    </row>
    <row r="40" spans="1:9" ht="14.1" customHeight="1" x14ac:dyDescent="0.2">
      <c r="A40" s="15" t="s">
        <v>136</v>
      </c>
      <c r="B40" s="139">
        <f>'- 31 -'!D40</f>
        <v>8583937</v>
      </c>
      <c r="C40" s="139">
        <f>B40/'- 7 -'!E40</f>
        <v>1027.8317667484882</v>
      </c>
      <c r="D40" s="145">
        <f t="shared" si="0"/>
        <v>6.0326845432407641</v>
      </c>
      <c r="E40" s="139">
        <f>I40/'- 7 -'!E40</f>
        <v>170.37717775249956</v>
      </c>
      <c r="F40" s="139">
        <f>'- 31 -'!F40</f>
        <v>1421705</v>
      </c>
      <c r="G40" s="145">
        <f t="shared" si="1"/>
        <v>0.99915665487154803</v>
      </c>
      <c r="I40" s="1">
        <v>1422905</v>
      </c>
    </row>
    <row r="41" spans="1:9" ht="14.1" customHeight="1" x14ac:dyDescent="0.2">
      <c r="A41" s="271" t="s">
        <v>137</v>
      </c>
      <c r="B41" s="303">
        <f>'- 31 -'!D41</f>
        <v>5434188</v>
      </c>
      <c r="C41" s="303">
        <f>B41/'- 7 -'!E41</f>
        <v>1246.6593255333792</v>
      </c>
      <c r="D41" s="304">
        <f t="shared" si="0"/>
        <v>7.467436561964937</v>
      </c>
      <c r="E41" s="303">
        <f>I41/'- 7 -'!E41</f>
        <v>166.94608855242029</v>
      </c>
      <c r="F41" s="303">
        <f>'- 31 -'!F41</f>
        <v>525060</v>
      </c>
      <c r="G41" s="304">
        <f t="shared" si="1"/>
        <v>0.72151575198084972</v>
      </c>
      <c r="I41" s="1">
        <v>727718</v>
      </c>
    </row>
    <row r="42" spans="1:9" ht="14.1" customHeight="1" x14ac:dyDescent="0.2">
      <c r="A42" s="15" t="s">
        <v>138</v>
      </c>
      <c r="B42" s="139">
        <f>'- 31 -'!D42</f>
        <v>1988182</v>
      </c>
      <c r="C42" s="139">
        <f>B42/'- 7 -'!E42</f>
        <v>1414.0697012802275</v>
      </c>
      <c r="D42" s="145">
        <f t="shared" si="0"/>
        <v>5.8761626377653711</v>
      </c>
      <c r="E42" s="139">
        <f>I42/'- 7 -'!E42</f>
        <v>240.64509246088193</v>
      </c>
      <c r="F42" s="139">
        <f>'- 31 -'!F42</f>
        <v>155343</v>
      </c>
      <c r="G42" s="145">
        <f t="shared" si="1"/>
        <v>0.45912332605283923</v>
      </c>
      <c r="I42" s="1">
        <v>338347</v>
      </c>
    </row>
    <row r="43" spans="1:9" ht="14.1" customHeight="1" x14ac:dyDescent="0.2">
      <c r="A43" s="271" t="s">
        <v>139</v>
      </c>
      <c r="B43" s="303">
        <f>'- 31 -'!D43</f>
        <v>828231</v>
      </c>
      <c r="C43" s="303">
        <f>B43/'- 7 -'!E43</f>
        <v>872.28120063191159</v>
      </c>
      <c r="D43" s="304">
        <f>B43/I43</f>
        <v>4.535816383531035</v>
      </c>
      <c r="E43" s="303">
        <f>I43/'- 7 -'!E43</f>
        <v>192.30963665086887</v>
      </c>
      <c r="F43" s="303">
        <f>'- 31 -'!F43</f>
        <v>128783</v>
      </c>
      <c r="G43" s="304">
        <f>F43/I43</f>
        <v>0.70528154744301685</v>
      </c>
      <c r="I43" s="1">
        <v>182598</v>
      </c>
    </row>
    <row r="44" spans="1:9" ht="14.1" customHeight="1" x14ac:dyDescent="0.2">
      <c r="A44" s="15" t="s">
        <v>140</v>
      </c>
      <c r="B44" s="139">
        <f>'- 31 -'!D44</f>
        <v>1063201</v>
      </c>
      <c r="C44" s="139">
        <f>B44/'- 7 -'!E44</f>
        <v>1530.8869690424765</v>
      </c>
      <c r="D44" s="145">
        <f>B44/I44</f>
        <v>5.8835628946305345</v>
      </c>
      <c r="E44" s="139">
        <f>I44/'- 7 -'!E44</f>
        <v>260.19726421886247</v>
      </c>
      <c r="F44" s="139">
        <f>'- 31 -'!F44</f>
        <v>50460</v>
      </c>
      <c r="G44" s="145">
        <f>F44/I44</f>
        <v>0.27923655420099941</v>
      </c>
      <c r="I44" s="1">
        <v>180707</v>
      </c>
    </row>
    <row r="45" spans="1:9" ht="14.1" customHeight="1" x14ac:dyDescent="0.2">
      <c r="A45" s="271" t="s">
        <v>141</v>
      </c>
      <c r="B45" s="303">
        <f>'- 31 -'!D45</f>
        <v>1580736</v>
      </c>
      <c r="C45" s="303">
        <f>B45/'- 7 -'!E45</f>
        <v>879.16351501668521</v>
      </c>
      <c r="D45" s="304">
        <f>B45/I45</f>
        <v>7.2821821632752721</v>
      </c>
      <c r="E45" s="303">
        <f>I45/'- 7 -'!E45</f>
        <v>120.72803114571747</v>
      </c>
      <c r="F45" s="303">
        <f>'- 31 -'!F45</f>
        <v>138760</v>
      </c>
      <c r="G45" s="304">
        <f>F45/I45</f>
        <v>0.63924374277303531</v>
      </c>
      <c r="I45" s="1">
        <v>217069</v>
      </c>
    </row>
    <row r="46" spans="1:9" ht="14.1" customHeight="1" x14ac:dyDescent="0.2">
      <c r="A46" s="15" t="s">
        <v>142</v>
      </c>
      <c r="B46" s="139">
        <f>'- 31 -'!D46</f>
        <v>43914800</v>
      </c>
      <c r="C46" s="139">
        <f>B46/'- 7 -'!E46</f>
        <v>1451.4890100809785</v>
      </c>
      <c r="D46" s="145">
        <f>B46/I46</f>
        <v>8.6956332336873707</v>
      </c>
      <c r="E46" s="139">
        <f>I46/'- 7 -'!E46</f>
        <v>166.92159973558088</v>
      </c>
      <c r="F46" s="139">
        <f>'- 31 -'!F46</f>
        <v>6377000</v>
      </c>
      <c r="G46" s="145">
        <f>F46/I46</f>
        <v>1.2627190179899344</v>
      </c>
      <c r="I46" s="1">
        <v>5050213</v>
      </c>
    </row>
    <row r="47" spans="1:9" ht="5.0999999999999996" customHeight="1" x14ac:dyDescent="0.2">
      <c r="A47"/>
      <c r="B47"/>
      <c r="C47"/>
      <c r="D47"/>
      <c r="E47"/>
      <c r="F47"/>
      <c r="G47"/>
      <c r="H47"/>
      <c r="I47"/>
    </row>
    <row r="48" spans="1:9" ht="14.1" customHeight="1" x14ac:dyDescent="0.2">
      <c r="A48" s="274" t="s">
        <v>143</v>
      </c>
      <c r="B48" s="305">
        <f>SUM(B11:B46)</f>
        <v>225253590</v>
      </c>
      <c r="C48" s="305">
        <f>B48/'- 7 -'!E48</f>
        <v>1257.8729024151892</v>
      </c>
      <c r="D48" s="306">
        <f>B48/I48</f>
        <v>7.6487308512915346</v>
      </c>
      <c r="E48" s="305">
        <f>I48/'- 7 -'!E48</f>
        <v>164.45511377914281</v>
      </c>
      <c r="F48" s="305">
        <f>SUM(F11:F46)</f>
        <v>23872950</v>
      </c>
      <c r="G48" s="306">
        <f>F48/I48</f>
        <v>0.81063200447256012</v>
      </c>
      <c r="I48" s="1">
        <f>SUM(I11:I46)</f>
        <v>29449799.5</v>
      </c>
    </row>
    <row r="49" spans="1:9" ht="5.0999999999999996" customHeight="1" x14ac:dyDescent="0.2">
      <c r="A49" s="17" t="s">
        <v>1</v>
      </c>
      <c r="B49" s="140"/>
      <c r="C49" s="140"/>
      <c r="D49" s="79"/>
      <c r="E49" s="140"/>
      <c r="F49" s="140"/>
      <c r="G49" s="79"/>
    </row>
    <row r="50" spans="1:9" ht="14.1" customHeight="1" x14ac:dyDescent="0.2">
      <c r="A50" s="15" t="s">
        <v>144</v>
      </c>
      <c r="B50" s="139">
        <f>'- 31 -'!D50</f>
        <v>449100</v>
      </c>
      <c r="C50" s="139">
        <f>B50/'- 7 -'!E50</f>
        <v>2673.2142857142858</v>
      </c>
      <c r="D50" s="145">
        <f>B50/I50</f>
        <v>6.1473390275952697</v>
      </c>
      <c r="E50" s="139">
        <f>I50/'- 7 -'!E50</f>
        <v>434.85714285714283</v>
      </c>
      <c r="F50" s="139">
        <f>'- 31 -'!F50</f>
        <v>40000</v>
      </c>
      <c r="G50" s="248" t="s">
        <v>88</v>
      </c>
      <c r="I50" s="129">
        <v>73056</v>
      </c>
    </row>
    <row r="51" spans="1:9" ht="14.1" customHeight="1" x14ac:dyDescent="0.2">
      <c r="A51" s="360" t="s">
        <v>514</v>
      </c>
      <c r="B51" s="303">
        <f>'- 31 -'!D51</f>
        <v>3777256</v>
      </c>
      <c r="C51" s="303">
        <f>B51/'- 7 -'!E51</f>
        <v>2757.1211678832115</v>
      </c>
      <c r="D51" s="308" t="s">
        <v>88</v>
      </c>
      <c r="E51" s="307" t="s">
        <v>88</v>
      </c>
      <c r="F51" s="303">
        <f>'- 31 -'!F51</f>
        <v>0</v>
      </c>
      <c r="G51" s="308" t="s">
        <v>88</v>
      </c>
    </row>
    <row r="52" spans="1:9" ht="50.1" customHeight="1" x14ac:dyDescent="0.2">
      <c r="A52" s="19"/>
      <c r="B52" s="19"/>
      <c r="C52" s="19"/>
      <c r="D52" s="19"/>
      <c r="E52" s="19"/>
      <c r="F52" s="19"/>
      <c r="G52" s="19"/>
    </row>
    <row r="53" spans="1:9" ht="15" customHeight="1" x14ac:dyDescent="0.2">
      <c r="A53" s="131" t="s">
        <v>580</v>
      </c>
    </row>
    <row r="54" spans="1:9" ht="12" customHeight="1" x14ac:dyDescent="0.2">
      <c r="A54" s="1" t="s">
        <v>336</v>
      </c>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6">
    <mergeCell ref="B7:E7"/>
    <mergeCell ref="F6:G7"/>
    <mergeCell ref="C8:C9"/>
    <mergeCell ref="D8:D9"/>
    <mergeCell ref="G8:G9"/>
    <mergeCell ref="E8:E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BB59"/>
  <sheetViews>
    <sheetView showGridLines="0" showZeros="0" workbookViewId="0"/>
  </sheetViews>
  <sheetFormatPr defaultColWidth="15.83203125" defaultRowHeight="12" x14ac:dyDescent="0.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54" ht="6.95" customHeight="1" x14ac:dyDescent="0.2">
      <c r="A1" s="3"/>
      <c r="B1" s="4"/>
      <c r="C1" s="4"/>
      <c r="D1" s="4"/>
      <c r="E1" s="4"/>
      <c r="F1" s="4"/>
      <c r="G1" s="4"/>
      <c r="H1" s="4"/>
      <c r="I1" s="4"/>
      <c r="J1" s="4"/>
    </row>
    <row r="2" spans="1:54" ht="15.95" customHeight="1" x14ac:dyDescent="0.2">
      <c r="A2" s="132"/>
      <c r="B2" s="5" t="str">
        <f>IF(Lang=1,BA2,BB2)</f>
        <v>ANALYSIS OF INFORMATION TECHNOLOGY EXPENSES</v>
      </c>
      <c r="C2" s="6"/>
      <c r="D2" s="6"/>
      <c r="E2" s="6"/>
      <c r="F2" s="6"/>
      <c r="G2" s="6"/>
      <c r="H2" s="85"/>
      <c r="I2" s="141"/>
      <c r="J2" s="92"/>
      <c r="BA2" s="456" t="s">
        <v>305</v>
      </c>
      <c r="BB2" s="456" t="s">
        <v>443</v>
      </c>
    </row>
    <row r="3" spans="1:54" ht="15.95" customHeight="1" x14ac:dyDescent="0.2">
      <c r="A3" s="135"/>
      <c r="B3" s="7" t="str">
        <f>OPYEAR</f>
        <v>OPERATING FUND 2018/2019 BUDGET</v>
      </c>
      <c r="C3" s="8"/>
      <c r="D3" s="8"/>
      <c r="E3" s="8"/>
      <c r="F3" s="8"/>
      <c r="G3" s="8"/>
      <c r="H3" s="87"/>
      <c r="I3" s="87"/>
      <c r="J3" s="81"/>
    </row>
    <row r="4" spans="1:54" ht="15.95" customHeight="1" x14ac:dyDescent="0.2">
      <c r="B4" s="4"/>
      <c r="C4" s="4"/>
      <c r="D4" s="4"/>
      <c r="E4" s="4"/>
      <c r="F4" s="4"/>
      <c r="G4" s="4"/>
      <c r="H4" s="4"/>
      <c r="I4" s="4"/>
      <c r="J4" s="4"/>
    </row>
    <row r="5" spans="1:54" ht="14.1" customHeight="1" x14ac:dyDescent="0.2"/>
    <row r="6" spans="1:54" ht="18" customHeight="1" x14ac:dyDescent="0.2">
      <c r="B6" s="659" t="s">
        <v>257</v>
      </c>
      <c r="C6" s="660"/>
      <c r="D6" s="660"/>
      <c r="E6" s="660"/>
      <c r="F6" s="660"/>
      <c r="G6" s="660"/>
      <c r="H6" s="660"/>
      <c r="I6" s="660"/>
      <c r="J6" s="661"/>
    </row>
    <row r="7" spans="1:54" ht="15.95" customHeight="1" x14ac:dyDescent="0.2">
      <c r="B7" s="592" t="s">
        <v>64</v>
      </c>
      <c r="C7" s="593"/>
      <c r="D7" s="594"/>
      <c r="E7" s="592" t="s">
        <v>58</v>
      </c>
      <c r="F7" s="593"/>
      <c r="G7" s="594"/>
      <c r="H7" s="592" t="s">
        <v>59</v>
      </c>
      <c r="I7" s="593"/>
      <c r="J7" s="594"/>
    </row>
    <row r="8" spans="1:54" ht="15.95" customHeight="1" x14ac:dyDescent="0.2">
      <c r="A8" s="82"/>
      <c r="B8" s="137"/>
      <c r="C8" s="83"/>
      <c r="D8" s="529" t="s">
        <v>396</v>
      </c>
      <c r="E8" s="137"/>
      <c r="F8" s="138"/>
      <c r="G8" s="529" t="s">
        <v>396</v>
      </c>
      <c r="H8" s="137"/>
      <c r="I8" s="138"/>
      <c r="J8" s="529" t="s">
        <v>396</v>
      </c>
    </row>
    <row r="9" spans="1:54" ht="15.95" customHeight="1" x14ac:dyDescent="0.2">
      <c r="A9" s="27" t="s">
        <v>37</v>
      </c>
      <c r="B9" s="89" t="s">
        <v>38</v>
      </c>
      <c r="C9" s="89" t="s">
        <v>39</v>
      </c>
      <c r="D9" s="569"/>
      <c r="E9" s="89" t="s">
        <v>38</v>
      </c>
      <c r="F9" s="89" t="s">
        <v>39</v>
      </c>
      <c r="G9" s="569"/>
      <c r="H9" s="89" t="s">
        <v>38</v>
      </c>
      <c r="I9" s="89" t="s">
        <v>39</v>
      </c>
      <c r="J9" s="569"/>
    </row>
    <row r="10" spans="1:54" ht="5.0999999999999996" customHeight="1" x14ac:dyDescent="0.2">
      <c r="A10" s="29"/>
    </row>
    <row r="11" spans="1:54" ht="14.1" customHeight="1" x14ac:dyDescent="0.2">
      <c r="A11" s="271" t="s">
        <v>108</v>
      </c>
      <c r="B11" s="272">
        <v>151167</v>
      </c>
      <c r="C11" s="273">
        <f>B11/'- 3 -'!$D11*100</f>
        <v>0.7427597543876614</v>
      </c>
      <c r="D11" s="272">
        <f>B11/'- 7 -'!$E11</f>
        <v>83.818685888550036</v>
      </c>
      <c r="E11" s="272">
        <v>185984</v>
      </c>
      <c r="F11" s="273">
        <f>E11/'- 3 -'!$D11*100</f>
        <v>0.91383324508679009</v>
      </c>
      <c r="G11" s="272">
        <f>E11/'- 7 -'!$E11</f>
        <v>103.12392570002773</v>
      </c>
      <c r="H11" s="272">
        <v>213686</v>
      </c>
      <c r="I11" s="273">
        <f>H11/'- 3 -'!$D11*100</f>
        <v>1.0499471503442008</v>
      </c>
      <c r="J11" s="272">
        <f>H11/'- 7 -'!$E11</f>
        <v>118.48405877460493</v>
      </c>
    </row>
    <row r="12" spans="1:54" ht="14.1" customHeight="1" x14ac:dyDescent="0.2">
      <c r="A12" s="15" t="s">
        <v>109</v>
      </c>
      <c r="B12" s="16">
        <v>321568</v>
      </c>
      <c r="C12" s="267">
        <f>B12/'- 3 -'!$D12*100</f>
        <v>0.92097413131196049</v>
      </c>
      <c r="D12" s="16">
        <f>B12/'- 7 -'!$E12</f>
        <v>150.93546115935226</v>
      </c>
      <c r="E12" s="16">
        <v>356279</v>
      </c>
      <c r="F12" s="267">
        <f>E12/'- 3 -'!$D12*100</f>
        <v>1.0203868000848779</v>
      </c>
      <c r="G12" s="16">
        <f>E12/'- 7 -'!$E12</f>
        <v>167.22788077915982</v>
      </c>
      <c r="H12" s="16">
        <v>367584</v>
      </c>
      <c r="I12" s="267">
        <f>H12/'- 3 -'!$D12*100</f>
        <v>1.0527644388875002</v>
      </c>
      <c r="J12" s="16">
        <f>H12/'- 7 -'!$E12</f>
        <v>172.53414691386999</v>
      </c>
    </row>
    <row r="13" spans="1:54" ht="14.1" customHeight="1" x14ac:dyDescent="0.2">
      <c r="A13" s="271" t="s">
        <v>110</v>
      </c>
      <c r="B13" s="272">
        <v>553500</v>
      </c>
      <c r="C13" s="273">
        <f>B13/'- 3 -'!$D13*100</f>
        <v>0.53162777027533226</v>
      </c>
      <c r="D13" s="272">
        <f>B13/'- 7 -'!$E13</f>
        <v>64.405399115662092</v>
      </c>
      <c r="E13" s="272">
        <v>533500</v>
      </c>
      <c r="F13" s="273">
        <f>E13/'- 3 -'!$D13*100</f>
        <v>0.51241809474596167</v>
      </c>
      <c r="G13" s="272">
        <f>E13/'- 7 -'!$E13</f>
        <v>62.078194088899231</v>
      </c>
      <c r="H13" s="272">
        <v>1035600</v>
      </c>
      <c r="I13" s="273">
        <f>H13/'- 3 -'!$D13*100</f>
        <v>0.99467699891081141</v>
      </c>
      <c r="J13" s="272">
        <f>H13/'- 7 -'!$E13</f>
        <v>120.50267628578078</v>
      </c>
    </row>
    <row r="14" spans="1:54" ht="14.1" customHeight="1" x14ac:dyDescent="0.2">
      <c r="A14" s="15" t="s">
        <v>319</v>
      </c>
      <c r="B14" s="16">
        <v>547096</v>
      </c>
      <c r="C14" s="267">
        <f>B14/'- 3 -'!$D14*100</f>
        <v>0.58621456702953445</v>
      </c>
      <c r="D14" s="16">
        <f>B14/'- 7 -'!$E14</f>
        <v>94.489810017271154</v>
      </c>
      <c r="E14" s="16">
        <v>443583</v>
      </c>
      <c r="F14" s="267">
        <f>E14/'- 3 -'!$D14*100</f>
        <v>0.47530015991098823</v>
      </c>
      <c r="G14" s="16">
        <f>E14/'- 7 -'!$E14</f>
        <v>76.611917098445602</v>
      </c>
      <c r="H14" s="16">
        <v>614810</v>
      </c>
      <c r="I14" s="267">
        <f>H14/'- 3 -'!$D14*100</f>
        <v>0.65877026692834173</v>
      </c>
      <c r="J14" s="16">
        <f>H14/'- 7 -'!$E14</f>
        <v>106.18480138169258</v>
      </c>
    </row>
    <row r="15" spans="1:54" ht="14.1" customHeight="1" x14ac:dyDescent="0.2">
      <c r="A15" s="271" t="s">
        <v>111</v>
      </c>
      <c r="B15" s="272">
        <v>137650</v>
      </c>
      <c r="C15" s="273">
        <f>B15/'- 3 -'!$D15*100</f>
        <v>0.66240695444050146</v>
      </c>
      <c r="D15" s="272">
        <f>B15/'- 7 -'!$E15</f>
        <v>102.03854707190511</v>
      </c>
      <c r="E15" s="272">
        <v>181000</v>
      </c>
      <c r="F15" s="273">
        <f>E15/'- 3 -'!$D15*100</f>
        <v>0.8710182255992065</v>
      </c>
      <c r="G15" s="272">
        <f>E15/'- 7 -'!$E15</f>
        <v>134.17346182357301</v>
      </c>
      <c r="H15" s="272">
        <v>139500</v>
      </c>
      <c r="I15" s="273">
        <f>H15/'- 3 -'!$D15*100</f>
        <v>0.6713096269120955</v>
      </c>
      <c r="J15" s="272">
        <f>H15/'- 7 -'!$E15</f>
        <v>103.40993328391401</v>
      </c>
    </row>
    <row r="16" spans="1:54" ht="14.1" customHeight="1" x14ac:dyDescent="0.2">
      <c r="A16" s="15" t="s">
        <v>112</v>
      </c>
      <c r="B16" s="16">
        <v>55058</v>
      </c>
      <c r="C16" s="267">
        <f>B16/'- 3 -'!$D16*100</f>
        <v>0.37032612751788541</v>
      </c>
      <c r="D16" s="16">
        <f>B16/'- 7 -'!$E16</f>
        <v>59.651137594799565</v>
      </c>
      <c r="E16" s="16">
        <v>123338</v>
      </c>
      <c r="F16" s="267">
        <f>E16/'- 3 -'!$D16*100</f>
        <v>0.82958487260345359</v>
      </c>
      <c r="G16" s="16">
        <f>E16/'- 7 -'!$E16</f>
        <v>133.62730227518961</v>
      </c>
      <c r="H16" s="16">
        <v>271015</v>
      </c>
      <c r="I16" s="267">
        <f>H16/'- 3 -'!$D16*100</f>
        <v>1.8228765202016002</v>
      </c>
      <c r="J16" s="16">
        <f>H16/'- 7 -'!$E16</f>
        <v>293.62405200433369</v>
      </c>
    </row>
    <row r="17" spans="1:10" ht="14.1" customHeight="1" x14ac:dyDescent="0.2">
      <c r="A17" s="271" t="s">
        <v>113</v>
      </c>
      <c r="B17" s="272">
        <v>116000</v>
      </c>
      <c r="C17" s="273">
        <f>B17/'- 3 -'!$D17*100</f>
        <v>0.62029491600939468</v>
      </c>
      <c r="D17" s="272">
        <f>B17/'- 7 -'!$E17</f>
        <v>83.213773314203735</v>
      </c>
      <c r="E17" s="272">
        <v>149784</v>
      </c>
      <c r="F17" s="273">
        <f>E17/'- 3 -'!$D17*100</f>
        <v>0.80095046292716532</v>
      </c>
      <c r="G17" s="272">
        <f>E17/'- 7 -'!$E17</f>
        <v>107.44906743185079</v>
      </c>
      <c r="H17" s="272">
        <v>152558</v>
      </c>
      <c r="I17" s="273">
        <f>H17/'- 3 -'!$D17*100</f>
        <v>0.81578406721173469</v>
      </c>
      <c r="J17" s="272">
        <f>H17/'- 7 -'!$E17</f>
        <v>109.4390243902439</v>
      </c>
    </row>
    <row r="18" spans="1:10" ht="14.1" customHeight="1" x14ac:dyDescent="0.2">
      <c r="A18" s="15" t="s">
        <v>114</v>
      </c>
      <c r="B18" s="16">
        <v>361191</v>
      </c>
      <c r="C18" s="267">
        <f>B18/'- 3 -'!$D18*100</f>
        <v>0.26819935576642207</v>
      </c>
      <c r="D18" s="16">
        <f>B18/'- 7 -'!$E18</f>
        <v>58.871919415829964</v>
      </c>
      <c r="E18" s="16">
        <v>0</v>
      </c>
      <c r="F18" s="267">
        <f>E18/'- 3 -'!$D18*100</f>
        <v>0</v>
      </c>
      <c r="G18" s="16">
        <f>E18/'- 7 -'!$E18</f>
        <v>0</v>
      </c>
      <c r="H18" s="16">
        <v>1600817</v>
      </c>
      <c r="I18" s="267">
        <f>H18/'- 3 -'!$D18*100</f>
        <v>1.1886732728665343</v>
      </c>
      <c r="J18" s="16">
        <f>H18/'- 7 -'!$E18</f>
        <v>260.9233602816534</v>
      </c>
    </row>
    <row r="19" spans="1:10" ht="14.1" customHeight="1" x14ac:dyDescent="0.2">
      <c r="A19" s="271" t="s">
        <v>115</v>
      </c>
      <c r="B19" s="272">
        <v>484000</v>
      </c>
      <c r="C19" s="273">
        <f>B19/'- 3 -'!$D19*100</f>
        <v>0.96181361482941718</v>
      </c>
      <c r="D19" s="272">
        <f>B19/'- 7 -'!$E19</f>
        <v>110.97099621689786</v>
      </c>
      <c r="E19" s="272">
        <v>213400</v>
      </c>
      <c r="F19" s="273">
        <f>E19/'- 3 -'!$D19*100</f>
        <v>0.42407236653842484</v>
      </c>
      <c r="G19" s="272">
        <f>E19/'- 7 -'!$E19</f>
        <v>48.928121059268598</v>
      </c>
      <c r="H19" s="272">
        <v>822500</v>
      </c>
      <c r="I19" s="273">
        <f>H19/'- 3 -'!$D19*100</f>
        <v>1.634486979746272</v>
      </c>
      <c r="J19" s="272">
        <f>H19/'- 7 -'!$E19</f>
        <v>188.5819098933853</v>
      </c>
    </row>
    <row r="20" spans="1:10" ht="14.1" customHeight="1" x14ac:dyDescent="0.2">
      <c r="A20" s="15" t="s">
        <v>116</v>
      </c>
      <c r="B20" s="16">
        <v>762900</v>
      </c>
      <c r="C20" s="267">
        <f>B20/'- 3 -'!$D20*100</f>
        <v>0.87436090509934983</v>
      </c>
      <c r="D20" s="16">
        <f>B20/'- 7 -'!$E20</f>
        <v>97.011698880976596</v>
      </c>
      <c r="E20" s="16">
        <v>346300</v>
      </c>
      <c r="F20" s="267">
        <f>E20/'- 3 -'!$D20*100</f>
        <v>0.39689498156495584</v>
      </c>
      <c r="G20" s="16">
        <f>E20/'- 7 -'!$E20</f>
        <v>44.036113936927769</v>
      </c>
      <c r="H20" s="16">
        <v>1531400</v>
      </c>
      <c r="I20" s="267">
        <f>H20/'- 3 -'!$D20*100</f>
        <v>1.7551399791180291</v>
      </c>
      <c r="J20" s="16">
        <f>H20/'- 7 -'!$E20</f>
        <v>194.735503560529</v>
      </c>
    </row>
    <row r="21" spans="1:10" ht="14.1" customHeight="1" x14ac:dyDescent="0.2">
      <c r="A21" s="271" t="s">
        <v>117</v>
      </c>
      <c r="B21" s="272">
        <v>384300</v>
      </c>
      <c r="C21" s="273">
        <f>B21/'- 3 -'!$D21*100</f>
        <v>1.0231732908905893</v>
      </c>
      <c r="D21" s="272">
        <f>B21/'- 7 -'!$E21</f>
        <v>136.98093031545179</v>
      </c>
      <c r="E21" s="272">
        <v>134000</v>
      </c>
      <c r="F21" s="273">
        <f>E21/'- 3 -'!$D21*100</f>
        <v>0.35676612276695024</v>
      </c>
      <c r="G21" s="272">
        <f>E21/'- 7 -'!$E21</f>
        <v>47.763322045981106</v>
      </c>
      <c r="H21" s="272">
        <v>427559</v>
      </c>
      <c r="I21" s="273">
        <f>H21/'- 3 -'!$D21*100</f>
        <v>1.1383475125680185</v>
      </c>
      <c r="J21" s="272">
        <f>H21/'- 7 -'!$E21</f>
        <v>152.40028515416148</v>
      </c>
    </row>
    <row r="22" spans="1:10" ht="14.1" customHeight="1" x14ac:dyDescent="0.2">
      <c r="A22" s="15" t="s">
        <v>118</v>
      </c>
      <c r="B22" s="16">
        <v>132000</v>
      </c>
      <c r="C22" s="267">
        <f>B22/'- 3 -'!$D22*100</f>
        <v>0.63209974917132683</v>
      </c>
      <c r="D22" s="16">
        <f>B22/'- 7 -'!$E22</f>
        <v>90.584682953609658</v>
      </c>
      <c r="E22" s="16">
        <v>12840</v>
      </c>
      <c r="F22" s="267">
        <f>E22/'- 3 -'!$D22*100</f>
        <v>6.1486066510301786E-2</v>
      </c>
      <c r="G22" s="16">
        <f>E22/'- 7 -'!$E22</f>
        <v>8.8114191600329388</v>
      </c>
      <c r="H22" s="16">
        <v>163191</v>
      </c>
      <c r="I22" s="267">
        <f>H22/'- 3 -'!$D22*100</f>
        <v>0.78146204671983333</v>
      </c>
      <c r="J22" s="16">
        <f>H22/'- 7 -'!$E22</f>
        <v>111.98943178698875</v>
      </c>
    </row>
    <row r="23" spans="1:10" ht="14.1" customHeight="1" x14ac:dyDescent="0.2">
      <c r="A23" s="271" t="s">
        <v>119</v>
      </c>
      <c r="B23" s="272">
        <v>121000</v>
      </c>
      <c r="C23" s="273">
        <f>B23/'- 3 -'!$D23*100</f>
        <v>0.71303088095495704</v>
      </c>
      <c r="D23" s="272">
        <f>B23/'- 7 -'!$E23</f>
        <v>116.34615384615384</v>
      </c>
      <c r="E23" s="272">
        <v>98000</v>
      </c>
      <c r="F23" s="273">
        <f>E23/'- 3 -'!$D23*100</f>
        <v>0.57749608540153541</v>
      </c>
      <c r="G23" s="272">
        <f>E23/'- 7 -'!$E23</f>
        <v>94.230769230769226</v>
      </c>
      <c r="H23" s="272">
        <v>150000</v>
      </c>
      <c r="I23" s="273">
        <f>H23/'- 3 -'!$D23*100</f>
        <v>0.88392257969622767</v>
      </c>
      <c r="J23" s="272">
        <f>H23/'- 7 -'!$E23</f>
        <v>144.23076923076923</v>
      </c>
    </row>
    <row r="24" spans="1:10" ht="14.1" customHeight="1" x14ac:dyDescent="0.2">
      <c r="A24" s="15" t="s">
        <v>120</v>
      </c>
      <c r="B24" s="16">
        <v>477180</v>
      </c>
      <c r="C24" s="267">
        <f>B24/'- 3 -'!$D24*100</f>
        <v>0.8168314314845021</v>
      </c>
      <c r="D24" s="16">
        <f>B24/'- 7 -'!$E24</f>
        <v>126.37182203389831</v>
      </c>
      <c r="E24" s="16">
        <v>453510</v>
      </c>
      <c r="F24" s="267">
        <f>E24/'- 3 -'!$D24*100</f>
        <v>0.77631338801403349</v>
      </c>
      <c r="G24" s="16">
        <f>E24/'- 7 -'!$E24</f>
        <v>120.10328389830508</v>
      </c>
      <c r="H24" s="16">
        <v>1162700</v>
      </c>
      <c r="I24" s="267">
        <f>H24/'- 3 -'!$D24*100</f>
        <v>1.9902969642211128</v>
      </c>
      <c r="J24" s="16">
        <f>H24/'- 7 -'!$E24</f>
        <v>307.91843220338984</v>
      </c>
    </row>
    <row r="25" spans="1:10" ht="14.1" customHeight="1" x14ac:dyDescent="0.2">
      <c r="A25" s="271" t="s">
        <v>121</v>
      </c>
      <c r="B25" s="272">
        <v>955157</v>
      </c>
      <c r="C25" s="273">
        <f>B25/'- 3 -'!$D25*100</f>
        <v>0.50833989848848871</v>
      </c>
      <c r="D25" s="272">
        <f>B25/'- 7 -'!$E25</f>
        <v>64.169096405777623</v>
      </c>
      <c r="E25" s="272">
        <v>1051300</v>
      </c>
      <c r="F25" s="273">
        <f>E25/'- 3 -'!$D25*100</f>
        <v>0.55950774090641453</v>
      </c>
      <c r="G25" s="272">
        <f>E25/'- 7 -'!$E25</f>
        <v>70.628149143432992</v>
      </c>
      <c r="H25" s="272">
        <v>2171512</v>
      </c>
      <c r="I25" s="273">
        <f>H25/'- 3 -'!$D25*100</f>
        <v>1.1556908337022449</v>
      </c>
      <c r="J25" s="272">
        <f>H25/'- 7 -'!$E25</f>
        <v>145.88592542828351</v>
      </c>
    </row>
    <row r="26" spans="1:10" ht="14.1" customHeight="1" x14ac:dyDescent="0.2">
      <c r="A26" s="15" t="s">
        <v>122</v>
      </c>
      <c r="B26" s="16">
        <v>396282</v>
      </c>
      <c r="C26" s="267">
        <f>B26/'- 3 -'!$D26*100</f>
        <v>0.96600919234964955</v>
      </c>
      <c r="D26" s="16">
        <f>B26/'- 7 -'!$E26</f>
        <v>139.60965298573191</v>
      </c>
      <c r="E26" s="16">
        <v>424975</v>
      </c>
      <c r="F26" s="267">
        <f>E26/'- 3 -'!$D26*100</f>
        <v>1.0359535798214208</v>
      </c>
      <c r="G26" s="16">
        <f>E26/'- 7 -'!$E26</f>
        <v>149.71816100052845</v>
      </c>
      <c r="H26" s="16">
        <v>365365</v>
      </c>
      <c r="I26" s="267">
        <f>H26/'- 3 -'!$D26*100</f>
        <v>0.8906434018270567</v>
      </c>
      <c r="J26" s="16">
        <f>H26/'- 7 -'!$E26</f>
        <v>128.71763255240444</v>
      </c>
    </row>
    <row r="27" spans="1:10" ht="14.1" customHeight="1" x14ac:dyDescent="0.2">
      <c r="A27" s="271" t="s">
        <v>123</v>
      </c>
      <c r="B27" s="272">
        <v>158714</v>
      </c>
      <c r="C27" s="273">
        <f>B27/'- 3 -'!$D27*100</f>
        <v>0.37148305682288291</v>
      </c>
      <c r="D27" s="272">
        <f>B27/'- 7 -'!$E27</f>
        <v>52.088611749261567</v>
      </c>
      <c r="E27" s="272">
        <v>192100</v>
      </c>
      <c r="F27" s="273">
        <f>E27/'- 3 -'!$D27*100</f>
        <v>0.44962571175621441</v>
      </c>
      <c r="G27" s="272">
        <f>E27/'- 7 -'!$E27</f>
        <v>63.045618641286509</v>
      </c>
      <c r="H27" s="272">
        <v>159800</v>
      </c>
      <c r="I27" s="273">
        <f>H27/'- 3 -'!$D27*100</f>
        <v>0.37402492836357659</v>
      </c>
      <c r="J27" s="272">
        <f>H27/'- 7 -'!$E27</f>
        <v>52.445027896291435</v>
      </c>
    </row>
    <row r="28" spans="1:10" ht="14.1" customHeight="1" x14ac:dyDescent="0.2">
      <c r="A28" s="15" t="s">
        <v>124</v>
      </c>
      <c r="B28" s="16">
        <v>237588</v>
      </c>
      <c r="C28" s="267">
        <f>B28/'- 3 -'!$D28*100</f>
        <v>0.82516468180688796</v>
      </c>
      <c r="D28" s="16">
        <f>B28/'- 7 -'!$E28</f>
        <v>121.40419008686766</v>
      </c>
      <c r="E28" s="16">
        <v>271200</v>
      </c>
      <c r="F28" s="267">
        <f>E28/'- 3 -'!$D28*100</f>
        <v>0.94190220762844934</v>
      </c>
      <c r="G28" s="16">
        <f>E28/'- 7 -'!$E28</f>
        <v>138.57945835462442</v>
      </c>
      <c r="H28" s="16">
        <v>315149</v>
      </c>
      <c r="I28" s="267">
        <f>H28/'- 3 -'!$D28*100</f>
        <v>1.0945410723890052</v>
      </c>
      <c r="J28" s="16">
        <f>H28/'- 7 -'!$E28</f>
        <v>161.03679100664283</v>
      </c>
    </row>
    <row r="29" spans="1:10" ht="14.1" customHeight="1" x14ac:dyDescent="0.2">
      <c r="A29" s="271" t="s">
        <v>125</v>
      </c>
      <c r="B29" s="272">
        <v>1080412</v>
      </c>
      <c r="C29" s="273">
        <f>B29/'- 3 -'!$D29*100</f>
        <v>0.63608963658643336</v>
      </c>
      <c r="D29" s="272">
        <f>B29/'- 7 -'!$E29</f>
        <v>79.965953415390544</v>
      </c>
      <c r="E29" s="272">
        <v>944500</v>
      </c>
      <c r="F29" s="273">
        <f>E29/'- 3 -'!$D29*100</f>
        <v>0.55607181497048008</v>
      </c>
      <c r="G29" s="272">
        <f>E29/'- 7 -'!$E29</f>
        <v>69.906519920952718</v>
      </c>
      <c r="H29" s="272">
        <v>1629705</v>
      </c>
      <c r="I29" s="273">
        <f>H29/'- 3 -'!$D29*100</f>
        <v>0.95948440149969949</v>
      </c>
      <c r="J29" s="272">
        <f>H29/'- 7 -'!$E29</f>
        <v>120.62149819775145</v>
      </c>
    </row>
    <row r="30" spans="1:10" ht="14.1" customHeight="1" x14ac:dyDescent="0.2">
      <c r="A30" s="15" t="s">
        <v>126</v>
      </c>
      <c r="B30" s="16">
        <v>116353</v>
      </c>
      <c r="C30" s="267">
        <f>B30/'- 3 -'!$D30*100</f>
        <v>0.76156755951151756</v>
      </c>
      <c r="D30" s="16">
        <f>B30/'- 7 -'!$E30</f>
        <v>115.2009900990099</v>
      </c>
      <c r="E30" s="16">
        <v>128090</v>
      </c>
      <c r="F30" s="267">
        <f>E30/'- 3 -'!$D30*100</f>
        <v>0.83838997445558161</v>
      </c>
      <c r="G30" s="16">
        <f>E30/'- 7 -'!$E30</f>
        <v>126.82178217821782</v>
      </c>
      <c r="H30" s="16">
        <v>130493</v>
      </c>
      <c r="I30" s="267">
        <f>H30/'- 3 -'!$D30*100</f>
        <v>0.8541183772084644</v>
      </c>
      <c r="J30" s="16">
        <f>H30/'- 7 -'!$E30</f>
        <v>129.20099009900991</v>
      </c>
    </row>
    <row r="31" spans="1:10" ht="14.1" customHeight="1" x14ac:dyDescent="0.2">
      <c r="A31" s="271" t="s">
        <v>127</v>
      </c>
      <c r="B31" s="272">
        <v>361269</v>
      </c>
      <c r="C31" s="273">
        <f>B31/'- 3 -'!$D31*100</f>
        <v>0.92842706231418615</v>
      </c>
      <c r="D31" s="272">
        <f>B31/'- 7 -'!$E31</f>
        <v>111.26582278481013</v>
      </c>
      <c r="E31" s="272">
        <v>150200</v>
      </c>
      <c r="F31" s="273">
        <f>E31/'- 3 -'!$D31*100</f>
        <v>0.38599975298071731</v>
      </c>
      <c r="G31" s="272">
        <f>E31/'- 7 -'!$E31</f>
        <v>46.259509070190028</v>
      </c>
      <c r="H31" s="272">
        <v>353874</v>
      </c>
      <c r="I31" s="273">
        <f>H31/'- 3 -'!$D31*100</f>
        <v>0.90942261375697975</v>
      </c>
      <c r="J31" s="272">
        <f>H31/'- 7 -'!$E31</f>
        <v>108.98826573038899</v>
      </c>
    </row>
    <row r="32" spans="1:10" ht="14.1" customHeight="1" x14ac:dyDescent="0.2">
      <c r="A32" s="15" t="s">
        <v>128</v>
      </c>
      <c r="B32" s="16">
        <v>224631</v>
      </c>
      <c r="C32" s="267">
        <f>B32/'- 3 -'!$D32*100</f>
        <v>0.723927510502268</v>
      </c>
      <c r="D32" s="16">
        <f>B32/'- 7 -'!$E32</f>
        <v>99.240556660039758</v>
      </c>
      <c r="E32" s="16">
        <v>161000</v>
      </c>
      <c r="F32" s="267">
        <f>E32/'- 3 -'!$D32*100</f>
        <v>0.51886128446592483</v>
      </c>
      <c r="G32" s="16">
        <f>E32/'- 7 -'!$E32</f>
        <v>71.128782858405131</v>
      </c>
      <c r="H32" s="16">
        <v>342700</v>
      </c>
      <c r="I32" s="267">
        <f>H32/'- 3 -'!$D32*100</f>
        <v>1.1044333055060398</v>
      </c>
      <c r="J32" s="16">
        <f>H32/'- 7 -'!$E32</f>
        <v>151.40269494146233</v>
      </c>
    </row>
    <row r="33" spans="1:10" ht="14.1" customHeight="1" x14ac:dyDescent="0.2">
      <c r="A33" s="271" t="s">
        <v>129</v>
      </c>
      <c r="B33" s="272">
        <v>359635</v>
      </c>
      <c r="C33" s="273">
        <f>B33/'- 3 -'!$D33*100</f>
        <v>1.260898116655383</v>
      </c>
      <c r="D33" s="272">
        <f>B33/'- 7 -'!$E33</f>
        <v>175.21802679658953</v>
      </c>
      <c r="E33" s="272">
        <v>284850</v>
      </c>
      <c r="F33" s="273">
        <f>E33/'- 3 -'!$D33*100</f>
        <v>0.9986982038157739</v>
      </c>
      <c r="G33" s="272">
        <f>E33/'- 7 -'!$E33</f>
        <v>138.78197320341047</v>
      </c>
      <c r="H33" s="272">
        <v>194100</v>
      </c>
      <c r="I33" s="273">
        <f>H33/'- 3 -'!$D33*100</f>
        <v>0.68052421049900558</v>
      </c>
      <c r="J33" s="272">
        <f>H33/'- 7 -'!$E33</f>
        <v>94.567600487210726</v>
      </c>
    </row>
    <row r="34" spans="1:10" ht="14.1" customHeight="1" x14ac:dyDescent="0.2">
      <c r="A34" s="15" t="s">
        <v>130</v>
      </c>
      <c r="B34" s="16">
        <v>334569</v>
      </c>
      <c r="C34" s="267">
        <f>B34/'- 3 -'!$D34*100</f>
        <v>1.0741186458879612</v>
      </c>
      <c r="D34" s="16">
        <f>B34/'- 7 -'!$E34</f>
        <v>154.2290139676393</v>
      </c>
      <c r="E34" s="16">
        <v>179589</v>
      </c>
      <c r="F34" s="267">
        <f>E34/'- 3 -'!$D34*100</f>
        <v>0.57656236380648862</v>
      </c>
      <c r="G34" s="16">
        <f>E34/'- 7 -'!$E34</f>
        <v>82.786613193195961</v>
      </c>
      <c r="H34" s="16">
        <v>313419</v>
      </c>
      <c r="I34" s="267">
        <f>H34/'- 3 -'!$D34*100</f>
        <v>1.0062175272531493</v>
      </c>
      <c r="J34" s="16">
        <f>H34/'- 7 -'!$E34</f>
        <v>144.47932512792144</v>
      </c>
    </row>
    <row r="35" spans="1:10" ht="14.1" customHeight="1" x14ac:dyDescent="0.2">
      <c r="A35" s="271" t="s">
        <v>131</v>
      </c>
      <c r="B35" s="272">
        <v>804000</v>
      </c>
      <c r="C35" s="273">
        <f>B35/'- 3 -'!$D35*100</f>
        <v>0.42114636890193613</v>
      </c>
      <c r="D35" s="272">
        <f>B35/'- 7 -'!$E35</f>
        <v>49.801783944499505</v>
      </c>
      <c r="E35" s="272">
        <v>645712</v>
      </c>
      <c r="F35" s="273">
        <f>E35/'- 3 -'!$D35*100</f>
        <v>0.33823291561742164</v>
      </c>
      <c r="G35" s="272">
        <f>E35/'- 7 -'!$E35</f>
        <v>39.99702675916749</v>
      </c>
      <c r="H35" s="272">
        <v>1194267</v>
      </c>
      <c r="I35" s="273">
        <f>H35/'- 3 -'!$D35*100</f>
        <v>0.625573644961951</v>
      </c>
      <c r="J35" s="272">
        <f>H35/'- 7 -'!$E35</f>
        <v>73.975904360753219</v>
      </c>
    </row>
    <row r="36" spans="1:10" ht="14.1" customHeight="1" x14ac:dyDescent="0.2">
      <c r="A36" s="15" t="s">
        <v>132</v>
      </c>
      <c r="B36" s="16">
        <v>190500</v>
      </c>
      <c r="C36" s="267">
        <f>B36/'- 3 -'!$D36*100</f>
        <v>0.79022690504832616</v>
      </c>
      <c r="D36" s="16">
        <f>B36/'- 7 -'!$E36</f>
        <v>111.89427312775331</v>
      </c>
      <c r="E36" s="16">
        <v>322500</v>
      </c>
      <c r="F36" s="267">
        <f>E36/'- 3 -'!$D36*100</f>
        <v>1.3377857053967728</v>
      </c>
      <c r="G36" s="16">
        <f>E36/'- 7 -'!$E36</f>
        <v>189.42731277533039</v>
      </c>
      <c r="H36" s="16">
        <v>253000</v>
      </c>
      <c r="I36" s="267">
        <f>H36/'- 3 -'!$D36*100</f>
        <v>1.0494877006678558</v>
      </c>
      <c r="J36" s="16">
        <f>H36/'- 7 -'!$E36</f>
        <v>148.60499265785609</v>
      </c>
    </row>
    <row r="37" spans="1:10" ht="14.1" customHeight="1" x14ac:dyDescent="0.2">
      <c r="A37" s="271" t="s">
        <v>133</v>
      </c>
      <c r="B37" s="272">
        <v>308000</v>
      </c>
      <c r="C37" s="273">
        <f>B37/'- 3 -'!$D37*100</f>
        <v>0.58061062140417286</v>
      </c>
      <c r="D37" s="272">
        <f>B37/'- 7 -'!$E37</f>
        <v>72.215709261430248</v>
      </c>
      <c r="E37" s="272">
        <v>594200</v>
      </c>
      <c r="F37" s="273">
        <f>E37/'- 3 -'!$D37*100</f>
        <v>1.1201260754492193</v>
      </c>
      <c r="G37" s="272">
        <f>E37/'- 7 -'!$E37</f>
        <v>139.32004689331771</v>
      </c>
      <c r="H37" s="272">
        <v>626400</v>
      </c>
      <c r="I37" s="273">
        <f>H37/'- 3 -'!$D37*100</f>
        <v>1.1808262767778372</v>
      </c>
      <c r="J37" s="272">
        <f>H37/'- 7 -'!$E37</f>
        <v>146.86987104337632</v>
      </c>
    </row>
    <row r="38" spans="1:10" ht="14.1" customHeight="1" x14ac:dyDescent="0.2">
      <c r="A38" s="15" t="s">
        <v>134</v>
      </c>
      <c r="B38" s="16">
        <v>350230</v>
      </c>
      <c r="C38" s="267">
        <f>B38/'- 3 -'!$D38*100</f>
        <v>0.24195195254113452</v>
      </c>
      <c r="D38" s="16">
        <f>B38/'- 7 -'!$E38</f>
        <v>31.178669990207425</v>
      </c>
      <c r="E38" s="16">
        <v>615170</v>
      </c>
      <c r="F38" s="267">
        <f>E38/'- 3 -'!$D38*100</f>
        <v>0.42498239055686182</v>
      </c>
      <c r="G38" s="16">
        <f>E38/'- 7 -'!$E38</f>
        <v>54.764533072197985</v>
      </c>
      <c r="H38" s="16">
        <v>1289737</v>
      </c>
      <c r="I38" s="267">
        <f>H38/'- 3 -'!$D38*100</f>
        <v>0.89099844506337322</v>
      </c>
      <c r="J38" s="16">
        <f>H38/'- 7 -'!$E38</f>
        <v>114.81678981572153</v>
      </c>
    </row>
    <row r="39" spans="1:10" ht="14.1" customHeight="1" x14ac:dyDescent="0.2">
      <c r="A39" s="271" t="s">
        <v>135</v>
      </c>
      <c r="B39" s="272">
        <v>173900</v>
      </c>
      <c r="C39" s="273">
        <f>B39/'- 3 -'!$D39*100</f>
        <v>0.74628057025276728</v>
      </c>
      <c r="D39" s="272">
        <f>B39/'- 7 -'!$E39</f>
        <v>114.93721083939194</v>
      </c>
      <c r="E39" s="272">
        <v>146100</v>
      </c>
      <c r="F39" s="273">
        <f>E39/'- 3 -'!$D39*100</f>
        <v>0.62697867345560265</v>
      </c>
      <c r="G39" s="272">
        <f>E39/'- 7 -'!$E39</f>
        <v>96.563119629874421</v>
      </c>
      <c r="H39" s="272">
        <v>92400</v>
      </c>
      <c r="I39" s="273">
        <f>H39/'- 3 -'!$D39*100</f>
        <v>0.39652860662079176</v>
      </c>
      <c r="J39" s="272">
        <f>H39/'- 7 -'!$E39</f>
        <v>61.070720423000658</v>
      </c>
    </row>
    <row r="40" spans="1:10" ht="14.1" customHeight="1" x14ac:dyDescent="0.2">
      <c r="A40" s="15" t="s">
        <v>136</v>
      </c>
      <c r="B40" s="16">
        <v>718472</v>
      </c>
      <c r="C40" s="267">
        <f>B40/'- 3 -'!$D40*100</f>
        <v>0.66313166029109405</v>
      </c>
      <c r="D40" s="16">
        <f>B40/'- 7 -'!$E40</f>
        <v>86.02909656947854</v>
      </c>
      <c r="E40" s="16">
        <v>711992</v>
      </c>
      <c r="F40" s="267">
        <f>E40/'- 3 -'!$D40*100</f>
        <v>0.65715078259692328</v>
      </c>
      <c r="G40" s="16">
        <f>E40/'- 7 -'!$E40</f>
        <v>85.253188050050895</v>
      </c>
      <c r="H40" s="16">
        <v>1133639</v>
      </c>
      <c r="I40" s="267">
        <f>H40/'- 3 -'!$D40*100</f>
        <v>1.0463204025219295</v>
      </c>
      <c r="J40" s="16">
        <f>H40/'- 7 -'!$E40</f>
        <v>135.7407651320122</v>
      </c>
    </row>
    <row r="41" spans="1:10" ht="14.1" customHeight="1" x14ac:dyDescent="0.2">
      <c r="A41" s="271" t="s">
        <v>137</v>
      </c>
      <c r="B41" s="272">
        <v>393238</v>
      </c>
      <c r="C41" s="273">
        <f>B41/'- 3 -'!$D41*100</f>
        <v>0.60489988628304237</v>
      </c>
      <c r="D41" s="272">
        <f>B41/'- 7 -'!$E41</f>
        <v>90.212892865336087</v>
      </c>
      <c r="E41" s="272">
        <v>675555</v>
      </c>
      <c r="F41" s="273">
        <f>E41/'- 3 -'!$D41*100</f>
        <v>1.0391751119625792</v>
      </c>
      <c r="G41" s="272">
        <f>E41/'- 7 -'!$E41</f>
        <v>154.97935306262903</v>
      </c>
      <c r="H41" s="272">
        <v>248363</v>
      </c>
      <c r="I41" s="273">
        <f>H41/'- 3 -'!$D41*100</f>
        <v>0.3820453528319116</v>
      </c>
      <c r="J41" s="272">
        <f>H41/'- 7 -'!$E41</f>
        <v>56.977058958476718</v>
      </c>
    </row>
    <row r="42" spans="1:10" ht="14.1" customHeight="1" x14ac:dyDescent="0.2">
      <c r="A42" s="15" t="s">
        <v>138</v>
      </c>
      <c r="B42" s="16">
        <v>239762</v>
      </c>
      <c r="C42" s="267">
        <f>B42/'- 3 -'!$D42*100</f>
        <v>1.1260157821235872</v>
      </c>
      <c r="D42" s="16">
        <f>B42/'- 7 -'!$E42</f>
        <v>170.52773826458036</v>
      </c>
      <c r="E42" s="16">
        <v>263264</v>
      </c>
      <c r="F42" s="267">
        <f>E42/'- 3 -'!$D42*100</f>
        <v>1.2363903323503476</v>
      </c>
      <c r="G42" s="16">
        <f>E42/'- 7 -'!$E42</f>
        <v>187.24324324324326</v>
      </c>
      <c r="H42" s="16">
        <v>116100</v>
      </c>
      <c r="I42" s="267">
        <f>H42/'- 3 -'!$D42*100</f>
        <v>0.54525084168695825</v>
      </c>
      <c r="J42" s="16">
        <f>H42/'- 7 -'!$E42</f>
        <v>82.574679943100989</v>
      </c>
    </row>
    <row r="43" spans="1:10" ht="14.1" customHeight="1" x14ac:dyDescent="0.2">
      <c r="A43" s="271" t="s">
        <v>139</v>
      </c>
      <c r="B43" s="272">
        <v>54830</v>
      </c>
      <c r="C43" s="273">
        <f>B43/'- 3 -'!$D43*100</f>
        <v>0.39789962987279187</v>
      </c>
      <c r="D43" s="272">
        <f>B43/'- 7 -'!$E43</f>
        <v>57.746182201158504</v>
      </c>
      <c r="E43" s="272">
        <v>98202</v>
      </c>
      <c r="F43" s="273">
        <f>E43/'- 3 -'!$D43*100</f>
        <v>0.71264890484712584</v>
      </c>
      <c r="G43" s="272">
        <f>E43/'- 7 -'!$E43</f>
        <v>103.42496050552923</v>
      </c>
      <c r="H43" s="272">
        <v>184723</v>
      </c>
      <c r="I43" s="273">
        <f>H43/'- 3 -'!$D43*100</f>
        <v>1.3405291506290666</v>
      </c>
      <c r="J43" s="272">
        <f>H43/'- 7 -'!$E43</f>
        <v>194.54765666140074</v>
      </c>
    </row>
    <row r="44" spans="1:10" ht="14.1" customHeight="1" x14ac:dyDescent="0.2">
      <c r="A44" s="15" t="s">
        <v>140</v>
      </c>
      <c r="B44" s="16">
        <v>123211</v>
      </c>
      <c r="C44" s="267">
        <f>B44/'- 3 -'!$D44*100</f>
        <v>1.0920467099002924</v>
      </c>
      <c r="D44" s="16">
        <f>B44/'- 7 -'!$E44</f>
        <v>177.40964722822173</v>
      </c>
      <c r="E44" s="16">
        <v>86500</v>
      </c>
      <c r="F44" s="267">
        <f>E44/'- 3 -'!$D44*100</f>
        <v>0.76666888838151859</v>
      </c>
      <c r="G44" s="16">
        <f>E44/'- 7 -'!$E44</f>
        <v>124.55003599712023</v>
      </c>
      <c r="H44" s="16">
        <v>157575</v>
      </c>
      <c r="I44" s="267">
        <f>H44/'- 3 -'!$D44*100</f>
        <v>1.396622544355119</v>
      </c>
      <c r="J44" s="16">
        <f>H44/'- 7 -'!$E44</f>
        <v>226.88984881209504</v>
      </c>
    </row>
    <row r="45" spans="1:10" ht="14.1" customHeight="1" x14ac:dyDescent="0.2">
      <c r="A45" s="271" t="s">
        <v>141</v>
      </c>
      <c r="B45" s="272">
        <v>229012</v>
      </c>
      <c r="C45" s="273">
        <f>B45/'- 3 -'!$D45*100</f>
        <v>1.1052673897471503</v>
      </c>
      <c r="D45" s="272">
        <f>B45/'- 7 -'!$E45</f>
        <v>127.37041156840934</v>
      </c>
      <c r="E45" s="272">
        <v>73400</v>
      </c>
      <c r="F45" s="273">
        <f>E45/'- 3 -'!$D45*100</f>
        <v>0.35424618101864019</v>
      </c>
      <c r="G45" s="272">
        <f>E45/'- 7 -'!$E45</f>
        <v>40.823136818687431</v>
      </c>
      <c r="H45" s="272">
        <v>162890</v>
      </c>
      <c r="I45" s="273">
        <f>H45/'- 3 -'!$D45*100</f>
        <v>0.786146599810985</v>
      </c>
      <c r="J45" s="272">
        <f>H45/'- 7 -'!$E45</f>
        <v>90.595105672969964</v>
      </c>
    </row>
    <row r="46" spans="1:10" ht="14.1" customHeight="1" x14ac:dyDescent="0.2">
      <c r="A46" s="15" t="s">
        <v>142</v>
      </c>
      <c r="B46" s="16">
        <v>1044000</v>
      </c>
      <c r="C46" s="267">
        <f>B46/'- 3 -'!$D46*100</f>
        <v>0.25683664586593247</v>
      </c>
      <c r="D46" s="16">
        <f>B46/'- 7 -'!$E46</f>
        <v>34.506693108577096</v>
      </c>
      <c r="E46" s="16">
        <v>1415900</v>
      </c>
      <c r="F46" s="267">
        <f>E46/'- 3 -'!$D46*100</f>
        <v>0.34832855065284851</v>
      </c>
      <c r="G46" s="16">
        <f>E46/'- 7 -'!$E46</f>
        <v>46.798876218806811</v>
      </c>
      <c r="H46" s="16">
        <v>2751100</v>
      </c>
      <c r="I46" s="267">
        <f>H46/'- 3 -'!$D46*100</f>
        <v>0.67680392379479593</v>
      </c>
      <c r="J46" s="16">
        <f>H46/'- 7 -'!$E46</f>
        <v>90.930424723186249</v>
      </c>
    </row>
    <row r="47" spans="1:10" ht="5.0999999999999996" customHeight="1" x14ac:dyDescent="0.2">
      <c r="A47"/>
      <c r="B47"/>
      <c r="C47"/>
      <c r="D47"/>
      <c r="E47"/>
      <c r="F47"/>
      <c r="G47"/>
      <c r="H47"/>
      <c r="I47"/>
      <c r="J47"/>
    </row>
    <row r="48" spans="1:10" ht="14.1" customHeight="1" x14ac:dyDescent="0.2">
      <c r="A48" s="274" t="s">
        <v>143</v>
      </c>
      <c r="B48" s="275">
        <f>SUM(B11:B46)</f>
        <v>13458375</v>
      </c>
      <c r="C48" s="276">
        <f>B48/'- 3 -'!$D48*100</f>
        <v>0.55812758381341077</v>
      </c>
      <c r="D48" s="275">
        <f>B48/'- 7 -'!$E48</f>
        <v>75.154963004327797</v>
      </c>
      <c r="E48" s="275">
        <f>SUM(E11:E46)</f>
        <v>12667817</v>
      </c>
      <c r="F48" s="276">
        <f>E48/'- 3 -'!$D48*100</f>
        <v>0.52534262824452804</v>
      </c>
      <c r="G48" s="275">
        <f>E48/'- 7 -'!$E48</f>
        <v>70.740287588999024</v>
      </c>
      <c r="H48" s="275">
        <f>SUM(H11:H46)</f>
        <v>22839231</v>
      </c>
      <c r="I48" s="276">
        <f>H48/'- 3 -'!$D48*100</f>
        <v>0.9471577968503887</v>
      </c>
      <c r="J48" s="275">
        <f>H48/'- 7 -'!$E48</f>
        <v>127.54003071338825</v>
      </c>
    </row>
    <row r="49" spans="1:10" ht="5.0999999999999996" customHeight="1" x14ac:dyDescent="0.2">
      <c r="A49" s="17" t="s">
        <v>1</v>
      </c>
      <c r="B49" s="18"/>
      <c r="C49" s="266"/>
      <c r="D49" s="18"/>
      <c r="E49" s="18"/>
      <c r="F49" s="266"/>
      <c r="H49" s="18"/>
      <c r="I49" s="266"/>
      <c r="J49" s="18"/>
    </row>
    <row r="50" spans="1:10" ht="14.1" customHeight="1" x14ac:dyDescent="0.2">
      <c r="A50" s="15" t="s">
        <v>144</v>
      </c>
      <c r="B50" s="16">
        <v>0</v>
      </c>
      <c r="C50" s="267">
        <f>B50/'- 3 -'!$D50*100</f>
        <v>0</v>
      </c>
      <c r="D50" s="16">
        <f>B50/'- 7 -'!$E50</f>
        <v>0</v>
      </c>
      <c r="E50" s="16">
        <v>27500</v>
      </c>
      <c r="F50" s="267">
        <f>E50/'- 3 -'!$D50*100</f>
        <v>0.76540225924480676</v>
      </c>
      <c r="G50" s="16">
        <f>E50/'- 7 -'!$E50</f>
        <v>163.6904761904762</v>
      </c>
      <c r="H50" s="16">
        <v>109884</v>
      </c>
      <c r="I50" s="267">
        <f>H50/'- 3 -'!$D50*100</f>
        <v>3.0583804310856855</v>
      </c>
      <c r="J50" s="16">
        <f>H50/'- 7 -'!$E50</f>
        <v>654.07142857142856</v>
      </c>
    </row>
    <row r="51" spans="1:10" ht="14.1" customHeight="1" x14ac:dyDescent="0.2">
      <c r="A51" s="360" t="s">
        <v>514</v>
      </c>
      <c r="B51" s="272">
        <v>0</v>
      </c>
      <c r="C51" s="273">
        <f>B51/'- 3 -'!$D51*100</f>
        <v>0</v>
      </c>
      <c r="D51" s="272">
        <f>B51/'- 7 -'!$E51</f>
        <v>0</v>
      </c>
      <c r="E51" s="272">
        <v>290088</v>
      </c>
      <c r="F51" s="273">
        <f>E51/'- 3 -'!$D51*100</f>
        <v>0.88294324153712134</v>
      </c>
      <c r="G51" s="272">
        <f>E51/'- 7 -'!$E51</f>
        <v>211.74306569343065</v>
      </c>
      <c r="H51" s="272">
        <v>144864</v>
      </c>
      <c r="I51" s="273">
        <f>H51/'- 3 -'!$D51*100</f>
        <v>0.44092375328187844</v>
      </c>
      <c r="J51" s="272">
        <f>H51/'- 7 -'!$E51</f>
        <v>105.74014598540145</v>
      </c>
    </row>
    <row r="52" spans="1:10" ht="50.1" customHeight="1" x14ac:dyDescent="0.2">
      <c r="A52" s="19"/>
      <c r="B52" s="19"/>
      <c r="C52" s="19"/>
      <c r="D52" s="19"/>
      <c r="E52" s="19"/>
      <c r="F52" s="19"/>
      <c r="G52" s="19"/>
      <c r="H52" s="19"/>
      <c r="I52" s="19"/>
      <c r="J52" s="19"/>
    </row>
    <row r="53" spans="1:10" ht="15" customHeight="1" x14ac:dyDescent="0.2">
      <c r="A53" s="557" t="s">
        <v>539</v>
      </c>
      <c r="B53" s="557"/>
      <c r="C53" s="557"/>
      <c r="D53" s="557"/>
      <c r="E53" s="557"/>
      <c r="F53" s="557"/>
      <c r="G53" s="557"/>
      <c r="H53" s="557"/>
      <c r="I53" s="557"/>
      <c r="J53" s="557"/>
    </row>
    <row r="54" spans="1:10" ht="12" customHeight="1" x14ac:dyDescent="0.2">
      <c r="A54" s="558"/>
      <c r="B54" s="558"/>
      <c r="C54" s="558"/>
      <c r="D54" s="558"/>
      <c r="E54" s="558"/>
      <c r="F54" s="558"/>
      <c r="G54" s="558"/>
      <c r="H54" s="558"/>
      <c r="I54" s="558"/>
      <c r="J54" s="558"/>
    </row>
    <row r="55" spans="1:10" x14ac:dyDescent="0.2">
      <c r="A55" s="558"/>
      <c r="B55" s="558"/>
      <c r="C55" s="558"/>
      <c r="D55" s="558"/>
      <c r="E55" s="558"/>
      <c r="F55" s="558"/>
      <c r="G55" s="558"/>
      <c r="H55" s="558"/>
      <c r="I55" s="558"/>
      <c r="J55" s="558"/>
    </row>
    <row r="56" spans="1:10" ht="14.45" customHeight="1" x14ac:dyDescent="0.2"/>
    <row r="57" spans="1:10" ht="14.45" customHeight="1" x14ac:dyDescent="0.2"/>
    <row r="58" spans="1:10" ht="14.45" customHeight="1" x14ac:dyDescent="0.2"/>
    <row r="59" spans="1:10" ht="14.45" customHeight="1" x14ac:dyDescent="0.2"/>
  </sheetData>
  <mergeCells count="8">
    <mergeCell ref="A53:J55"/>
    <mergeCell ref="B6:J6"/>
    <mergeCell ref="B7:D7"/>
    <mergeCell ref="E7:G7"/>
    <mergeCell ref="D8:D9"/>
    <mergeCell ref="G8:G9"/>
    <mergeCell ref="J8:J9"/>
    <mergeCell ref="H7:J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54"/>
  <sheetViews>
    <sheetView showGridLines="0" showZeros="0" workbookViewId="0"/>
  </sheetViews>
  <sheetFormatPr defaultColWidth="15.83203125" defaultRowHeight="12" x14ac:dyDescent="0.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x14ac:dyDescent="0.2">
      <c r="A1" s="3"/>
      <c r="B1" s="3"/>
      <c r="C1" s="3"/>
      <c r="D1" s="3"/>
      <c r="E1" s="4"/>
      <c r="F1" s="4"/>
      <c r="G1" s="4"/>
    </row>
    <row r="2" spans="1:8" ht="15.95" customHeight="1" x14ac:dyDescent="0.2">
      <c r="A2" s="132"/>
      <c r="B2" s="5" t="str">
        <f>+'- 37 -'!B2</f>
        <v>ANALYSIS OF INFORMATION TECHNOLOGY EXPENSES</v>
      </c>
      <c r="C2" s="177"/>
      <c r="D2" s="177"/>
      <c r="E2" s="5"/>
      <c r="F2" s="178"/>
      <c r="G2" s="142"/>
      <c r="H2" s="134"/>
    </row>
    <row r="3" spans="1:8" ht="15.95" customHeight="1" x14ac:dyDescent="0.2">
      <c r="A3" s="135"/>
      <c r="B3" s="7" t="str">
        <f>OPYEAR</f>
        <v>OPERATING FUND 2018/2019 BUDGET</v>
      </c>
      <c r="C3" s="179"/>
      <c r="D3" s="179"/>
      <c r="E3" s="7"/>
      <c r="F3" s="143"/>
      <c r="G3" s="143"/>
      <c r="H3" s="136"/>
    </row>
    <row r="4" spans="1:8" ht="15.95" customHeight="1" x14ac:dyDescent="0.2">
      <c r="E4" s="4"/>
      <c r="F4" s="4"/>
      <c r="G4" s="4"/>
    </row>
    <row r="5" spans="1:8" ht="18" customHeight="1" x14ac:dyDescent="0.2">
      <c r="B5" s="695" t="s">
        <v>257</v>
      </c>
      <c r="C5" s="696"/>
      <c r="D5" s="696"/>
      <c r="E5" s="696"/>
      <c r="F5" s="696"/>
      <c r="G5" s="697"/>
    </row>
    <row r="6" spans="1:8" ht="15.95" customHeight="1" x14ac:dyDescent="0.2">
      <c r="B6" s="682" t="s">
        <v>444</v>
      </c>
      <c r="C6" s="699"/>
      <c r="D6" s="700"/>
      <c r="E6" s="310"/>
      <c r="F6" s="311"/>
      <c r="G6" s="312"/>
    </row>
    <row r="7" spans="1:8" ht="15.95" customHeight="1" x14ac:dyDescent="0.2">
      <c r="B7" s="674"/>
      <c r="C7" s="701"/>
      <c r="D7" s="675"/>
      <c r="E7" s="684" t="s">
        <v>25</v>
      </c>
      <c r="F7" s="698"/>
      <c r="G7" s="685"/>
    </row>
    <row r="8" spans="1:8" ht="15.95" customHeight="1" x14ac:dyDescent="0.2">
      <c r="A8" s="82"/>
      <c r="B8" s="137"/>
      <c r="C8" s="83"/>
      <c r="D8" s="530" t="s">
        <v>396</v>
      </c>
      <c r="E8" s="137"/>
      <c r="F8" s="138"/>
      <c r="G8" s="529" t="s">
        <v>396</v>
      </c>
    </row>
    <row r="9" spans="1:8" ht="15.95" customHeight="1" x14ac:dyDescent="0.2">
      <c r="A9" s="27" t="s">
        <v>37</v>
      </c>
      <c r="B9" s="89" t="s">
        <v>38</v>
      </c>
      <c r="C9" s="89" t="s">
        <v>39</v>
      </c>
      <c r="D9" s="569"/>
      <c r="E9" s="89" t="s">
        <v>38</v>
      </c>
      <c r="F9" s="89" t="s">
        <v>39</v>
      </c>
      <c r="G9" s="569"/>
    </row>
    <row r="10" spans="1:8" ht="5.0999999999999996" customHeight="1" x14ac:dyDescent="0.2">
      <c r="A10" s="29"/>
      <c r="B10" s="29"/>
      <c r="C10" s="29"/>
      <c r="D10" s="29"/>
    </row>
    <row r="11" spans="1:8" ht="14.1" customHeight="1" x14ac:dyDescent="0.2">
      <c r="A11" s="271" t="s">
        <v>108</v>
      </c>
      <c r="B11" s="272">
        <f>'- 26 -'!B11</f>
        <v>13200</v>
      </c>
      <c r="C11" s="273">
        <f>'- 26 -'!C11</f>
        <v>6.4858261114642282E-2</v>
      </c>
      <c r="D11" s="272">
        <f>'- 26 -'!D11</f>
        <v>7.3191017466038257</v>
      </c>
      <c r="E11" s="272">
        <f>SUM('- 37 -'!B11,'- 37 -'!E11,'- 37 -'!H11,B11)</f>
        <v>564037</v>
      </c>
      <c r="F11" s="273">
        <f>E11/'- 3 -'!D11*100</f>
        <v>2.7713984109332945</v>
      </c>
      <c r="G11" s="272">
        <f>E11/'- 7 -'!E11</f>
        <v>312.74577210978651</v>
      </c>
    </row>
    <row r="12" spans="1:8" ht="14.1" customHeight="1" x14ac:dyDescent="0.2">
      <c r="A12" s="15" t="s">
        <v>109</v>
      </c>
      <c r="B12" s="16">
        <f>'- 26 -'!B12</f>
        <v>90852</v>
      </c>
      <c r="C12" s="267">
        <f>'- 26 -'!C12</f>
        <v>0.26020108275062892</v>
      </c>
      <c r="D12" s="16">
        <f>'- 26 -'!D12</f>
        <v>42.643510912931234</v>
      </c>
      <c r="E12" s="16">
        <f>SUM('- 37 -'!B12,'- 37 -'!E12,'- 37 -'!H12,B12)</f>
        <v>1136283</v>
      </c>
      <c r="F12" s="267">
        <f>E12/'- 3 -'!D12*100</f>
        <v>3.2543264530349676</v>
      </c>
      <c r="G12" s="16">
        <f>E12/'- 7 -'!E12</f>
        <v>533.34099976531331</v>
      </c>
    </row>
    <row r="13" spans="1:8" ht="14.1" customHeight="1" x14ac:dyDescent="0.2">
      <c r="A13" s="271" t="s">
        <v>110</v>
      </c>
      <c r="B13" s="272">
        <f>'- 26 -'!B13</f>
        <v>340400</v>
      </c>
      <c r="C13" s="273">
        <f>'- 26 -'!C13</f>
        <v>0.32694867750988815</v>
      </c>
      <c r="D13" s="272">
        <f>'- 26 -'!D13</f>
        <v>39.609029555503838</v>
      </c>
      <c r="E13" s="272">
        <f>SUM('- 37 -'!B13,'- 37 -'!E13,'- 37 -'!H13,B13)</f>
        <v>2463000</v>
      </c>
      <c r="F13" s="273">
        <f>E13/'- 3 -'!D13*100</f>
        <v>2.3656715414419933</v>
      </c>
      <c r="G13" s="272">
        <f>E13/'- 7 -'!E13</f>
        <v>286.59529904584593</v>
      </c>
    </row>
    <row r="14" spans="1:8" ht="14.1" customHeight="1" x14ac:dyDescent="0.2">
      <c r="A14" s="15" t="s">
        <v>319</v>
      </c>
      <c r="B14" s="16">
        <f>'- 26 -'!B14</f>
        <v>122265</v>
      </c>
      <c r="C14" s="267">
        <f>'- 26 -'!C14</f>
        <v>0.13100721635300941</v>
      </c>
      <c r="D14" s="16">
        <f>'- 26 -'!D14</f>
        <v>21.116580310880828</v>
      </c>
      <c r="E14" s="16">
        <f>SUM('- 37 -'!B14,'- 37 -'!E14,'- 37 -'!H14,B14)</f>
        <v>1727754</v>
      </c>
      <c r="F14" s="267">
        <f>E14/'- 3 -'!D14*100</f>
        <v>1.8512922102218738</v>
      </c>
      <c r="G14" s="16">
        <f>E14/'- 7 -'!E14</f>
        <v>298.40310880829014</v>
      </c>
    </row>
    <row r="15" spans="1:8" ht="14.1" customHeight="1" x14ac:dyDescent="0.2">
      <c r="A15" s="271" t="s">
        <v>111</v>
      </c>
      <c r="B15" s="272">
        <f>'- 26 -'!B15</f>
        <v>44500</v>
      </c>
      <c r="C15" s="273">
        <f>'- 26 -'!C15</f>
        <v>0.21414536485726346</v>
      </c>
      <c r="D15" s="272">
        <f>'- 26 -'!D15</f>
        <v>32.987398072646407</v>
      </c>
      <c r="E15" s="272">
        <f>SUM('- 37 -'!B15,'- 37 -'!E15,'- 37 -'!H15,B15)</f>
        <v>502650</v>
      </c>
      <c r="F15" s="273">
        <f>E15/'- 3 -'!D15*100</f>
        <v>2.4188801718090671</v>
      </c>
      <c r="G15" s="272">
        <f>E15/'- 7 -'!E15</f>
        <v>372.60934025203852</v>
      </c>
    </row>
    <row r="16" spans="1:8" ht="14.1" customHeight="1" x14ac:dyDescent="0.2">
      <c r="A16" s="15" t="s">
        <v>112</v>
      </c>
      <c r="B16" s="16">
        <f>'- 26 -'!B16</f>
        <v>7817</v>
      </c>
      <c r="C16" s="267">
        <f>'- 26 -'!C16</f>
        <v>5.2577996636407248E-2</v>
      </c>
      <c r="D16" s="16">
        <f>'- 26 -'!D16</f>
        <v>8.4691224268689052</v>
      </c>
      <c r="E16" s="16">
        <f>SUM('- 37 -'!B16,'- 37 -'!E16,'- 37 -'!H16,B16)</f>
        <v>457228</v>
      </c>
      <c r="F16" s="267">
        <f>E16/'- 3 -'!D16*100</f>
        <v>3.0753655169593466</v>
      </c>
      <c r="G16" s="16">
        <f>E16/'- 7 -'!E16</f>
        <v>495.37161430119176</v>
      </c>
    </row>
    <row r="17" spans="1:7" ht="14.1" customHeight="1" x14ac:dyDescent="0.2">
      <c r="A17" s="271" t="s">
        <v>113</v>
      </c>
      <c r="B17" s="272">
        <f>'- 26 -'!B17</f>
        <v>88000</v>
      </c>
      <c r="C17" s="273">
        <f>'- 26 -'!C17</f>
        <v>0.47056855697264427</v>
      </c>
      <c r="D17" s="272">
        <f>'- 26 -'!D17</f>
        <v>63.127690100430414</v>
      </c>
      <c r="E17" s="272">
        <f>SUM('- 37 -'!B17,'- 37 -'!E17,'- 37 -'!H17,B17)</f>
        <v>506342</v>
      </c>
      <c r="F17" s="273">
        <f>E17/'- 3 -'!D17*100</f>
        <v>2.707598003120939</v>
      </c>
      <c r="G17" s="272">
        <f>E17/'- 7 -'!E17</f>
        <v>363.22955523672886</v>
      </c>
    </row>
    <row r="18" spans="1:7" ht="14.1" customHeight="1" x14ac:dyDescent="0.2">
      <c r="A18" s="15" t="s">
        <v>114</v>
      </c>
      <c r="B18" s="16">
        <f>'- 26 -'!B18</f>
        <v>639964</v>
      </c>
      <c r="C18" s="267">
        <f>'- 26 -'!C18</f>
        <v>0.47519991504135622</v>
      </c>
      <c r="D18" s="16">
        <f>'- 26 -'!D18</f>
        <v>104.3102099361064</v>
      </c>
      <c r="E18" s="16">
        <f>SUM('- 37 -'!B18,'- 37 -'!E18,'- 37 -'!H18,B18)</f>
        <v>2601972</v>
      </c>
      <c r="F18" s="267">
        <f>E18/'- 3 -'!D18*100</f>
        <v>1.9320725436743129</v>
      </c>
      <c r="G18" s="16">
        <f>E18/'- 7 -'!E18</f>
        <v>424.1054896335898</v>
      </c>
    </row>
    <row r="19" spans="1:7" ht="14.1" customHeight="1" x14ac:dyDescent="0.2">
      <c r="A19" s="271" t="s">
        <v>115</v>
      </c>
      <c r="B19" s="272">
        <f>'- 26 -'!B19</f>
        <v>164300</v>
      </c>
      <c r="C19" s="273">
        <f>'- 26 -'!C19</f>
        <v>0.32649995230676288</v>
      </c>
      <c r="D19" s="272">
        <f>'- 26 -'!D19</f>
        <v>37.670526195116359</v>
      </c>
      <c r="E19" s="272">
        <f>SUM('- 37 -'!B19,'- 37 -'!E19,'- 37 -'!H19,B19)</f>
        <v>1684200</v>
      </c>
      <c r="F19" s="273">
        <f>E19/'- 3 -'!D19*100</f>
        <v>3.346872913420877</v>
      </c>
      <c r="G19" s="272">
        <f>E19/'- 7 -'!E19</f>
        <v>386.15155336466813</v>
      </c>
    </row>
    <row r="20" spans="1:7" ht="14.1" customHeight="1" x14ac:dyDescent="0.2">
      <c r="A20" s="15" t="s">
        <v>116</v>
      </c>
      <c r="B20" s="16">
        <f>'- 26 -'!B20</f>
        <v>103300</v>
      </c>
      <c r="C20" s="267">
        <f>'- 26 -'!C20</f>
        <v>0.11839229452977171</v>
      </c>
      <c r="D20" s="16">
        <f>'- 26 -'!D20</f>
        <v>13.135808748728383</v>
      </c>
      <c r="E20" s="16">
        <f>SUM('- 37 -'!B20,'- 37 -'!E20,'- 37 -'!H20,B20)</f>
        <v>2743900</v>
      </c>
      <c r="F20" s="267">
        <f>E20/'- 3 -'!D20*100</f>
        <v>3.1447881603121064</v>
      </c>
      <c r="G20" s="16">
        <f>E20/'- 7 -'!E20</f>
        <v>348.91912512716175</v>
      </c>
    </row>
    <row r="21" spans="1:7" ht="14.1" customHeight="1" x14ac:dyDescent="0.2">
      <c r="A21" s="271" t="s">
        <v>117</v>
      </c>
      <c r="B21" s="272">
        <f>'- 26 -'!B21</f>
        <v>40000</v>
      </c>
      <c r="C21" s="273">
        <f>'- 26 -'!C21</f>
        <v>0.10649735007968665</v>
      </c>
      <c r="D21" s="272">
        <f>'- 26 -'!D21</f>
        <v>14.257708073427196</v>
      </c>
      <c r="E21" s="272">
        <f>SUM('- 37 -'!B21,'- 37 -'!E21,'- 37 -'!H21,B21)</f>
        <v>985859</v>
      </c>
      <c r="F21" s="273">
        <f>E21/'- 3 -'!D21*100</f>
        <v>2.6247842763052449</v>
      </c>
      <c r="G21" s="272">
        <f>E21/'- 7 -'!E21</f>
        <v>351.40224558902156</v>
      </c>
    </row>
    <row r="22" spans="1:7" ht="14.1" customHeight="1" x14ac:dyDescent="0.2">
      <c r="A22" s="15" t="s">
        <v>118</v>
      </c>
      <c r="B22" s="16">
        <f>'- 26 -'!B22</f>
        <v>65000</v>
      </c>
      <c r="C22" s="267">
        <f>'- 26 -'!C22</f>
        <v>0.31126124012224426</v>
      </c>
      <c r="D22" s="16">
        <f>'- 26 -'!D22</f>
        <v>44.606093878671423</v>
      </c>
      <c r="E22" s="16">
        <f>SUM('- 37 -'!B22,'- 37 -'!E22,'- 37 -'!H22,B22)</f>
        <v>373031</v>
      </c>
      <c r="F22" s="267">
        <f>E22/'- 3 -'!D22*100</f>
        <v>1.7863091025237061</v>
      </c>
      <c r="G22" s="16">
        <f>E22/'- 7 -'!E22</f>
        <v>255.99162777930277</v>
      </c>
    </row>
    <row r="23" spans="1:7" ht="14.1" customHeight="1" x14ac:dyDescent="0.2">
      <c r="A23" s="271" t="s">
        <v>119</v>
      </c>
      <c r="B23" s="272">
        <f>'- 26 -'!B23</f>
        <v>40000</v>
      </c>
      <c r="C23" s="273">
        <f>'- 26 -'!C23</f>
        <v>0.23571268791899402</v>
      </c>
      <c r="D23" s="272">
        <f>'- 26 -'!D23</f>
        <v>38.46153846153846</v>
      </c>
      <c r="E23" s="272">
        <f>SUM('- 37 -'!B23,'- 37 -'!E23,'- 37 -'!H23,B23)</f>
        <v>409000</v>
      </c>
      <c r="F23" s="273">
        <f>E23/'- 3 -'!D23*100</f>
        <v>2.4101622339717141</v>
      </c>
      <c r="G23" s="272">
        <f>E23/'- 7 -'!E23</f>
        <v>393.26923076923077</v>
      </c>
    </row>
    <row r="24" spans="1:7" ht="14.1" customHeight="1" x14ac:dyDescent="0.2">
      <c r="A24" s="15" t="s">
        <v>120</v>
      </c>
      <c r="B24" s="16">
        <f>'- 26 -'!B24</f>
        <v>133515</v>
      </c>
      <c r="C24" s="267">
        <f>'- 26 -'!C24</f>
        <v>0.22854949615376435</v>
      </c>
      <c r="D24" s="16">
        <f>'- 26 -'!D24</f>
        <v>35.358845338983052</v>
      </c>
      <c r="E24" s="16">
        <f>SUM('- 37 -'!B24,'- 37 -'!E24,'- 37 -'!H24,B24)</f>
        <v>2226905</v>
      </c>
      <c r="F24" s="267">
        <f>E24/'- 3 -'!D24*100</f>
        <v>3.8119912798734128</v>
      </c>
      <c r="G24" s="16">
        <f>E24/'- 7 -'!E24</f>
        <v>589.75238347457628</v>
      </c>
    </row>
    <row r="25" spans="1:7" ht="14.1" customHeight="1" x14ac:dyDescent="0.2">
      <c r="A25" s="271" t="s">
        <v>121</v>
      </c>
      <c r="B25" s="272">
        <f>'- 26 -'!B25</f>
        <v>977432</v>
      </c>
      <c r="C25" s="273">
        <f>'- 26 -'!C25</f>
        <v>0.52019477809344494</v>
      </c>
      <c r="D25" s="272">
        <f>'- 26 -'!D25</f>
        <v>65.665569365132683</v>
      </c>
      <c r="E25" s="272">
        <f>SUM('- 37 -'!B25,'- 37 -'!E25,'- 37 -'!H25,B25)</f>
        <v>5155401</v>
      </c>
      <c r="F25" s="273">
        <f>E25/'- 3 -'!D25*100</f>
        <v>2.7437332511905934</v>
      </c>
      <c r="G25" s="272">
        <f>E25/'- 7 -'!E25</f>
        <v>346.3487403426268</v>
      </c>
    </row>
    <row r="26" spans="1:7" ht="14.1" customHeight="1" x14ac:dyDescent="0.2">
      <c r="A26" s="15" t="s">
        <v>122</v>
      </c>
      <c r="B26" s="16">
        <f>'- 26 -'!B26</f>
        <v>32000</v>
      </c>
      <c r="C26" s="267">
        <f>'- 26 -'!C26</f>
        <v>7.8005799292394776E-2</v>
      </c>
      <c r="D26" s="16">
        <f>'- 26 -'!D26</f>
        <v>11.273559978862075</v>
      </c>
      <c r="E26" s="16">
        <f>SUM('- 37 -'!B26,'- 37 -'!E26,'- 37 -'!H26,B26)</f>
        <v>1218622</v>
      </c>
      <c r="F26" s="267">
        <f>E26/'- 3 -'!D26*100</f>
        <v>2.9706119732905218</v>
      </c>
      <c r="G26" s="16">
        <f>E26/'- 7 -'!E26</f>
        <v>429.31900651752687</v>
      </c>
    </row>
    <row r="27" spans="1:7" ht="14.1" customHeight="1" x14ac:dyDescent="0.2">
      <c r="A27" s="271" t="s">
        <v>123</v>
      </c>
      <c r="B27" s="272">
        <f>'- 26 -'!B27</f>
        <v>219256</v>
      </c>
      <c r="C27" s="273">
        <f>'- 26 -'!C27</f>
        <v>0.51318654376273054</v>
      </c>
      <c r="D27" s="272">
        <f>'- 26 -'!D27</f>
        <v>71.95799146701674</v>
      </c>
      <c r="E27" s="272">
        <f>SUM('- 37 -'!B27,'- 37 -'!E27,'- 37 -'!H27,B27)</f>
        <v>729870</v>
      </c>
      <c r="F27" s="273">
        <f>E27/'- 3 -'!D27*100</f>
        <v>1.7083202407054046</v>
      </c>
      <c r="G27" s="272">
        <f>E27/'- 7 -'!E27</f>
        <v>239.53724975385626</v>
      </c>
    </row>
    <row r="28" spans="1:7" ht="14.1" customHeight="1" x14ac:dyDescent="0.2">
      <c r="A28" s="15" t="s">
        <v>124</v>
      </c>
      <c r="B28" s="16">
        <f>'- 26 -'!B28</f>
        <v>82500</v>
      </c>
      <c r="C28" s="267">
        <f>'- 26 -'!C28</f>
        <v>0.28652998572768096</v>
      </c>
      <c r="D28" s="16">
        <f>'- 26 -'!D28</f>
        <v>42.156361778231989</v>
      </c>
      <c r="E28" s="16">
        <f>SUM('- 37 -'!B28,'- 37 -'!E28,'- 37 -'!H28,B28)</f>
        <v>906437</v>
      </c>
      <c r="F28" s="267">
        <f>E28/'- 3 -'!D28*100</f>
        <v>3.1481379475520233</v>
      </c>
      <c r="G28" s="16">
        <f>E28/'- 7 -'!E28</f>
        <v>463.17680122636688</v>
      </c>
    </row>
    <row r="29" spans="1:7" ht="14.1" customHeight="1" x14ac:dyDescent="0.2">
      <c r="A29" s="271" t="s">
        <v>125</v>
      </c>
      <c r="B29" s="272">
        <f>'- 26 -'!B29</f>
        <v>1632232</v>
      </c>
      <c r="C29" s="273">
        <f>'- 26 -'!C29</f>
        <v>0.96097216590036694</v>
      </c>
      <c r="D29" s="272">
        <f>'- 26 -'!D29</f>
        <v>120.80853237016039</v>
      </c>
      <c r="E29" s="272">
        <f>SUM('- 37 -'!B29,'- 37 -'!E29,'- 37 -'!H29,B29)</f>
        <v>5286849</v>
      </c>
      <c r="F29" s="273">
        <f>E29/'- 3 -'!D29*100</f>
        <v>3.1126180189569799</v>
      </c>
      <c r="G29" s="272">
        <f>E29/'- 7 -'!E29</f>
        <v>391.3025039042551</v>
      </c>
    </row>
    <row r="30" spans="1:7" ht="14.1" customHeight="1" x14ac:dyDescent="0.2">
      <c r="A30" s="15" t="s">
        <v>126</v>
      </c>
      <c r="B30" s="16">
        <f>'- 26 -'!B30</f>
        <v>36757</v>
      </c>
      <c r="C30" s="267">
        <f>'- 26 -'!C30</f>
        <v>0.24058630877557821</v>
      </c>
      <c r="D30" s="16">
        <f>'- 26 -'!D30</f>
        <v>36.393069306930691</v>
      </c>
      <c r="E30" s="16">
        <f>SUM('- 37 -'!B30,'- 37 -'!E30,'- 37 -'!H30,B30)</f>
        <v>411693</v>
      </c>
      <c r="F30" s="267">
        <f>E30/'- 3 -'!D30*100</f>
        <v>2.6946622199511419</v>
      </c>
      <c r="G30" s="16">
        <f>E30/'- 7 -'!E30</f>
        <v>407.6168316831683</v>
      </c>
    </row>
    <row r="31" spans="1:7" ht="14.1" customHeight="1" x14ac:dyDescent="0.2">
      <c r="A31" s="271" t="s">
        <v>127</v>
      </c>
      <c r="B31" s="272">
        <f>'- 26 -'!B31</f>
        <v>77983</v>
      </c>
      <c r="C31" s="273">
        <f>'- 26 -'!C31</f>
        <v>0.20040891302726552</v>
      </c>
      <c r="D31" s="272">
        <f>'- 26 -'!D31</f>
        <v>24.017678400936276</v>
      </c>
      <c r="E31" s="272">
        <f>SUM('- 37 -'!B31,'- 37 -'!E31,'- 37 -'!H31,B31)</f>
        <v>943326</v>
      </c>
      <c r="F31" s="273">
        <f>E31/'- 3 -'!D31*100</f>
        <v>2.424258342079149</v>
      </c>
      <c r="G31" s="272">
        <f>E31/'- 7 -'!E31</f>
        <v>290.5312759863254</v>
      </c>
    </row>
    <row r="32" spans="1:7" ht="14.1" customHeight="1" x14ac:dyDescent="0.2">
      <c r="A32" s="15" t="s">
        <v>128</v>
      </c>
      <c r="B32" s="16">
        <f>'- 26 -'!B32</f>
        <v>70000</v>
      </c>
      <c r="C32" s="267">
        <f>'- 26 -'!C32</f>
        <v>0.22559186281127164</v>
      </c>
      <c r="D32" s="16">
        <f>'- 26 -'!D32</f>
        <v>30.925557764523969</v>
      </c>
      <c r="E32" s="16">
        <f>SUM('- 37 -'!B32,'- 37 -'!E32,'- 37 -'!H32,B32)</f>
        <v>798331</v>
      </c>
      <c r="F32" s="267">
        <f>E32/'- 3 -'!D32*100</f>
        <v>2.5728139632855043</v>
      </c>
      <c r="G32" s="16">
        <f>E32/'- 7 -'!E32</f>
        <v>352.69759222443122</v>
      </c>
    </row>
    <row r="33" spans="1:7" ht="14.1" customHeight="1" x14ac:dyDescent="0.2">
      <c r="A33" s="271" t="s">
        <v>129</v>
      </c>
      <c r="B33" s="272">
        <f>'- 26 -'!B33</f>
        <v>55000</v>
      </c>
      <c r="C33" s="273">
        <f>'- 26 -'!C33</f>
        <v>0.1928327232222839</v>
      </c>
      <c r="D33" s="272">
        <f>'- 26 -'!D33</f>
        <v>26.796589524969548</v>
      </c>
      <c r="E33" s="272">
        <f>SUM('- 37 -'!B33,'- 37 -'!E33,'- 37 -'!H33,B33)</f>
        <v>893585</v>
      </c>
      <c r="F33" s="273">
        <f>E33/'- 3 -'!D33*100</f>
        <v>3.1329532541924463</v>
      </c>
      <c r="G33" s="272">
        <f>E33/'- 7 -'!E33</f>
        <v>435.36419001218025</v>
      </c>
    </row>
    <row r="34" spans="1:7" ht="14.1" customHeight="1" x14ac:dyDescent="0.2">
      <c r="A34" s="15" t="s">
        <v>130</v>
      </c>
      <c r="B34" s="16">
        <f>'- 26 -'!B34</f>
        <v>42490</v>
      </c>
      <c r="C34" s="267">
        <f>'- 26 -'!C34</f>
        <v>0.13641222367816347</v>
      </c>
      <c r="D34" s="16">
        <f>'- 26 -'!D34</f>
        <v>19.586963536624715</v>
      </c>
      <c r="E34" s="16">
        <f>SUM('- 37 -'!B34,'- 37 -'!E34,'- 37 -'!H34,B34)</f>
        <v>870067</v>
      </c>
      <c r="F34" s="267">
        <f>E34/'- 3 -'!D34*100</f>
        <v>2.7933107606257628</v>
      </c>
      <c r="G34" s="16">
        <f>E34/'- 7 -'!E34</f>
        <v>401.08191582538143</v>
      </c>
    </row>
    <row r="35" spans="1:7" ht="14.1" customHeight="1" x14ac:dyDescent="0.2">
      <c r="A35" s="271" t="s">
        <v>131</v>
      </c>
      <c r="B35" s="272">
        <f>'- 26 -'!B35</f>
        <v>1068851</v>
      </c>
      <c r="C35" s="273">
        <f>'- 26 -'!C35</f>
        <v>0.55987900192438222</v>
      </c>
      <c r="D35" s="272">
        <f>'- 26 -'!D35</f>
        <v>66.20732160555005</v>
      </c>
      <c r="E35" s="272">
        <f>SUM('- 37 -'!B35,'- 37 -'!E35,'- 37 -'!H35,B35)</f>
        <v>3712830</v>
      </c>
      <c r="F35" s="273">
        <f>E35/'- 3 -'!D35*100</f>
        <v>1.9448319314056908</v>
      </c>
      <c r="G35" s="272">
        <f>E35/'- 7 -'!E35</f>
        <v>229.98203666997026</v>
      </c>
    </row>
    <row r="36" spans="1:7" ht="14.1" customHeight="1" x14ac:dyDescent="0.2">
      <c r="A36" s="15" t="s">
        <v>132</v>
      </c>
      <c r="B36" s="16">
        <f>'- 26 -'!B36</f>
        <v>43000</v>
      </c>
      <c r="C36" s="267">
        <f>'- 26 -'!C36</f>
        <v>0.17837142738623635</v>
      </c>
      <c r="D36" s="16">
        <f>'- 26 -'!D36</f>
        <v>25.25697503671072</v>
      </c>
      <c r="E36" s="16">
        <f>SUM('- 37 -'!B36,'- 37 -'!E36,'- 37 -'!H36,B36)</f>
        <v>809000</v>
      </c>
      <c r="F36" s="267">
        <f>E36/'- 3 -'!D36*100</f>
        <v>3.3558717384991907</v>
      </c>
      <c r="G36" s="16">
        <f>E36/'- 7 -'!E36</f>
        <v>475.18355359765053</v>
      </c>
    </row>
    <row r="37" spans="1:7" ht="14.1" customHeight="1" x14ac:dyDescent="0.2">
      <c r="A37" s="360" t="s">
        <v>133</v>
      </c>
      <c r="B37" s="272">
        <f>'- 26 -'!B37</f>
        <v>192800</v>
      </c>
      <c r="C37" s="273">
        <f>'- 26 -'!C37</f>
        <v>0.36344716820365103</v>
      </c>
      <c r="D37" s="272">
        <f>'- 26 -'!D37</f>
        <v>45.205158264947244</v>
      </c>
      <c r="E37" s="272">
        <f>SUM('- 37 -'!B37,'- 37 -'!E37,'- 37 -'!H37,B37)</f>
        <v>1721400</v>
      </c>
      <c r="F37" s="273">
        <f>E37/'- 3 -'!D37*100</f>
        <v>3.24501014183488</v>
      </c>
      <c r="G37" s="272">
        <f>E37/'- 7 -'!E37</f>
        <v>403.61078546307152</v>
      </c>
    </row>
    <row r="38" spans="1:7" ht="14.1" customHeight="1" x14ac:dyDescent="0.2">
      <c r="A38" s="15" t="s">
        <v>134</v>
      </c>
      <c r="B38" s="16">
        <f>'- 26 -'!B38</f>
        <v>580280</v>
      </c>
      <c r="C38" s="267">
        <f>'- 26 -'!C38</f>
        <v>0.4008790766655328</v>
      </c>
      <c r="D38" s="16">
        <f>'- 26 -'!D38</f>
        <v>51.658506187127216</v>
      </c>
      <c r="E38" s="16">
        <f>SUM('- 37 -'!B38,'- 37 -'!E38,'- 37 -'!H38,B38)</f>
        <v>2835417</v>
      </c>
      <c r="F38" s="267">
        <f>E38/'- 3 -'!D38*100</f>
        <v>1.9588118648269024</v>
      </c>
      <c r="G38" s="16">
        <f>E38/'- 7 -'!E38</f>
        <v>252.41849906525417</v>
      </c>
    </row>
    <row r="39" spans="1:7" ht="14.1" customHeight="1" x14ac:dyDescent="0.2">
      <c r="A39" s="271" t="s">
        <v>135</v>
      </c>
      <c r="B39" s="272">
        <f>'- 26 -'!B39</f>
        <v>55900</v>
      </c>
      <c r="C39" s="273">
        <f>'- 26 -'!C39</f>
        <v>0.23989122413530586</v>
      </c>
      <c r="D39" s="272">
        <f>'- 26 -'!D39</f>
        <v>36.94646397884997</v>
      </c>
      <c r="E39" s="272">
        <f>SUM('- 37 -'!B39,'- 37 -'!E39,'- 37 -'!H39,B39)</f>
        <v>468300</v>
      </c>
      <c r="F39" s="273">
        <f>E39/'- 3 -'!D39*100</f>
        <v>2.0096790744644677</v>
      </c>
      <c r="G39" s="272">
        <f>E39/'- 7 -'!E39</f>
        <v>309.51751487111699</v>
      </c>
    </row>
    <row r="40" spans="1:7" ht="14.1" customHeight="1" x14ac:dyDescent="0.2">
      <c r="A40" s="15" t="s">
        <v>136</v>
      </c>
      <c r="B40" s="16">
        <f>'- 26 -'!B40</f>
        <v>433183</v>
      </c>
      <c r="C40" s="267">
        <f>'- 26 -'!C40</f>
        <v>0.39981705898055458</v>
      </c>
      <c r="D40" s="16">
        <f>'- 26 -'!D40</f>
        <v>51.868885828893013</v>
      </c>
      <c r="E40" s="16">
        <f>SUM('- 37 -'!B40,'- 37 -'!E40,'- 37 -'!H40,B40)</f>
        <v>2997286</v>
      </c>
      <c r="F40" s="267">
        <f>E40/'- 3 -'!D40*100</f>
        <v>2.7664199043905016</v>
      </c>
      <c r="G40" s="16">
        <f>E40/'- 7 -'!E40</f>
        <v>358.89193558043468</v>
      </c>
    </row>
    <row r="41" spans="1:7" ht="14.1" customHeight="1" x14ac:dyDescent="0.2">
      <c r="A41" s="271" t="s">
        <v>137</v>
      </c>
      <c r="B41" s="272">
        <f>'- 26 -'!B41</f>
        <v>117473</v>
      </c>
      <c r="C41" s="273">
        <f>'- 26 -'!C41</f>
        <v>0.18070330014222388</v>
      </c>
      <c r="D41" s="272">
        <f>'- 26 -'!D41</f>
        <v>26.949529708648772</v>
      </c>
      <c r="E41" s="272">
        <f>SUM('- 37 -'!B41,'- 37 -'!E41,'- 37 -'!H41,B41)</f>
        <v>1434629</v>
      </c>
      <c r="F41" s="273">
        <f>E41/'- 3 -'!D41*100</f>
        <v>2.2068236512197572</v>
      </c>
      <c r="G41" s="272">
        <f>E41/'- 7 -'!E41</f>
        <v>329.11883459509062</v>
      </c>
    </row>
    <row r="42" spans="1:7" ht="14.1" customHeight="1" x14ac:dyDescent="0.2">
      <c r="A42" s="15" t="s">
        <v>138</v>
      </c>
      <c r="B42" s="16">
        <f>'- 26 -'!B42</f>
        <v>19000</v>
      </c>
      <c r="C42" s="267">
        <f>'- 26 -'!C42</f>
        <v>8.9231403893645186E-2</v>
      </c>
      <c r="D42" s="16">
        <f>'- 26 -'!D42</f>
        <v>13.513513513513514</v>
      </c>
      <c r="E42" s="16">
        <f>SUM('- 37 -'!B42,'- 37 -'!E42,'- 37 -'!H42,B42)</f>
        <v>638126</v>
      </c>
      <c r="F42" s="267">
        <f>E42/'- 3 -'!D42*100</f>
        <v>2.9968883600545384</v>
      </c>
      <c r="G42" s="16">
        <f>E42/'- 7 -'!E42</f>
        <v>453.85917496443813</v>
      </c>
    </row>
    <row r="43" spans="1:7" ht="14.1" customHeight="1" x14ac:dyDescent="0.2">
      <c r="A43" s="271" t="s">
        <v>139</v>
      </c>
      <c r="B43" s="272">
        <f>'- 26 -'!B43</f>
        <v>12500</v>
      </c>
      <c r="C43" s="273">
        <f>'- 26 -'!C43</f>
        <v>9.0712116968993228E-2</v>
      </c>
      <c r="D43" s="272">
        <f>'- 26 -'!D43</f>
        <v>13.164823591363875</v>
      </c>
      <c r="E43" s="272">
        <f>SUM('- 37 -'!B43,'- 37 -'!E43,'- 37 -'!H43,B43)</f>
        <v>350255</v>
      </c>
      <c r="F43" s="273">
        <f>E43/'- 3 -'!D43*100</f>
        <v>2.5417898023179775</v>
      </c>
      <c r="G43" s="272">
        <f>E43/'- 7 -'!E43</f>
        <v>368.88362295945234</v>
      </c>
    </row>
    <row r="44" spans="1:7" ht="14.1" customHeight="1" x14ac:dyDescent="0.2">
      <c r="A44" s="15" t="s">
        <v>140</v>
      </c>
      <c r="B44" s="16">
        <f>'- 26 -'!B44</f>
        <v>5500</v>
      </c>
      <c r="C44" s="267">
        <f>'- 26 -'!C44</f>
        <v>4.8747732787264186E-2</v>
      </c>
      <c r="D44" s="16">
        <f>'- 26 -'!D44</f>
        <v>7.9193664506839454</v>
      </c>
      <c r="E44" s="16">
        <f>SUM('- 37 -'!B44,'- 37 -'!E44,'- 37 -'!H44,B44)</f>
        <v>372786</v>
      </c>
      <c r="F44" s="267">
        <f>E44/'- 3 -'!D44*100</f>
        <v>3.3040858754241937</v>
      </c>
      <c r="G44" s="16">
        <f>E44/'- 7 -'!E44</f>
        <v>536.76889848812095</v>
      </c>
    </row>
    <row r="45" spans="1:7" ht="14.1" customHeight="1" x14ac:dyDescent="0.2">
      <c r="A45" s="271" t="s">
        <v>141</v>
      </c>
      <c r="B45" s="272">
        <f>'- 26 -'!B45</f>
        <v>57200</v>
      </c>
      <c r="C45" s="273">
        <f>'- 26 -'!C45</f>
        <v>0.27606105659763241</v>
      </c>
      <c r="D45" s="272">
        <f>'- 26 -'!D45</f>
        <v>31.813125695216907</v>
      </c>
      <c r="E45" s="272">
        <f>SUM('- 37 -'!B45,'- 37 -'!E45,'- 37 -'!H45,B45)</f>
        <v>522502</v>
      </c>
      <c r="F45" s="273">
        <f>E45/'- 3 -'!D45*100</f>
        <v>2.5217212271744076</v>
      </c>
      <c r="G45" s="272">
        <f>E45/'- 7 -'!E45</f>
        <v>290.60177975528364</v>
      </c>
    </row>
    <row r="46" spans="1:7" ht="14.1" customHeight="1" x14ac:dyDescent="0.2">
      <c r="A46" s="15" t="s">
        <v>142</v>
      </c>
      <c r="B46" s="16">
        <f>'- 26 -'!B46</f>
        <v>1282500</v>
      </c>
      <c r="C46" s="267">
        <f>'- 26 -'!C46</f>
        <v>0.31551053479220154</v>
      </c>
      <c r="D46" s="16">
        <f>'- 26 -'!D46</f>
        <v>42.38968765493307</v>
      </c>
      <c r="E46" s="16">
        <f>SUM('- 37 -'!B46,'- 37 -'!E46,'- 37 -'!H46,B46)</f>
        <v>6493500</v>
      </c>
      <c r="F46" s="267">
        <f>E46/'- 3 -'!D46*100</f>
        <v>1.5974796551057786</v>
      </c>
      <c r="G46" s="16">
        <f>E46/'- 7 -'!E46</f>
        <v>214.62568170550321</v>
      </c>
    </row>
    <row r="47" spans="1:7" ht="5.0999999999999996" customHeight="1" x14ac:dyDescent="0.2">
      <c r="A47"/>
      <c r="B47"/>
      <c r="C47"/>
      <c r="D47"/>
      <c r="E47"/>
      <c r="F47"/>
      <c r="G47"/>
    </row>
    <row r="48" spans="1:7" ht="14.1" customHeight="1" x14ac:dyDescent="0.2">
      <c r="A48" s="274" t="s">
        <v>143</v>
      </c>
      <c r="B48" s="275">
        <f>SUM(B11:B46)</f>
        <v>8986950</v>
      </c>
      <c r="C48" s="276">
        <f>'- 26 -'!C48</f>
        <v>0.37269467445749815</v>
      </c>
      <c r="D48" s="275">
        <f>'- 26 -'!D48</f>
        <v>50.185397179952531</v>
      </c>
      <c r="E48" s="275">
        <f>SUM(E11:E46)</f>
        <v>57952373</v>
      </c>
      <c r="F48" s="276">
        <f>E48/'- 3 -'!D48*100</f>
        <v>2.4033226833658254</v>
      </c>
      <c r="G48" s="275">
        <f>E48/'- 7 -'!E48</f>
        <v>323.6206784866676</v>
      </c>
    </row>
    <row r="49" spans="1:8" ht="5.0999999999999996" customHeight="1" x14ac:dyDescent="0.2">
      <c r="A49" s="17" t="s">
        <v>1</v>
      </c>
      <c r="B49" s="18"/>
      <c r="C49" s="266"/>
      <c r="D49" s="18"/>
      <c r="E49" s="18"/>
      <c r="F49" s="266"/>
    </row>
    <row r="50" spans="1:8" ht="14.1" customHeight="1" x14ac:dyDescent="0.2">
      <c r="A50" s="15" t="s">
        <v>144</v>
      </c>
      <c r="B50" s="16">
        <f>'- 26 -'!B50</f>
        <v>2000</v>
      </c>
      <c r="C50" s="267">
        <f>'- 26 -'!C50</f>
        <v>5.5665618854167771E-2</v>
      </c>
      <c r="D50" s="16">
        <f>'- 26 -'!D50</f>
        <v>11.904761904761905</v>
      </c>
      <c r="E50" s="16">
        <f>SUM('- 37 -'!B50,'- 37 -'!E50,'- 37 -'!H50,B50)</f>
        <v>139384</v>
      </c>
      <c r="F50" s="267">
        <f>E50/'- 3 -'!D50*100</f>
        <v>3.8794483091846605</v>
      </c>
      <c r="G50" s="16">
        <f>E50/'- 7 -'!E50</f>
        <v>829.66666666666663</v>
      </c>
    </row>
    <row r="51" spans="1:8" ht="14.1" customHeight="1" x14ac:dyDescent="0.2">
      <c r="A51" s="360" t="s">
        <v>514</v>
      </c>
      <c r="B51" s="272">
        <f>'- 26 -'!B51</f>
        <v>1578767</v>
      </c>
      <c r="C51" s="273">
        <f>'- 26 -'!C51</f>
        <v>4.8053061574826827</v>
      </c>
      <c r="D51" s="272">
        <f>'- 26 -'!D51</f>
        <v>1152.3846715328468</v>
      </c>
      <c r="E51" s="272">
        <f>SUM('- 37 -'!B51,'- 37 -'!E51,'- 37 -'!H51,B51)</f>
        <v>2013719</v>
      </c>
      <c r="F51" s="273">
        <f>E51/'- 3 -'!D51*100</f>
        <v>6.129173152301683</v>
      </c>
      <c r="G51" s="272">
        <f>E51/'- 7 -'!E51</f>
        <v>1469.8678832116789</v>
      </c>
    </row>
    <row r="52" spans="1:8" ht="50.1" customHeight="1" x14ac:dyDescent="0.2">
      <c r="A52" s="19"/>
      <c r="B52" s="19"/>
      <c r="C52" s="19"/>
      <c r="D52" s="19"/>
      <c r="E52" s="19"/>
      <c r="F52" s="19"/>
      <c r="G52" s="19"/>
      <c r="H52" s="19"/>
    </row>
    <row r="53" spans="1:8" ht="15" customHeight="1" x14ac:dyDescent="0.2">
      <c r="A53" s="1" t="s">
        <v>335</v>
      </c>
    </row>
    <row r="54" spans="1:8" ht="12" customHeight="1" x14ac:dyDescent="0.2">
      <c r="A54" s="131" t="s">
        <v>540</v>
      </c>
      <c r="B54" s="127"/>
      <c r="C54" s="127"/>
      <c r="D54" s="127"/>
    </row>
  </sheetData>
  <mergeCells count="5">
    <mergeCell ref="B5:G5"/>
    <mergeCell ref="E7:G7"/>
    <mergeCell ref="D8:D9"/>
    <mergeCell ref="G8:G9"/>
    <mergeCell ref="B6: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B59"/>
  <sheetViews>
    <sheetView showGridLines="0" showZeros="0" workbookViewId="0"/>
  </sheetViews>
  <sheetFormatPr defaultColWidth="14.83203125" defaultRowHeight="12" x14ac:dyDescent="0.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0" width="0" style="1" hidden="1" customWidth="1"/>
    <col min="11" max="11" width="19.5" style="1" hidden="1" customWidth="1"/>
    <col min="12" max="13" width="0" style="1" hidden="1" customWidth="1"/>
    <col min="14" max="16384" width="14.83203125" style="1"/>
  </cols>
  <sheetData>
    <row r="1" spans="1:54" ht="6.95" customHeight="1" x14ac:dyDescent="0.2">
      <c r="A1" s="3"/>
    </row>
    <row r="2" spans="1:54" ht="15.95" customHeight="1" x14ac:dyDescent="0.2">
      <c r="A2" s="100" t="str">
        <f>IF(Lang=1,BA2,BB2)</f>
        <v xml:space="preserve">  SUMMARY OF OPERATING FUND REVENUE: 2018/2019 BUDGET</v>
      </c>
      <c r="B2" s="101"/>
      <c r="C2" s="101"/>
      <c r="D2" s="101"/>
      <c r="E2" s="101"/>
      <c r="F2" s="101"/>
      <c r="G2" s="101"/>
      <c r="H2" s="101"/>
      <c r="BA2" s="471" t="str">
        <f>"  SUMMARY"&amp;REPLACE(REVYEAR,1,8,"")</f>
        <v xml:space="preserve">  SUMMARY OF OPERATING FUND REVENUE: 2018/2019 BUDGET</v>
      </c>
      <c r="BB2" s="456" t="str">
        <f>"SOMMAIRE DES RECETTES DU FONDS DE FONCTIONNEMENT : BUDGET "&amp;YEAR&amp;" - "&amp;YEAR+1</f>
        <v>SOMMAIRE DES RECETTES DU FONDS DE FONCTIONNEMENT : BUDGET 2018 - 2019</v>
      </c>
    </row>
    <row r="3" spans="1:54" ht="15.95" customHeight="1" x14ac:dyDescent="0.2">
      <c r="A3" s="180"/>
    </row>
    <row r="4" spans="1:54" ht="15.95" customHeight="1" x14ac:dyDescent="0.2">
      <c r="B4" s="4"/>
      <c r="C4" s="84"/>
      <c r="D4" s="84"/>
      <c r="E4" s="4"/>
      <c r="F4" s="4"/>
      <c r="G4" s="4"/>
      <c r="H4" s="4"/>
    </row>
    <row r="5" spans="1:54" ht="15.95" customHeight="1" x14ac:dyDescent="0.2">
      <c r="B5" s="4"/>
      <c r="C5" s="4"/>
      <c r="D5" s="4"/>
      <c r="E5" s="4"/>
      <c r="F5" s="4"/>
      <c r="G5" s="4"/>
      <c r="H5" s="4"/>
    </row>
    <row r="6" spans="1:54" ht="15.95" customHeight="1" x14ac:dyDescent="0.2">
      <c r="B6" s="704" t="s">
        <v>49</v>
      </c>
      <c r="C6" s="705"/>
      <c r="D6" s="705"/>
      <c r="E6" s="706"/>
      <c r="F6" s="706"/>
      <c r="G6" s="706"/>
      <c r="H6" s="707"/>
    </row>
    <row r="7" spans="1:54" ht="15.95" customHeight="1" x14ac:dyDescent="0.2">
      <c r="B7" s="708" t="s">
        <v>52</v>
      </c>
      <c r="C7" s="709"/>
      <c r="D7" s="710"/>
      <c r="E7" s="612" t="s">
        <v>445</v>
      </c>
      <c r="F7" s="464" t="s">
        <v>1</v>
      </c>
      <c r="G7" s="597" t="s">
        <v>446</v>
      </c>
      <c r="H7" s="284" t="s">
        <v>1</v>
      </c>
    </row>
    <row r="8" spans="1:54" ht="15.95" customHeight="1" x14ac:dyDescent="0.2">
      <c r="A8" s="469"/>
      <c r="B8" s="711"/>
      <c r="C8" s="712"/>
      <c r="D8" s="713"/>
      <c r="E8" s="677"/>
      <c r="F8" s="714" t="s">
        <v>54</v>
      </c>
      <c r="G8" s="714"/>
      <c r="H8" s="313" t="s">
        <v>1</v>
      </c>
    </row>
    <row r="9" spans="1:54" ht="15.95" customHeight="1" x14ac:dyDescent="0.2">
      <c r="A9" s="93" t="s">
        <v>37</v>
      </c>
      <c r="B9" s="285" t="s">
        <v>306</v>
      </c>
      <c r="C9" s="285" t="s">
        <v>50</v>
      </c>
      <c r="D9" s="285" t="s">
        <v>51</v>
      </c>
      <c r="E9" s="614"/>
      <c r="F9" s="715"/>
      <c r="G9" s="598"/>
      <c r="H9" s="285" t="s">
        <v>19</v>
      </c>
      <c r="J9" s="128" t="s">
        <v>77</v>
      </c>
    </row>
    <row r="10" spans="1:54" ht="5.0999999999999996" customHeight="1" x14ac:dyDescent="0.2">
      <c r="A10" s="29"/>
      <c r="B10" s="182"/>
      <c r="C10" s="182"/>
      <c r="D10" s="182"/>
      <c r="E10" s="182"/>
      <c r="F10" s="182"/>
      <c r="G10" s="182"/>
      <c r="H10" s="182"/>
    </row>
    <row r="11" spans="1:54" ht="14.1" customHeight="1" x14ac:dyDescent="0.2">
      <c r="A11" s="271" t="s">
        <v>108</v>
      </c>
      <c r="B11" s="273">
        <f>'- 41 -'!I11</f>
        <v>63.647659987995596</v>
      </c>
      <c r="C11" s="273">
        <f>'- 42 -'!C11</f>
        <v>0</v>
      </c>
      <c r="D11" s="273">
        <f>'- 42 -'!E11</f>
        <v>35.742409771921714</v>
      </c>
      <c r="E11" s="273">
        <f>'- 42 -'!G11</f>
        <v>0.14638325761984627</v>
      </c>
      <c r="F11" s="273">
        <f>'- 42 -'!I11</f>
        <v>0</v>
      </c>
      <c r="G11" s="273">
        <f>'- 43 -'!C11</f>
        <v>6.8312186889261606E-2</v>
      </c>
      <c r="H11" s="273">
        <f>'- 43 -'!E11</f>
        <v>0.39523479557358498</v>
      </c>
      <c r="J11" s="337">
        <f>SUM(B11:H11)</f>
        <v>100</v>
      </c>
      <c r="K11" s="1" t="s">
        <v>53</v>
      </c>
      <c r="L11" s="337">
        <f>B48</f>
        <v>59.338192206919793</v>
      </c>
    </row>
    <row r="12" spans="1:54" ht="14.1" customHeight="1" x14ac:dyDescent="0.2">
      <c r="A12" s="15" t="s">
        <v>109</v>
      </c>
      <c r="B12" s="267">
        <f>'- 41 -'!I12</f>
        <v>59.838870043075786</v>
      </c>
      <c r="C12" s="267">
        <f>'- 42 -'!C12</f>
        <v>0</v>
      </c>
      <c r="D12" s="267">
        <f>'- 42 -'!E12</f>
        <v>33.828956299352988</v>
      </c>
      <c r="E12" s="267">
        <f>'- 42 -'!G12</f>
        <v>1.7199823500772218</v>
      </c>
      <c r="F12" s="267">
        <f>'- 42 -'!I12</f>
        <v>3.7038954333379657</v>
      </c>
      <c r="G12" s="267">
        <f>'- 43 -'!C12</f>
        <v>0.40011927072413295</v>
      </c>
      <c r="H12" s="267">
        <f>'- 43 -'!E12</f>
        <v>0.50817660343190652</v>
      </c>
      <c r="J12" s="337">
        <f t="shared" ref="J12:J46" si="0">SUM(B12:H12)</f>
        <v>100</v>
      </c>
      <c r="K12" s="1" t="s">
        <v>50</v>
      </c>
      <c r="L12" s="337">
        <f>C48</f>
        <v>0.24049728213898497</v>
      </c>
    </row>
    <row r="13" spans="1:54" ht="14.1" customHeight="1" x14ac:dyDescent="0.2">
      <c r="A13" s="271" t="s">
        <v>110</v>
      </c>
      <c r="B13" s="273">
        <f>'- 41 -'!I13</f>
        <v>60.502541731676374</v>
      </c>
      <c r="C13" s="273">
        <f>'- 42 -'!C13</f>
        <v>1.7740817209168071E-2</v>
      </c>
      <c r="D13" s="273">
        <f>'- 42 -'!E13</f>
        <v>37.956979956712402</v>
      </c>
      <c r="E13" s="273">
        <f>'- 42 -'!G13</f>
        <v>0.37044744258927709</v>
      </c>
      <c r="F13" s="273">
        <f>'- 42 -'!I13</f>
        <v>0.17405180126832459</v>
      </c>
      <c r="G13" s="273">
        <f>'- 43 -'!C13</f>
        <v>0.81166636139674897</v>
      </c>
      <c r="H13" s="273">
        <f>'- 43 -'!E13</f>
        <v>0.16657188914770238</v>
      </c>
      <c r="J13" s="337">
        <f t="shared" si="0"/>
        <v>99.999999999999986</v>
      </c>
      <c r="K13" s="1" t="s">
        <v>51</v>
      </c>
      <c r="L13" s="337">
        <f>D48</f>
        <v>34.748404821688219</v>
      </c>
    </row>
    <row r="14" spans="1:54" ht="14.1" customHeight="1" x14ac:dyDescent="0.2">
      <c r="A14" s="15" t="s">
        <v>319</v>
      </c>
      <c r="B14" s="267">
        <f>'- 41 -'!I14</f>
        <v>69.605476832719205</v>
      </c>
      <c r="C14" s="267">
        <f>'- 42 -'!C14</f>
        <v>0.11155264118673312</v>
      </c>
      <c r="D14" s="267">
        <f>'- 42 -'!E14</f>
        <v>28.033402088734615</v>
      </c>
      <c r="E14" s="267">
        <f>'- 42 -'!G14</f>
        <v>2.1435381831145106</v>
      </c>
      <c r="F14" s="267">
        <f>'- 42 -'!I14</f>
        <v>0</v>
      </c>
      <c r="G14" s="267">
        <f>'- 43 -'!C14</f>
        <v>9.5406193179533402E-2</v>
      </c>
      <c r="H14" s="267">
        <f>'- 43 -'!E14</f>
        <v>1.0624061065403154E-2</v>
      </c>
      <c r="J14" s="337">
        <f t="shared" si="0"/>
        <v>100</v>
      </c>
      <c r="K14" s="1" t="s">
        <v>62</v>
      </c>
      <c r="L14" s="337">
        <f>E48</f>
        <v>0.52663325192850108</v>
      </c>
    </row>
    <row r="15" spans="1:54" ht="14.1" customHeight="1" x14ac:dyDescent="0.2">
      <c r="A15" s="271" t="s">
        <v>111</v>
      </c>
      <c r="B15" s="273">
        <f>'- 41 -'!I15</f>
        <v>59.698435940370686</v>
      </c>
      <c r="C15" s="273">
        <f>'- 42 -'!C15</f>
        <v>0</v>
      </c>
      <c r="D15" s="273">
        <f>'- 42 -'!E15</f>
        <v>39.099409180636961</v>
      </c>
      <c r="E15" s="273">
        <f>'- 42 -'!G15</f>
        <v>0.25259285395170061</v>
      </c>
      <c r="F15" s="273">
        <f>'- 42 -'!I15</f>
        <v>0.67825858931475158</v>
      </c>
      <c r="G15" s="273">
        <f>'- 43 -'!C15</f>
        <v>0.21517169040330053</v>
      </c>
      <c r="H15" s="273">
        <f>'- 43 -'!E15</f>
        <v>5.6131745322600131E-2</v>
      </c>
      <c r="J15" s="337">
        <f t="shared" si="0"/>
        <v>99.999999999999986</v>
      </c>
      <c r="K15" s="1" t="s">
        <v>54</v>
      </c>
      <c r="L15" s="337">
        <f>F48</f>
        <v>4.0987755770569967</v>
      </c>
    </row>
    <row r="16" spans="1:54" ht="14.1" customHeight="1" x14ac:dyDescent="0.2">
      <c r="A16" s="15" t="s">
        <v>112</v>
      </c>
      <c r="B16" s="267">
        <f>'- 41 -'!I16</f>
        <v>72.897529632258056</v>
      </c>
      <c r="C16" s="267">
        <f>'- 42 -'!C16</f>
        <v>0</v>
      </c>
      <c r="D16" s="267">
        <f>'- 42 -'!E16</f>
        <v>23.403389772616439</v>
      </c>
      <c r="E16" s="267">
        <f>'- 42 -'!G16</f>
        <v>1.7317644384083859</v>
      </c>
      <c r="F16" s="267">
        <f>'- 42 -'!I16</f>
        <v>0</v>
      </c>
      <c r="G16" s="267">
        <f>'- 43 -'!C16</f>
        <v>1.3869325734623961</v>
      </c>
      <c r="H16" s="267">
        <f>'- 43 -'!E16</f>
        <v>0.58038358325471384</v>
      </c>
      <c r="J16" s="337">
        <f t="shared" si="0"/>
        <v>100</v>
      </c>
      <c r="K16" s="1" t="s">
        <v>48</v>
      </c>
      <c r="L16" s="337">
        <f>G48</f>
        <v>0.84023480883828172</v>
      </c>
    </row>
    <row r="17" spans="1:12" ht="14.1" customHeight="1" x14ac:dyDescent="0.2">
      <c r="A17" s="271" t="s">
        <v>113</v>
      </c>
      <c r="B17" s="273">
        <f>'- 41 -'!I17</f>
        <v>52.894155455897959</v>
      </c>
      <c r="C17" s="273">
        <f>'- 42 -'!C17</f>
        <v>0</v>
      </c>
      <c r="D17" s="273">
        <f>'- 42 -'!E17</f>
        <v>42.212022779662632</v>
      </c>
      <c r="E17" s="273">
        <f>'- 42 -'!G17</f>
        <v>0.178991586969242</v>
      </c>
      <c r="F17" s="273">
        <f>'- 42 -'!I17</f>
        <v>4.5997641572756462</v>
      </c>
      <c r="G17" s="273">
        <f>'- 43 -'!C17</f>
        <v>0</v>
      </c>
      <c r="H17" s="273">
        <f>'- 43 -'!E17</f>
        <v>0.11506602019451273</v>
      </c>
      <c r="J17" s="337">
        <f t="shared" si="0"/>
        <v>100</v>
      </c>
      <c r="K17" s="131" t="s">
        <v>19</v>
      </c>
      <c r="L17" s="337">
        <f>H48</f>
        <v>0.2072620514292198</v>
      </c>
    </row>
    <row r="18" spans="1:12" ht="14.1" customHeight="1" x14ac:dyDescent="0.2">
      <c r="A18" s="15" t="s">
        <v>114</v>
      </c>
      <c r="B18" s="267">
        <f>'- 41 -'!I18</f>
        <v>35.116930738032885</v>
      </c>
      <c r="C18" s="267">
        <f>'- 42 -'!C18</f>
        <v>0.51681968302210191</v>
      </c>
      <c r="D18" s="267">
        <f>'- 42 -'!E18</f>
        <v>2.2592722612212266</v>
      </c>
      <c r="E18" s="267">
        <f>'- 42 -'!G18</f>
        <v>0</v>
      </c>
      <c r="F18" s="267">
        <f>'- 42 -'!I18</f>
        <v>58.375795480527195</v>
      </c>
      <c r="G18" s="267">
        <f>'- 43 -'!C18</f>
        <v>3.2684644901382334</v>
      </c>
      <c r="H18" s="267">
        <f>'- 43 -'!E18</f>
        <v>0.46271734705835565</v>
      </c>
      <c r="J18" s="337">
        <f t="shared" si="0"/>
        <v>99.999999999999986</v>
      </c>
      <c r="L18" s="337"/>
    </row>
    <row r="19" spans="1:12" ht="14.1" customHeight="1" x14ac:dyDescent="0.2">
      <c r="A19" s="271" t="s">
        <v>115</v>
      </c>
      <c r="B19" s="273">
        <f>'- 41 -'!I19</f>
        <v>66.993343677864601</v>
      </c>
      <c r="C19" s="273">
        <f>'- 42 -'!C19</f>
        <v>0</v>
      </c>
      <c r="D19" s="273">
        <f>'- 42 -'!E19</f>
        <v>31.457584562209671</v>
      </c>
      <c r="E19" s="273">
        <f>'- 42 -'!G19</f>
        <v>0.72551462173736314</v>
      </c>
      <c r="F19" s="273">
        <f>'- 42 -'!I19</f>
        <v>0</v>
      </c>
      <c r="G19" s="273">
        <f>'- 43 -'!C19</f>
        <v>2.1569353619218905E-2</v>
      </c>
      <c r="H19" s="273">
        <f>'- 43 -'!E19</f>
        <v>0.80198778456913933</v>
      </c>
      <c r="J19" s="337">
        <f t="shared" si="0"/>
        <v>99.999999999999986</v>
      </c>
      <c r="L19" s="337">
        <f>SUM(L11:L17)</f>
        <v>99.999999999999986</v>
      </c>
    </row>
    <row r="20" spans="1:12" ht="14.1" customHeight="1" x14ac:dyDescent="0.2">
      <c r="A20" s="15" t="s">
        <v>116</v>
      </c>
      <c r="B20" s="267">
        <f>'- 41 -'!I20</f>
        <v>69.305589359933492</v>
      </c>
      <c r="C20" s="267">
        <f>'- 42 -'!C20</f>
        <v>0</v>
      </c>
      <c r="D20" s="267">
        <f>'- 42 -'!E20</f>
        <v>29.974654474923803</v>
      </c>
      <c r="E20" s="267">
        <f>'- 42 -'!G20</f>
        <v>7.2042116929897482E-2</v>
      </c>
      <c r="F20" s="267">
        <f>'- 42 -'!I20</f>
        <v>0</v>
      </c>
      <c r="G20" s="267">
        <f>'- 43 -'!C20</f>
        <v>0.45996120809088392</v>
      </c>
      <c r="H20" s="267">
        <f>'- 43 -'!E20</f>
        <v>0.18775284012191742</v>
      </c>
      <c r="J20" s="337">
        <f t="shared" si="0"/>
        <v>99.999999999999986</v>
      </c>
    </row>
    <row r="21" spans="1:12" ht="14.1" customHeight="1" x14ac:dyDescent="0.2">
      <c r="A21" s="271" t="s">
        <v>117</v>
      </c>
      <c r="B21" s="273">
        <f>'- 41 -'!I21</f>
        <v>58.449073107049607</v>
      </c>
      <c r="C21" s="273">
        <f>'- 42 -'!C21</f>
        <v>0</v>
      </c>
      <c r="D21" s="273">
        <f>'- 42 -'!E21</f>
        <v>40.626138381201045</v>
      </c>
      <c r="E21" s="273">
        <f>'- 42 -'!G21</f>
        <v>6.5274151436031339E-2</v>
      </c>
      <c r="F21" s="273">
        <f>'- 42 -'!I21</f>
        <v>0</v>
      </c>
      <c r="G21" s="273">
        <f>'- 43 -'!C21</f>
        <v>0.50078328981723241</v>
      </c>
      <c r="H21" s="273">
        <f>'- 43 -'!E21</f>
        <v>0.35873107049608355</v>
      </c>
      <c r="J21" s="337">
        <f t="shared" si="0"/>
        <v>100</v>
      </c>
    </row>
    <row r="22" spans="1:12" ht="14.1" customHeight="1" x14ac:dyDescent="0.2">
      <c r="A22" s="15" t="s">
        <v>118</v>
      </c>
      <c r="B22" s="267">
        <f>'- 41 -'!I22</f>
        <v>84.208581611412512</v>
      </c>
      <c r="C22" s="267">
        <f>'- 42 -'!C22</f>
        <v>0.12562886912757515</v>
      </c>
      <c r="D22" s="267">
        <f>'- 42 -'!E22</f>
        <v>14.740484579539503</v>
      </c>
      <c r="E22" s="267">
        <f>'- 42 -'!G22</f>
        <v>7.2478193727447196E-2</v>
      </c>
      <c r="F22" s="267">
        <f>'- 42 -'!I22</f>
        <v>9.6637591636596271E-2</v>
      </c>
      <c r="G22" s="267">
        <f>'- 43 -'!C22</f>
        <v>0</v>
      </c>
      <c r="H22" s="267">
        <f>'- 43 -'!E22</f>
        <v>0.75618915455636582</v>
      </c>
      <c r="J22" s="337">
        <f t="shared" si="0"/>
        <v>100</v>
      </c>
    </row>
    <row r="23" spans="1:12" ht="14.1" customHeight="1" x14ac:dyDescent="0.2">
      <c r="A23" s="271" t="s">
        <v>119</v>
      </c>
      <c r="B23" s="273">
        <f>'- 41 -'!I23</f>
        <v>68.166094169473695</v>
      </c>
      <c r="C23" s="273">
        <f>'- 42 -'!C23</f>
        <v>1.5858807125311236</v>
      </c>
      <c r="D23" s="273">
        <f>'- 42 -'!E23</f>
        <v>22.209801796019065</v>
      </c>
      <c r="E23" s="273">
        <f>'- 42 -'!G23</f>
        <v>0.52825125883742341</v>
      </c>
      <c r="F23" s="273">
        <f>'- 42 -'!I23</f>
        <v>5.8342416809377653</v>
      </c>
      <c r="G23" s="273">
        <f>'- 43 -'!C23</f>
        <v>1.4057352943506991</v>
      </c>
      <c r="H23" s="273">
        <f>'- 43 -'!E23</f>
        <v>0.26999508785023868</v>
      </c>
      <c r="J23" s="337">
        <f t="shared" si="0"/>
        <v>100.00000000000001</v>
      </c>
    </row>
    <row r="24" spans="1:12" ht="14.1" customHeight="1" x14ac:dyDescent="0.2">
      <c r="A24" s="15" t="s">
        <v>120</v>
      </c>
      <c r="B24" s="267">
        <f>'- 41 -'!I24</f>
        <v>56.442155992628017</v>
      </c>
      <c r="C24" s="267">
        <f>'- 42 -'!C24</f>
        <v>0</v>
      </c>
      <c r="D24" s="267">
        <f>'- 42 -'!E24</f>
        <v>41.712236306150388</v>
      </c>
      <c r="E24" s="267">
        <f>'- 42 -'!G24</f>
        <v>0.30723391406647077</v>
      </c>
      <c r="F24" s="267">
        <f>'- 42 -'!I24</f>
        <v>0.74604261693844998</v>
      </c>
      <c r="G24" s="267">
        <f>'- 43 -'!C24</f>
        <v>0.61921537205891353</v>
      </c>
      <c r="H24" s="267">
        <f>'- 43 -'!E24</f>
        <v>0.17311579815776304</v>
      </c>
      <c r="J24" s="337">
        <f t="shared" si="0"/>
        <v>100.00000000000001</v>
      </c>
    </row>
    <row r="25" spans="1:12" ht="14.1" customHeight="1" x14ac:dyDescent="0.2">
      <c r="A25" s="271" t="s">
        <v>121</v>
      </c>
      <c r="B25" s="273">
        <f>'- 41 -'!I25</f>
        <v>59.224489617678429</v>
      </c>
      <c r="C25" s="273">
        <f>'- 42 -'!C25</f>
        <v>0</v>
      </c>
      <c r="D25" s="273">
        <f>'- 42 -'!E25</f>
        <v>39.177773396618335</v>
      </c>
      <c r="E25" s="273">
        <f>'- 42 -'!G25</f>
        <v>0.28972051236345675</v>
      </c>
      <c r="F25" s="273">
        <f>'- 42 -'!I25</f>
        <v>0</v>
      </c>
      <c r="G25" s="273">
        <f>'- 43 -'!C25</f>
        <v>1.2685091307447514</v>
      </c>
      <c r="H25" s="273">
        <f>'- 43 -'!E25</f>
        <v>3.9507342595016835E-2</v>
      </c>
      <c r="J25" s="337">
        <f t="shared" si="0"/>
        <v>99.999999999999986</v>
      </c>
    </row>
    <row r="26" spans="1:12" ht="14.1" customHeight="1" x14ac:dyDescent="0.2">
      <c r="A26" s="15" t="s">
        <v>122</v>
      </c>
      <c r="B26" s="267">
        <f>'- 41 -'!I26</f>
        <v>63.815793591994151</v>
      </c>
      <c r="C26" s="267">
        <f>'- 42 -'!C26</f>
        <v>4.7627080105583121E-2</v>
      </c>
      <c r="D26" s="267">
        <f>'- 42 -'!E26</f>
        <v>31.327976996572538</v>
      </c>
      <c r="E26" s="267">
        <f>'- 42 -'!G26</f>
        <v>1.2151903108858249</v>
      </c>
      <c r="F26" s="267">
        <f>'- 42 -'!I26</f>
        <v>1.7403830012215238</v>
      </c>
      <c r="G26" s="267">
        <f>'- 43 -'!C26</f>
        <v>1.3174921364739343</v>
      </c>
      <c r="H26" s="267">
        <f>'- 43 -'!E26</f>
        <v>0.53553688274643685</v>
      </c>
      <c r="J26" s="337">
        <f t="shared" si="0"/>
        <v>100</v>
      </c>
    </row>
    <row r="27" spans="1:12" ht="14.1" customHeight="1" x14ac:dyDescent="0.2">
      <c r="A27" s="271" t="s">
        <v>123</v>
      </c>
      <c r="B27" s="273">
        <f>'- 41 -'!I27</f>
        <v>83.086240590297876</v>
      </c>
      <c r="C27" s="273">
        <f>'- 42 -'!C27</f>
        <v>0</v>
      </c>
      <c r="D27" s="273">
        <f>'- 42 -'!E27</f>
        <v>15.321047658674821</v>
      </c>
      <c r="E27" s="273">
        <f>'- 42 -'!G27</f>
        <v>0.23578264263912643</v>
      </c>
      <c r="F27" s="273">
        <f>'- 42 -'!I27</f>
        <v>0.82523924923694258</v>
      </c>
      <c r="G27" s="273">
        <f>'- 43 -'!C27</f>
        <v>0.41615636425805819</v>
      </c>
      <c r="H27" s="273">
        <f>'- 43 -'!E27</f>
        <v>0.11553349489317195</v>
      </c>
      <c r="J27" s="337">
        <f t="shared" si="0"/>
        <v>99.999999999999986</v>
      </c>
    </row>
    <row r="28" spans="1:12" ht="14.1" customHeight="1" x14ac:dyDescent="0.2">
      <c r="A28" s="15" t="s">
        <v>124</v>
      </c>
      <c r="B28" s="267">
        <f>'- 41 -'!I28</f>
        <v>46.470278873448663</v>
      </c>
      <c r="C28" s="267">
        <f>'- 42 -'!C28</f>
        <v>0</v>
      </c>
      <c r="D28" s="267">
        <f>'- 42 -'!E28</f>
        <v>27.517868219020219</v>
      </c>
      <c r="E28" s="267">
        <f>'- 42 -'!G28</f>
        <v>0.22588903951601619</v>
      </c>
      <c r="F28" s="267">
        <f>'- 42 -'!I28</f>
        <v>25.713651827926132</v>
      </c>
      <c r="G28" s="267">
        <f>'- 43 -'!C28</f>
        <v>4.820802672597907E-2</v>
      </c>
      <c r="H28" s="267">
        <f>'- 43 -'!E28</f>
        <v>2.4104013362989535E-2</v>
      </c>
      <c r="J28" s="337">
        <f t="shared" si="0"/>
        <v>99.999999999999986</v>
      </c>
    </row>
    <row r="29" spans="1:12" ht="14.1" customHeight="1" x14ac:dyDescent="0.2">
      <c r="A29" s="271" t="s">
        <v>125</v>
      </c>
      <c r="B29" s="273">
        <f>'- 41 -'!I29</f>
        <v>49.423601558433631</v>
      </c>
      <c r="C29" s="273">
        <f>'- 42 -'!C29</f>
        <v>0</v>
      </c>
      <c r="D29" s="273">
        <f>'- 42 -'!E29</f>
        <v>48.229325111168102</v>
      </c>
      <c r="E29" s="273">
        <f>'- 42 -'!G29</f>
        <v>0.3371900536058407</v>
      </c>
      <c r="F29" s="273">
        <f>'- 42 -'!I29</f>
        <v>0</v>
      </c>
      <c r="G29" s="273">
        <f>'- 43 -'!C29</f>
        <v>1.8934518394789515</v>
      </c>
      <c r="H29" s="273">
        <f>'- 43 -'!E29</f>
        <v>0.11643143731346976</v>
      </c>
      <c r="J29" s="337">
        <f t="shared" si="0"/>
        <v>99.999999999999986</v>
      </c>
    </row>
    <row r="30" spans="1:12" ht="14.1" customHeight="1" x14ac:dyDescent="0.2">
      <c r="A30" s="15" t="s">
        <v>126</v>
      </c>
      <c r="B30" s="267">
        <f>'- 41 -'!I30</f>
        <v>58.06686603639357</v>
      </c>
      <c r="C30" s="267">
        <f>'- 42 -'!C30</f>
        <v>0</v>
      </c>
      <c r="D30" s="267">
        <f>'- 42 -'!E30</f>
        <v>41.629981318299031</v>
      </c>
      <c r="E30" s="267">
        <f>'- 42 -'!G30</f>
        <v>0.22558693648674139</v>
      </c>
      <c r="F30" s="267">
        <f>'- 42 -'!I30</f>
        <v>0</v>
      </c>
      <c r="G30" s="267">
        <f>'- 43 -'!C30</f>
        <v>0</v>
      </c>
      <c r="H30" s="267">
        <f>'- 43 -'!E30</f>
        <v>7.7565708820656054E-2</v>
      </c>
      <c r="J30" s="337">
        <f t="shared" si="0"/>
        <v>100</v>
      </c>
    </row>
    <row r="31" spans="1:12" ht="14.1" customHeight="1" x14ac:dyDescent="0.2">
      <c r="A31" s="271" t="s">
        <v>127</v>
      </c>
      <c r="B31" s="273">
        <f>'- 41 -'!I31</f>
        <v>59.533960861891529</v>
      </c>
      <c r="C31" s="273">
        <f>'- 42 -'!C31</f>
        <v>0</v>
      </c>
      <c r="D31" s="273">
        <f>'- 42 -'!E31</f>
        <v>37.90131048901916</v>
      </c>
      <c r="E31" s="273">
        <f>'- 42 -'!G31</f>
        <v>0.44907700081330337</v>
      </c>
      <c r="F31" s="273">
        <f>'- 42 -'!I31</f>
        <v>2.0333208647935681</v>
      </c>
      <c r="G31" s="273">
        <f>'- 43 -'!C31</f>
        <v>1.2474361133702871E-2</v>
      </c>
      <c r="H31" s="273">
        <f>'- 43 -'!E31</f>
        <v>6.9856422348736083E-2</v>
      </c>
      <c r="J31" s="337">
        <f t="shared" si="0"/>
        <v>99.999999999999986</v>
      </c>
    </row>
    <row r="32" spans="1:12" ht="14.1" customHeight="1" x14ac:dyDescent="0.2">
      <c r="A32" s="15" t="s">
        <v>128</v>
      </c>
      <c r="B32" s="267">
        <f>'- 41 -'!I32</f>
        <v>54.067916785229897</v>
      </c>
      <c r="C32" s="267">
        <f>'- 42 -'!C32</f>
        <v>0</v>
      </c>
      <c r="D32" s="267">
        <f>'- 42 -'!E32</f>
        <v>45.361255736169667</v>
      </c>
      <c r="E32" s="267">
        <f>'- 42 -'!G32</f>
        <v>0.24901869871831031</v>
      </c>
      <c r="F32" s="267">
        <f>'- 42 -'!I32</f>
        <v>0</v>
      </c>
      <c r="G32" s="267">
        <f>'- 43 -'!C32</f>
        <v>1.0854661226182758E-2</v>
      </c>
      <c r="H32" s="267">
        <f>'- 43 -'!E32</f>
        <v>0.31095411865594136</v>
      </c>
      <c r="J32" s="337">
        <f t="shared" si="0"/>
        <v>100</v>
      </c>
    </row>
    <row r="33" spans="1:10" ht="14.1" customHeight="1" x14ac:dyDescent="0.2">
      <c r="A33" s="271" t="s">
        <v>129</v>
      </c>
      <c r="B33" s="273">
        <f>'- 41 -'!I33</f>
        <v>58.857888029097296</v>
      </c>
      <c r="C33" s="273">
        <f>'- 42 -'!C33</f>
        <v>0.11983805690400245</v>
      </c>
      <c r="D33" s="273">
        <f>'- 42 -'!E33</f>
        <v>39.428234247048991</v>
      </c>
      <c r="E33" s="273">
        <f>'- 42 -'!G33</f>
        <v>0.1347659809474076</v>
      </c>
      <c r="F33" s="273">
        <f>'- 42 -'!I33</f>
        <v>0.69110759460209037</v>
      </c>
      <c r="G33" s="273">
        <f>'- 43 -'!C33</f>
        <v>0.53491727822201796</v>
      </c>
      <c r="H33" s="273">
        <f>'- 43 -'!E33</f>
        <v>0.23324881317820545</v>
      </c>
      <c r="J33" s="337">
        <f t="shared" si="0"/>
        <v>100.00000000000001</v>
      </c>
    </row>
    <row r="34" spans="1:10" ht="14.1" customHeight="1" x14ac:dyDescent="0.2">
      <c r="A34" s="15" t="s">
        <v>130</v>
      </c>
      <c r="B34" s="267">
        <f>'- 41 -'!I34</f>
        <v>49.496929317754763</v>
      </c>
      <c r="C34" s="267">
        <f>'- 42 -'!C34</f>
        <v>6.6354347408666553E-2</v>
      </c>
      <c r="D34" s="267">
        <f>'- 42 -'!E34</f>
        <v>46.092465166077815</v>
      </c>
      <c r="E34" s="267">
        <f>'- 42 -'!G34</f>
        <v>3.71753162202788</v>
      </c>
      <c r="F34" s="267">
        <f>'- 42 -'!I34</f>
        <v>0</v>
      </c>
      <c r="G34" s="267">
        <f>'- 43 -'!C34</f>
        <v>0.51223367834676159</v>
      </c>
      <c r="H34" s="267">
        <f>'- 43 -'!E34</f>
        <v>0.11448586838411205</v>
      </c>
      <c r="J34" s="337">
        <f t="shared" si="0"/>
        <v>100</v>
      </c>
    </row>
    <row r="35" spans="1:10" ht="14.1" customHeight="1" x14ac:dyDescent="0.2">
      <c r="A35" s="271" t="s">
        <v>131</v>
      </c>
      <c r="B35" s="273">
        <f>'- 41 -'!I35</f>
        <v>64.870874236606809</v>
      </c>
      <c r="C35" s="273">
        <f>'- 42 -'!C35</f>
        <v>0</v>
      </c>
      <c r="D35" s="273">
        <f>'- 42 -'!E35</f>
        <v>34.550852685002248</v>
      </c>
      <c r="E35" s="273">
        <f>'- 42 -'!G35</f>
        <v>0.10332338318820893</v>
      </c>
      <c r="F35" s="273">
        <f>'- 42 -'!I35</f>
        <v>0</v>
      </c>
      <c r="G35" s="273">
        <f>'- 43 -'!C35</f>
        <v>0.45462288602811929</v>
      </c>
      <c r="H35" s="273">
        <f>'- 43 -'!E35</f>
        <v>2.0326809174616343E-2</v>
      </c>
      <c r="J35" s="337">
        <f t="shared" si="0"/>
        <v>100.00000000000001</v>
      </c>
    </row>
    <row r="36" spans="1:10" ht="14.1" customHeight="1" x14ac:dyDescent="0.2">
      <c r="A36" s="15" t="s">
        <v>132</v>
      </c>
      <c r="B36" s="267">
        <f>'- 41 -'!I36</f>
        <v>54.07916733838465</v>
      </c>
      <c r="C36" s="267">
        <f>'- 42 -'!C36</f>
        <v>0.18962598742543929</v>
      </c>
      <c r="D36" s="267">
        <f>'- 42 -'!E36</f>
        <v>39.510748831210705</v>
      </c>
      <c r="E36" s="267">
        <f>'- 42 -'!G36</f>
        <v>0.27768821537965505</v>
      </c>
      <c r="F36" s="267">
        <f>'- 42 -'!I36</f>
        <v>5.5577946155086249</v>
      </c>
      <c r="G36" s="267">
        <f>'- 43 -'!C36</f>
        <v>0.12937288408834435</v>
      </c>
      <c r="H36" s="267">
        <f>'- 43 -'!E36</f>
        <v>0.25560212800257942</v>
      </c>
      <c r="J36" s="337">
        <f t="shared" si="0"/>
        <v>99.999999999999986</v>
      </c>
    </row>
    <row r="37" spans="1:10" ht="14.1" customHeight="1" x14ac:dyDescent="0.2">
      <c r="A37" s="271" t="s">
        <v>133</v>
      </c>
      <c r="B37" s="273">
        <f>'- 41 -'!I37</f>
        <v>68.350073857971111</v>
      </c>
      <c r="C37" s="273">
        <f>'- 42 -'!C37</f>
        <v>2.7696739170574986E-2</v>
      </c>
      <c r="D37" s="273">
        <f>'- 42 -'!E37</f>
        <v>31.057215923778575</v>
      </c>
      <c r="E37" s="273">
        <f>'- 42 -'!G37</f>
        <v>0.46161231950958309</v>
      </c>
      <c r="F37" s="273">
        <f>'- 42 -'!I37</f>
        <v>0</v>
      </c>
      <c r="G37" s="273">
        <f>'- 43 -'!C37</f>
        <v>0</v>
      </c>
      <c r="H37" s="273">
        <f>'- 43 -'!E37</f>
        <v>0.1034011595701466</v>
      </c>
      <c r="J37" s="337">
        <f t="shared" si="0"/>
        <v>99.999999999999986</v>
      </c>
    </row>
    <row r="38" spans="1:10" ht="14.1" customHeight="1" x14ac:dyDescent="0.2">
      <c r="A38" s="15" t="s">
        <v>134</v>
      </c>
      <c r="B38" s="267">
        <f>'- 41 -'!I38</f>
        <v>66.863077785586952</v>
      </c>
      <c r="C38" s="267">
        <f>'- 42 -'!C38</f>
        <v>0.60998217653624787</v>
      </c>
      <c r="D38" s="267">
        <f>'- 42 -'!E38</f>
        <v>30.192983952688547</v>
      </c>
      <c r="E38" s="267">
        <f>'- 42 -'!G38</f>
        <v>0.87525036368335785</v>
      </c>
      <c r="F38" s="267">
        <f>'- 42 -'!I38</f>
        <v>0.5049521328942449</v>
      </c>
      <c r="G38" s="267">
        <f>'- 43 -'!C38</f>
        <v>0.91807030455278971</v>
      </c>
      <c r="H38" s="267">
        <f>'- 43 -'!E38</f>
        <v>3.5683284057859976E-2</v>
      </c>
      <c r="J38" s="337">
        <f t="shared" si="0"/>
        <v>100</v>
      </c>
    </row>
    <row r="39" spans="1:10" ht="14.1" customHeight="1" x14ac:dyDescent="0.2">
      <c r="A39" s="271" t="s">
        <v>135</v>
      </c>
      <c r="B39" s="273">
        <f>'- 41 -'!I39</f>
        <v>50.832586799516577</v>
      </c>
      <c r="C39" s="273">
        <f>'- 42 -'!C39</f>
        <v>0</v>
      </c>
      <c r="D39" s="273">
        <f>'- 42 -'!E39</f>
        <v>48.49949673689602</v>
      </c>
      <c r="E39" s="273">
        <f>'- 42 -'!G39</f>
        <v>0.42440808229170857</v>
      </c>
      <c r="F39" s="273">
        <f>'- 42 -'!I39</f>
        <v>0</v>
      </c>
      <c r="G39" s="273">
        <f>'- 43 -'!C39</f>
        <v>0</v>
      </c>
      <c r="H39" s="273">
        <f>'- 43 -'!E39</f>
        <v>0.24350838129569072</v>
      </c>
      <c r="J39" s="337">
        <f t="shared" si="0"/>
        <v>100</v>
      </c>
    </row>
    <row r="40" spans="1:10" ht="14.1" customHeight="1" x14ac:dyDescent="0.2">
      <c r="A40" s="15" t="s">
        <v>136</v>
      </c>
      <c r="B40" s="267">
        <f>'- 41 -'!I40</f>
        <v>51.781150385985164</v>
      </c>
      <c r="C40" s="267">
        <f>'- 42 -'!C40</f>
        <v>0</v>
      </c>
      <c r="D40" s="267">
        <f>'- 42 -'!E40</f>
        <v>44.833649632995545</v>
      </c>
      <c r="E40" s="267">
        <f>'- 42 -'!G40</f>
        <v>0.56396486309523863</v>
      </c>
      <c r="F40" s="267">
        <f>'- 42 -'!I40</f>
        <v>0.19126437317610065</v>
      </c>
      <c r="G40" s="267">
        <f>'- 43 -'!C40</f>
        <v>1.9399599273814714</v>
      </c>
      <c r="H40" s="267">
        <f>'- 43 -'!E40</f>
        <v>0.69001081736647718</v>
      </c>
      <c r="J40" s="337">
        <f t="shared" si="0"/>
        <v>99.999999999999972</v>
      </c>
    </row>
    <row r="41" spans="1:10" ht="14.1" customHeight="1" x14ac:dyDescent="0.2">
      <c r="A41" s="271" t="s">
        <v>137</v>
      </c>
      <c r="B41" s="273">
        <f>'- 41 -'!I41</f>
        <v>56.143140777197452</v>
      </c>
      <c r="C41" s="273">
        <f>'- 42 -'!C41</f>
        <v>0</v>
      </c>
      <c r="D41" s="273">
        <f>'- 42 -'!E41</f>
        <v>42.847999519035369</v>
      </c>
      <c r="E41" s="273">
        <f>'- 42 -'!G41</f>
        <v>0.22097891512235657</v>
      </c>
      <c r="F41" s="273">
        <f>'- 42 -'!I41</f>
        <v>0.662629581692878</v>
      </c>
      <c r="G41" s="273">
        <f>'- 43 -'!C41</f>
        <v>0</v>
      </c>
      <c r="H41" s="273">
        <f>'- 43 -'!E41</f>
        <v>0.12525120695194297</v>
      </c>
      <c r="J41" s="337">
        <f t="shared" si="0"/>
        <v>100.00000000000001</v>
      </c>
    </row>
    <row r="42" spans="1:10" ht="14.1" customHeight="1" x14ac:dyDescent="0.2">
      <c r="A42" s="15" t="s">
        <v>138</v>
      </c>
      <c r="B42" s="267">
        <f>'- 41 -'!I42</f>
        <v>67.962522691361158</v>
      </c>
      <c r="C42" s="267">
        <f>'- 42 -'!C42</f>
        <v>0</v>
      </c>
      <c r="D42" s="267">
        <f>'- 42 -'!E42</f>
        <v>29.182916246733697</v>
      </c>
      <c r="E42" s="267">
        <f>'- 42 -'!G42</f>
        <v>6.5541377395116007E-2</v>
      </c>
      <c r="F42" s="267">
        <f>'- 42 -'!I42</f>
        <v>1.0779215818018186</v>
      </c>
      <c r="G42" s="267">
        <f>'- 43 -'!C42</f>
        <v>1.2485632393769599</v>
      </c>
      <c r="H42" s="267">
        <f>'- 43 -'!E42</f>
        <v>0.46253486333124721</v>
      </c>
      <c r="J42" s="337">
        <f t="shared" si="0"/>
        <v>100</v>
      </c>
    </row>
    <row r="43" spans="1:10" ht="14.1" customHeight="1" x14ac:dyDescent="0.2">
      <c r="A43" s="271" t="s">
        <v>139</v>
      </c>
      <c r="B43" s="273">
        <f>'- 41 -'!I43</f>
        <v>55.524738522208359</v>
      </c>
      <c r="C43" s="273">
        <f>'- 42 -'!C43</f>
        <v>0</v>
      </c>
      <c r="D43" s="273">
        <f>'- 42 -'!E43</f>
        <v>43.743629968063551</v>
      </c>
      <c r="E43" s="273">
        <f>'- 42 -'!G43</f>
        <v>0.39965646464395516</v>
      </c>
      <c r="F43" s="273">
        <f>'- 42 -'!I43</f>
        <v>0</v>
      </c>
      <c r="G43" s="273">
        <f>'- 43 -'!C43</f>
        <v>0.18535611371318708</v>
      </c>
      <c r="H43" s="273">
        <f>'- 43 -'!E43</f>
        <v>0.14661893137093918</v>
      </c>
      <c r="J43" s="337">
        <f t="shared" si="0"/>
        <v>99.999999999999986</v>
      </c>
    </row>
    <row r="44" spans="1:10" ht="14.1" customHeight="1" x14ac:dyDescent="0.2">
      <c r="A44" s="15" t="s">
        <v>140</v>
      </c>
      <c r="B44" s="267">
        <f>'- 41 -'!I44</f>
        <v>75.690292317852098</v>
      </c>
      <c r="C44" s="267">
        <f>'- 42 -'!C44</f>
        <v>0</v>
      </c>
      <c r="D44" s="267">
        <f>'- 42 -'!E44</f>
        <v>23.638157713422942</v>
      </c>
      <c r="E44" s="267">
        <f>'- 42 -'!G44</f>
        <v>0.53287926089733728</v>
      </c>
      <c r="F44" s="267">
        <f>'- 42 -'!I44</f>
        <v>0</v>
      </c>
      <c r="G44" s="267">
        <f>'- 43 -'!C44</f>
        <v>0</v>
      </c>
      <c r="H44" s="267">
        <f>'- 43 -'!E44</f>
        <v>0.13867070782762134</v>
      </c>
      <c r="J44" s="337">
        <f t="shared" si="0"/>
        <v>99.999999999999986</v>
      </c>
    </row>
    <row r="45" spans="1:10" ht="14.1" customHeight="1" x14ac:dyDescent="0.2">
      <c r="A45" s="271" t="s">
        <v>141</v>
      </c>
      <c r="B45" s="273">
        <f>'- 41 -'!I45</f>
        <v>64.200858879252834</v>
      </c>
      <c r="C45" s="273">
        <f>'- 42 -'!C45</f>
        <v>9.4263211637170538E-2</v>
      </c>
      <c r="D45" s="273">
        <f>'- 42 -'!E45</f>
        <v>34.080487114572456</v>
      </c>
      <c r="E45" s="273">
        <f>'- 42 -'!G45</f>
        <v>0.2604021221476836</v>
      </c>
      <c r="F45" s="273">
        <f>'- 42 -'!I45</f>
        <v>0</v>
      </c>
      <c r="G45" s="273">
        <f>'- 43 -'!C45</f>
        <v>1.2881067870219354</v>
      </c>
      <c r="H45" s="273">
        <f>'- 43 -'!E45</f>
        <v>7.5881885367922272E-2</v>
      </c>
      <c r="J45" s="337">
        <f t="shared" si="0"/>
        <v>100</v>
      </c>
    </row>
    <row r="46" spans="1:10" ht="14.1" customHeight="1" x14ac:dyDescent="0.2">
      <c r="A46" s="15" t="s">
        <v>142</v>
      </c>
      <c r="B46" s="267">
        <f>'- 41 -'!I46</f>
        <v>59.508714434207789</v>
      </c>
      <c r="C46" s="267">
        <f>'- 42 -'!C46</f>
        <v>0.89689448368893454</v>
      </c>
      <c r="D46" s="267">
        <f>'- 42 -'!E46</f>
        <v>37.896883047742882</v>
      </c>
      <c r="E46" s="267">
        <f>'- 42 -'!G46</f>
        <v>0.62362403670403377</v>
      </c>
      <c r="F46" s="267">
        <f>'- 42 -'!I46</f>
        <v>0.46960374203620181</v>
      </c>
      <c r="G46" s="267">
        <f>'- 43 -'!C46</f>
        <v>0.41400557879512817</v>
      </c>
      <c r="H46" s="267">
        <f>'- 43 -'!E46</f>
        <v>0.19027467682503099</v>
      </c>
      <c r="J46" s="337">
        <f t="shared" si="0"/>
        <v>99.999999999999986</v>
      </c>
    </row>
    <row r="47" spans="1:10" ht="5.0999999999999996" customHeight="1" x14ac:dyDescent="0.2">
      <c r="A47"/>
      <c r="B47"/>
      <c r="C47"/>
      <c r="D47"/>
      <c r="E47"/>
      <c r="F47"/>
      <c r="G47"/>
      <c r="H47"/>
      <c r="J47" s="337"/>
    </row>
    <row r="48" spans="1:10" ht="14.1" customHeight="1" x14ac:dyDescent="0.2">
      <c r="A48" s="274" t="s">
        <v>143</v>
      </c>
      <c r="B48" s="276">
        <f>'- 41 -'!I48</f>
        <v>59.338192206919793</v>
      </c>
      <c r="C48" s="276">
        <f>'- 42 -'!C48</f>
        <v>0.24049728213898497</v>
      </c>
      <c r="D48" s="276">
        <f>'- 42 -'!E48</f>
        <v>34.748404821688219</v>
      </c>
      <c r="E48" s="276">
        <f>'- 42 -'!G48</f>
        <v>0.52663325192850108</v>
      </c>
      <c r="F48" s="276">
        <f>'- 42 -'!I48</f>
        <v>4.0987755770569967</v>
      </c>
      <c r="G48" s="276">
        <f>'- 43 -'!C48</f>
        <v>0.84023480883828172</v>
      </c>
      <c r="H48" s="276">
        <f>'- 43 -'!E48</f>
        <v>0.2072620514292198</v>
      </c>
      <c r="J48" s="337">
        <f>SUM(B48:H48)</f>
        <v>99.999999999999986</v>
      </c>
    </row>
    <row r="49" spans="1:10" ht="5.0999999999999996" customHeight="1" x14ac:dyDescent="0.2">
      <c r="A49" s="17" t="s">
        <v>1</v>
      </c>
      <c r="B49" s="266"/>
      <c r="C49" s="266"/>
      <c r="D49" s="266"/>
      <c r="E49" s="266"/>
      <c r="F49" s="266"/>
      <c r="G49" s="266"/>
      <c r="H49" s="266"/>
      <c r="J49" s="337"/>
    </row>
    <row r="50" spans="1:10" ht="14.1" customHeight="1" x14ac:dyDescent="0.2">
      <c r="A50" s="15" t="s">
        <v>144</v>
      </c>
      <c r="B50" s="267">
        <f>'- 41 -'!I50</f>
        <v>39.617591172033237</v>
      </c>
      <c r="C50" s="267">
        <f>'- 42 -'!C50</f>
        <v>0</v>
      </c>
      <c r="D50" s="267">
        <f>'- 42 -'!E50</f>
        <v>57.548539234760952</v>
      </c>
      <c r="E50" s="267">
        <f>'- 42 -'!G50</f>
        <v>0.86551955292394245</v>
      </c>
      <c r="F50" s="267">
        <f>'- 42 -'!I50</f>
        <v>0</v>
      </c>
      <c r="G50" s="267">
        <f>'- 43 -'!C50</f>
        <v>0.58218804008336933</v>
      </c>
      <c r="H50" s="267">
        <f>'- 43 -'!E50</f>
        <v>1.3861620001984982</v>
      </c>
      <c r="J50" s="337">
        <f>SUM(B50:H50)</f>
        <v>100</v>
      </c>
    </row>
    <row r="51" spans="1:10" ht="14.1" customHeight="1" x14ac:dyDescent="0.2">
      <c r="A51" s="360" t="s">
        <v>514</v>
      </c>
      <c r="B51" s="273">
        <f>'- 41 -'!I51</f>
        <v>30.323527036606119</v>
      </c>
      <c r="C51" s="273">
        <f>'- 42 -'!C51</f>
        <v>7.3577134858513569</v>
      </c>
      <c r="D51" s="273">
        <f>'- 42 -'!E51</f>
        <v>0</v>
      </c>
      <c r="E51" s="273">
        <f>'- 42 -'!G51</f>
        <v>5.8435409145697683</v>
      </c>
      <c r="F51" s="273">
        <f>'- 42 -'!I51</f>
        <v>0</v>
      </c>
      <c r="G51" s="273">
        <f>'- 43 -'!C51</f>
        <v>53.442500665484246</v>
      </c>
      <c r="H51" s="273">
        <f>'- 43 -'!E51</f>
        <v>3.0327178974885074</v>
      </c>
      <c r="J51" s="337">
        <f>SUM(B51:H51)</f>
        <v>100</v>
      </c>
    </row>
    <row r="52" spans="1:10" ht="50.1" customHeight="1" x14ac:dyDescent="0.2">
      <c r="A52" s="19"/>
      <c r="B52" s="19"/>
      <c r="C52" s="19"/>
      <c r="D52" s="19"/>
      <c r="E52" s="19"/>
      <c r="F52" s="19"/>
      <c r="G52" s="19"/>
      <c r="H52" s="19"/>
    </row>
    <row r="53" spans="1:10" ht="14.45" customHeight="1" x14ac:dyDescent="0.2">
      <c r="A53" s="702" t="e">
        <f>"(1)  The portion shown here is comprised of operating support only. The total provincial contribution to K-12 public school education, which also
"&amp;"       includes teachers' retirement allowances, capital support and the education property tax credit, is projected to be "&amp;TEXT(#REF!,"0.0%")&amp; " in "&amp;'- 60 -'!C9&amp;". See page i 
       for more information. "</f>
        <v>#REF!</v>
      </c>
      <c r="B53" s="702"/>
      <c r="C53" s="702"/>
      <c r="D53" s="702"/>
      <c r="E53" s="702"/>
      <c r="F53" s="702"/>
      <c r="G53" s="702"/>
      <c r="H53" s="702"/>
    </row>
    <row r="54" spans="1:10" x14ac:dyDescent="0.2">
      <c r="A54" s="703"/>
      <c r="B54" s="703"/>
      <c r="C54" s="703"/>
      <c r="D54" s="703"/>
      <c r="E54" s="703"/>
      <c r="F54" s="703"/>
      <c r="G54" s="703"/>
      <c r="H54" s="703"/>
    </row>
    <row r="55" spans="1:10" x14ac:dyDescent="0.2">
      <c r="A55" s="703"/>
      <c r="B55" s="703"/>
      <c r="C55" s="703"/>
      <c r="D55" s="703"/>
      <c r="E55" s="703"/>
      <c r="F55" s="703"/>
      <c r="G55" s="703"/>
      <c r="H55" s="703"/>
    </row>
    <row r="56" spans="1:10" ht="14.45" customHeight="1" x14ac:dyDescent="0.2"/>
    <row r="57" spans="1:10" ht="14.45" customHeight="1" x14ac:dyDescent="0.2"/>
    <row r="58" spans="1:10" ht="14.45" customHeight="1" x14ac:dyDescent="0.2"/>
    <row r="59" spans="1:10" ht="14.45" customHeight="1" x14ac:dyDescent="0.2"/>
  </sheetData>
  <mergeCells count="6">
    <mergeCell ref="A53:H55"/>
    <mergeCell ref="B6:H6"/>
    <mergeCell ref="B7:D8"/>
    <mergeCell ref="E7:E9"/>
    <mergeCell ref="F8:F9"/>
    <mergeCell ref="G7: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BB67"/>
  <sheetViews>
    <sheetView showGridLines="0" showZeros="0" workbookViewId="0"/>
  </sheetViews>
  <sheetFormatPr defaultColWidth="15.83203125" defaultRowHeight="12" x14ac:dyDescent="0.2"/>
  <cols>
    <col min="1" max="1" width="26.83203125" style="1" customWidth="1"/>
    <col min="2" max="2" width="14.6640625" style="1" customWidth="1"/>
    <col min="3" max="3" width="15.5" style="1" customWidth="1"/>
    <col min="4" max="4" width="14.33203125" style="1" customWidth="1"/>
    <col min="5" max="5" width="14.1640625" style="1" customWidth="1"/>
    <col min="6" max="6" width="15.6640625" style="1" customWidth="1"/>
    <col min="7" max="7" width="13.5" style="1" customWidth="1"/>
    <col min="8" max="8" width="15.33203125" style="1" customWidth="1"/>
    <col min="9" max="9" width="13.33203125" style="1" customWidth="1"/>
    <col min="10" max="16384" width="15.83203125" style="1"/>
  </cols>
  <sheetData>
    <row r="1" spans="1:54" ht="18" customHeight="1" x14ac:dyDescent="0.2">
      <c r="A1" s="183"/>
      <c r="B1" s="184" t="str">
        <f>IF(Lang=1,BA1,BB1)</f>
        <v>ANALYSIS OF OPERATING FUND REVENUE: 2018/2019 BUDGET</v>
      </c>
      <c r="C1" s="184"/>
      <c r="D1" s="184"/>
      <c r="E1" s="101"/>
      <c r="F1" s="101"/>
      <c r="G1" s="101"/>
      <c r="H1" s="101"/>
      <c r="I1" s="185" t="s">
        <v>0</v>
      </c>
      <c r="BA1" s="472" t="str">
        <f>"ANALYSIS OF OPERATING FUND REVENUE: "&amp;YEAR&amp;"/"&amp;YEAR+1&amp;" BUDGET"</f>
        <v>ANALYSIS OF OPERATING FUND REVENUE: 2018/2019 BUDGET</v>
      </c>
      <c r="BB1" s="472" t="str">
        <f>"ANALYSE DES RECETTES DU FONDS DE FONCTIONNEMENT : BUDGET "&amp;YEAR&amp;" - "&amp;YEAR+1</f>
        <v>ANALYSE DES RECETTES DU FONDS DE FONCTIONNEMENT : BUDGET 2018 - 2019</v>
      </c>
    </row>
    <row r="2" spans="1:54" ht="8.1" customHeight="1" x14ac:dyDescent="0.2">
      <c r="A2" s="180"/>
    </row>
    <row r="3" spans="1:54" ht="15.95" customHeight="1" x14ac:dyDescent="0.2">
      <c r="B3" s="586" t="s">
        <v>45</v>
      </c>
      <c r="C3" s="720"/>
      <c r="D3" s="720"/>
      <c r="E3" s="720"/>
      <c r="F3" s="720"/>
      <c r="G3" s="720"/>
      <c r="H3" s="720"/>
      <c r="I3" s="587"/>
    </row>
    <row r="4" spans="1:54" ht="8.1" customHeight="1" x14ac:dyDescent="0.2"/>
    <row r="5" spans="1:54" ht="15.95" customHeight="1" x14ac:dyDescent="0.2">
      <c r="B5" s="717" t="s">
        <v>34</v>
      </c>
      <c r="C5" s="718"/>
      <c r="D5" s="718"/>
      <c r="E5" s="718"/>
      <c r="F5" s="719"/>
    </row>
    <row r="6" spans="1:54" ht="15.95" customHeight="1" x14ac:dyDescent="0.2">
      <c r="B6" s="251"/>
      <c r="C6" s="251"/>
      <c r="D6" s="251"/>
      <c r="E6" s="253"/>
      <c r="F6" s="253"/>
      <c r="G6" s="251"/>
      <c r="H6" s="470"/>
      <c r="I6" s="727" t="s">
        <v>453</v>
      </c>
    </row>
    <row r="7" spans="1:54" ht="15.95" customHeight="1" x14ac:dyDescent="0.2">
      <c r="B7" s="721" t="s">
        <v>447</v>
      </c>
      <c r="C7" s="721" t="s">
        <v>448</v>
      </c>
      <c r="D7" s="721" t="s">
        <v>449</v>
      </c>
      <c r="E7" s="254"/>
      <c r="F7" s="254"/>
      <c r="G7" s="721" t="s">
        <v>451</v>
      </c>
      <c r="H7" s="725" t="s">
        <v>452</v>
      </c>
      <c r="I7" s="728"/>
    </row>
    <row r="8" spans="1:54" ht="15.95" customHeight="1" x14ac:dyDescent="0.2">
      <c r="A8" s="249"/>
      <c r="B8" s="722"/>
      <c r="C8" s="722"/>
      <c r="D8" s="722"/>
      <c r="E8" s="721" t="s">
        <v>450</v>
      </c>
      <c r="F8" s="254"/>
      <c r="G8" s="722"/>
      <c r="H8" s="725"/>
      <c r="I8" s="728"/>
    </row>
    <row r="9" spans="1:54" ht="15.95" customHeight="1" x14ac:dyDescent="0.2">
      <c r="A9" s="250" t="s">
        <v>37</v>
      </c>
      <c r="B9" s="723"/>
      <c r="C9" s="723"/>
      <c r="D9" s="723"/>
      <c r="E9" s="724"/>
      <c r="F9" s="252" t="s">
        <v>25</v>
      </c>
      <c r="G9" s="723"/>
      <c r="H9" s="726"/>
      <c r="I9" s="729"/>
    </row>
    <row r="10" spans="1:54" ht="5.0999999999999996" customHeight="1" x14ac:dyDescent="0.2">
      <c r="A10" s="29"/>
      <c r="B10" s="182"/>
      <c r="C10" s="182"/>
      <c r="D10" s="182"/>
      <c r="E10" s="182"/>
      <c r="F10" s="182"/>
      <c r="G10" s="182"/>
      <c r="H10" s="182"/>
      <c r="I10" s="182"/>
    </row>
    <row r="11" spans="1:54" ht="14.1" customHeight="1" x14ac:dyDescent="0.2">
      <c r="A11" s="271" t="s">
        <v>108</v>
      </c>
      <c r="B11" s="272">
        <f>'- 55 -'!$F11</f>
        <v>10489581</v>
      </c>
      <c r="C11" s="272">
        <v>1729166</v>
      </c>
      <c r="D11" s="272">
        <v>420276</v>
      </c>
      <c r="E11" s="272">
        <f>Data!Q11-C11-D11</f>
        <v>405022</v>
      </c>
      <c r="F11" s="272">
        <f>SUM(B11:E11)</f>
        <v>13044045</v>
      </c>
      <c r="G11" s="272">
        <v>0</v>
      </c>
      <c r="H11" s="272">
        <f>SUM(F11,G11)</f>
        <v>13044045</v>
      </c>
      <c r="I11" s="273">
        <f>H11/'- 43 -'!$I11*100</f>
        <v>63.647659987995596</v>
      </c>
    </row>
    <row r="12" spans="1:54" ht="14.1" customHeight="1" x14ac:dyDescent="0.2">
      <c r="A12" s="15" t="s">
        <v>109</v>
      </c>
      <c r="B12" s="16">
        <f>'- 55 -'!$F12</f>
        <v>14846201</v>
      </c>
      <c r="C12" s="16">
        <v>2447241</v>
      </c>
      <c r="D12" s="16">
        <v>2670431</v>
      </c>
      <c r="E12" s="16">
        <f>Data!Q12-C12-D12</f>
        <v>1461956</v>
      </c>
      <c r="F12" s="16">
        <f t="shared" ref="F12:F46" si="0">SUM(B12:E12)</f>
        <v>21425829</v>
      </c>
      <c r="G12" s="16">
        <v>5056</v>
      </c>
      <c r="H12" s="16">
        <f>SUM(F12,G12)</f>
        <v>21430885</v>
      </c>
      <c r="I12" s="267">
        <f>H12/'- 43 -'!$I12*100</f>
        <v>59.838870043075786</v>
      </c>
    </row>
    <row r="13" spans="1:54" ht="14.1" customHeight="1" x14ac:dyDescent="0.2">
      <c r="A13" s="271" t="s">
        <v>110</v>
      </c>
      <c r="B13" s="272">
        <f>'- 55 -'!$F13</f>
        <v>51285000</v>
      </c>
      <c r="C13" s="272">
        <v>7613910</v>
      </c>
      <c r="D13" s="272">
        <v>1517017</v>
      </c>
      <c r="E13" s="272">
        <f>Data!Q13-C13-D13</f>
        <v>2675700</v>
      </c>
      <c r="F13" s="272">
        <f t="shared" si="0"/>
        <v>63091627</v>
      </c>
      <c r="G13" s="272">
        <v>0</v>
      </c>
      <c r="H13" s="272">
        <f t="shared" ref="H13:H46" si="1">SUM(F13,G13)</f>
        <v>63091627</v>
      </c>
      <c r="I13" s="273">
        <f>H13/'- 43 -'!$I13*100</f>
        <v>60.502541731676374</v>
      </c>
    </row>
    <row r="14" spans="1:54" ht="14.1" customHeight="1" x14ac:dyDescent="0.2">
      <c r="A14" s="15" t="s">
        <v>319</v>
      </c>
      <c r="B14" s="16">
        <f>'- 55 -'!$F14</f>
        <v>36437661</v>
      </c>
      <c r="C14" s="16">
        <v>6497846</v>
      </c>
      <c r="D14" s="16">
        <f>+Data!L2</f>
        <v>1682903.761648386</v>
      </c>
      <c r="E14" s="16">
        <f>Data!Q14-C14-D14</f>
        <v>20317654</v>
      </c>
      <c r="F14" s="16">
        <f t="shared" si="0"/>
        <v>64936064.761648387</v>
      </c>
      <c r="G14" s="16">
        <v>580762</v>
      </c>
      <c r="H14" s="16">
        <f t="shared" si="1"/>
        <v>65516826.761648387</v>
      </c>
      <c r="I14" s="267">
        <f>H14/'- 43 -'!$I14*100</f>
        <v>69.605476832719205</v>
      </c>
    </row>
    <row r="15" spans="1:54" ht="14.1" customHeight="1" x14ac:dyDescent="0.2">
      <c r="A15" s="271" t="s">
        <v>111</v>
      </c>
      <c r="B15" s="272">
        <f>'- 55 -'!$F15</f>
        <v>7970043</v>
      </c>
      <c r="C15" s="272">
        <v>2746075</v>
      </c>
      <c r="D15" s="272">
        <v>1563410</v>
      </c>
      <c r="E15" s="272">
        <f>Data!Q15-C15-D15</f>
        <v>482969</v>
      </c>
      <c r="F15" s="272">
        <f t="shared" si="0"/>
        <v>12762497</v>
      </c>
      <c r="G15" s="272">
        <v>0</v>
      </c>
      <c r="H15" s="272">
        <f t="shared" si="1"/>
        <v>12762497</v>
      </c>
      <c r="I15" s="273">
        <f>H15/'- 43 -'!$I15*100</f>
        <v>59.698435940370686</v>
      </c>
    </row>
    <row r="16" spans="1:54" ht="14.1" customHeight="1" x14ac:dyDescent="0.2">
      <c r="A16" s="15" t="s">
        <v>112</v>
      </c>
      <c r="B16" s="16">
        <f>'- 55 -'!$F16</f>
        <v>8867641</v>
      </c>
      <c r="C16" s="16">
        <v>931086</v>
      </c>
      <c r="D16" s="16">
        <v>627261</v>
      </c>
      <c r="E16" s="16">
        <f>Data!Q16-C16-D16</f>
        <v>501289</v>
      </c>
      <c r="F16" s="16">
        <f t="shared" si="0"/>
        <v>10927277</v>
      </c>
      <c r="G16" s="16">
        <v>0</v>
      </c>
      <c r="H16" s="16">
        <f t="shared" si="1"/>
        <v>10927277</v>
      </c>
      <c r="I16" s="267">
        <f>H16/'- 43 -'!$I16*100</f>
        <v>72.897529632258056</v>
      </c>
    </row>
    <row r="17" spans="1:9" ht="14.1" customHeight="1" x14ac:dyDescent="0.2">
      <c r="A17" s="271" t="s">
        <v>113</v>
      </c>
      <c r="B17" s="272">
        <f>'- 55 -'!$F17</f>
        <v>7164096</v>
      </c>
      <c r="C17" s="272">
        <v>1478096</v>
      </c>
      <c r="D17" s="272">
        <v>478029</v>
      </c>
      <c r="E17" s="272">
        <f>Data!Q17-C17-D17</f>
        <v>637481</v>
      </c>
      <c r="F17" s="272">
        <f t="shared" si="0"/>
        <v>9757702</v>
      </c>
      <c r="G17" s="272">
        <v>171500</v>
      </c>
      <c r="H17" s="272">
        <f t="shared" si="1"/>
        <v>9929202</v>
      </c>
      <c r="I17" s="273">
        <f>H17/'- 43 -'!$I17*100</f>
        <v>52.894155455897959</v>
      </c>
    </row>
    <row r="18" spans="1:9" ht="14.1" customHeight="1" x14ac:dyDescent="0.2">
      <c r="A18" s="15" t="s">
        <v>114</v>
      </c>
      <c r="B18" s="16">
        <f>'- 55 -'!$F18</f>
        <v>37297361</v>
      </c>
      <c r="C18" s="16">
        <v>527321</v>
      </c>
      <c r="D18" s="16">
        <v>265395</v>
      </c>
      <c r="E18" s="16">
        <f>Data!Q18-C18-D18</f>
        <v>11213665</v>
      </c>
      <c r="F18" s="16">
        <f t="shared" si="0"/>
        <v>49303742</v>
      </c>
      <c r="G18" s="16">
        <v>26600</v>
      </c>
      <c r="H18" s="16">
        <f t="shared" si="1"/>
        <v>49330342</v>
      </c>
      <c r="I18" s="267">
        <f>H18/'- 43 -'!$I18*100</f>
        <v>35.116930738032885</v>
      </c>
    </row>
    <row r="19" spans="1:9" ht="14.1" customHeight="1" x14ac:dyDescent="0.2">
      <c r="A19" s="271" t="s">
        <v>115</v>
      </c>
      <c r="B19" s="272">
        <f>'- 55 -'!$F19</f>
        <v>29131130</v>
      </c>
      <c r="C19" s="272">
        <v>3349562</v>
      </c>
      <c r="D19" s="272">
        <v>538478</v>
      </c>
      <c r="E19" s="272">
        <f>Data!Q19-C19-D19</f>
        <v>1146285</v>
      </c>
      <c r="F19" s="272">
        <f t="shared" si="0"/>
        <v>34165455</v>
      </c>
      <c r="G19" s="272">
        <v>0</v>
      </c>
      <c r="H19" s="272">
        <f t="shared" si="1"/>
        <v>34165455</v>
      </c>
      <c r="I19" s="273">
        <f>H19/'- 43 -'!$I19*100</f>
        <v>66.993343677864601</v>
      </c>
    </row>
    <row r="20" spans="1:9" ht="14.1" customHeight="1" x14ac:dyDescent="0.2">
      <c r="A20" s="15" t="s">
        <v>116</v>
      </c>
      <c r="B20" s="16">
        <f>'- 55 -'!$F20</f>
        <v>52479384</v>
      </c>
      <c r="C20" s="16">
        <v>6428612</v>
      </c>
      <c r="D20" s="16">
        <v>1245137</v>
      </c>
      <c r="E20" s="16">
        <f>Data!Q20-C20-D20</f>
        <v>2377835</v>
      </c>
      <c r="F20" s="16">
        <f t="shared" si="0"/>
        <v>62530968</v>
      </c>
      <c r="G20" s="16">
        <v>0</v>
      </c>
      <c r="H20" s="16">
        <f t="shared" si="1"/>
        <v>62530968</v>
      </c>
      <c r="I20" s="267">
        <f>H20/'- 43 -'!$I20*100</f>
        <v>69.305589359933492</v>
      </c>
    </row>
    <row r="21" spans="1:9" ht="14.1" customHeight="1" x14ac:dyDescent="0.2">
      <c r="A21" s="271" t="s">
        <v>117</v>
      </c>
      <c r="B21" s="272">
        <f>'- 55 -'!$F21</f>
        <v>16721738</v>
      </c>
      <c r="C21" s="272">
        <v>3679982</v>
      </c>
      <c r="D21" s="272">
        <v>1081667</v>
      </c>
      <c r="E21" s="272">
        <f>Data!Q21-C21-D21</f>
        <v>902608</v>
      </c>
      <c r="F21" s="272">
        <f t="shared" si="0"/>
        <v>22385995</v>
      </c>
      <c r="G21" s="272">
        <v>0</v>
      </c>
      <c r="H21" s="272">
        <f t="shared" si="1"/>
        <v>22385995</v>
      </c>
      <c r="I21" s="273">
        <f>H21/'- 43 -'!$I21*100</f>
        <v>58.449073107049607</v>
      </c>
    </row>
    <row r="22" spans="1:9" ht="14.1" customHeight="1" x14ac:dyDescent="0.2">
      <c r="A22" s="15" t="s">
        <v>118</v>
      </c>
      <c r="B22" s="16">
        <f>'- 55 -'!$F22</f>
        <v>14517088</v>
      </c>
      <c r="C22" s="16">
        <v>1158220</v>
      </c>
      <c r="D22" s="16">
        <v>257839</v>
      </c>
      <c r="E22" s="16">
        <f>Data!Q22-C22-D22</f>
        <v>1494560</v>
      </c>
      <c r="F22" s="16">
        <f t="shared" si="0"/>
        <v>17427707</v>
      </c>
      <c r="G22" s="16">
        <v>0</v>
      </c>
      <c r="H22" s="16">
        <f t="shared" si="1"/>
        <v>17427707</v>
      </c>
      <c r="I22" s="267">
        <f>H22/'- 43 -'!$I22*100</f>
        <v>84.208581611412512</v>
      </c>
    </row>
    <row r="23" spans="1:9" ht="14.1" customHeight="1" x14ac:dyDescent="0.2">
      <c r="A23" s="271" t="s">
        <v>119</v>
      </c>
      <c r="B23" s="272">
        <f>'- 55 -'!$F23</f>
        <v>9366974</v>
      </c>
      <c r="C23" s="272">
        <v>1092483</v>
      </c>
      <c r="D23" s="272">
        <v>431272</v>
      </c>
      <c r="E23" s="272">
        <f>Data!Q23-C23-D23</f>
        <v>695965</v>
      </c>
      <c r="F23" s="272">
        <f t="shared" si="0"/>
        <v>11586694</v>
      </c>
      <c r="G23" s="272">
        <v>27000</v>
      </c>
      <c r="H23" s="272">
        <f t="shared" si="1"/>
        <v>11613694</v>
      </c>
      <c r="I23" s="273">
        <f>H23/'- 43 -'!$I23*100</f>
        <v>68.166094169473695</v>
      </c>
    </row>
    <row r="24" spans="1:9" ht="14.1" customHeight="1" x14ac:dyDescent="0.2">
      <c r="A24" s="15" t="s">
        <v>120</v>
      </c>
      <c r="B24" s="16">
        <f>'- 55 -'!$F24</f>
        <v>23141580</v>
      </c>
      <c r="C24" s="16">
        <v>5904150</v>
      </c>
      <c r="D24" s="16">
        <v>2639045</v>
      </c>
      <c r="E24" s="16">
        <f>Data!Q24-C24-D24</f>
        <v>1603603</v>
      </c>
      <c r="F24" s="16">
        <f t="shared" si="0"/>
        <v>33288378</v>
      </c>
      <c r="G24" s="16">
        <v>0</v>
      </c>
      <c r="H24" s="16">
        <f t="shared" si="1"/>
        <v>33288378</v>
      </c>
      <c r="I24" s="267">
        <f>H24/'- 43 -'!$I24*100</f>
        <v>56.442155992628017</v>
      </c>
    </row>
    <row r="25" spans="1:9" ht="14.1" customHeight="1" x14ac:dyDescent="0.2">
      <c r="A25" s="271" t="s">
        <v>121</v>
      </c>
      <c r="B25" s="272">
        <f>'- 55 -'!$F25</f>
        <v>79379275</v>
      </c>
      <c r="C25" s="272">
        <v>22294232</v>
      </c>
      <c r="D25" s="272">
        <v>4846145</v>
      </c>
      <c r="E25" s="272">
        <f>Data!Q25-C25-D25</f>
        <v>5911011</v>
      </c>
      <c r="F25" s="272">
        <f t="shared" si="0"/>
        <v>112430663</v>
      </c>
      <c r="G25" s="272">
        <v>0</v>
      </c>
      <c r="H25" s="272">
        <f t="shared" si="1"/>
        <v>112430663</v>
      </c>
      <c r="I25" s="273">
        <f>H25/'- 43 -'!$I25*100</f>
        <v>59.224489617678429</v>
      </c>
    </row>
    <row r="26" spans="1:9" ht="14.1" customHeight="1" x14ac:dyDescent="0.2">
      <c r="A26" s="15" t="s">
        <v>122</v>
      </c>
      <c r="B26" s="16">
        <f>'- 55 -'!$F26</f>
        <v>21703234</v>
      </c>
      <c r="C26" s="16">
        <v>3576989</v>
      </c>
      <c r="D26" s="16">
        <v>575300</v>
      </c>
      <c r="E26" s="16">
        <f>Data!Q26-C26-D26</f>
        <v>955989</v>
      </c>
      <c r="F26" s="16">
        <f t="shared" si="0"/>
        <v>26811512</v>
      </c>
      <c r="G26" s="16">
        <v>0</v>
      </c>
      <c r="H26" s="16">
        <f t="shared" si="1"/>
        <v>26811512</v>
      </c>
      <c r="I26" s="267">
        <f>H26/'- 43 -'!$I26*100</f>
        <v>63.815793591994151</v>
      </c>
    </row>
    <row r="27" spans="1:9" ht="14.1" customHeight="1" x14ac:dyDescent="0.2">
      <c r="A27" s="271" t="s">
        <v>123</v>
      </c>
      <c r="B27" s="272">
        <f>'- 55 -'!$F27</f>
        <v>31616632</v>
      </c>
      <c r="C27" s="272">
        <v>1658279</v>
      </c>
      <c r="D27" s="272">
        <v>879919</v>
      </c>
      <c r="E27" s="272">
        <f>Data!Q27-C27-D27</f>
        <v>1065659</v>
      </c>
      <c r="F27" s="272">
        <f t="shared" si="0"/>
        <v>35220489</v>
      </c>
      <c r="G27" s="272">
        <v>18000</v>
      </c>
      <c r="H27" s="272">
        <f t="shared" si="1"/>
        <v>35238489</v>
      </c>
      <c r="I27" s="273">
        <f>H27/'- 43 -'!$I27*100</f>
        <v>83.086240590297876</v>
      </c>
    </row>
    <row r="28" spans="1:9" ht="14.1" customHeight="1" x14ac:dyDescent="0.2">
      <c r="A28" s="15" t="s">
        <v>124</v>
      </c>
      <c r="B28" s="16">
        <f>'- 55 -'!$F28</f>
        <v>10325241</v>
      </c>
      <c r="C28" s="16">
        <v>1728725</v>
      </c>
      <c r="D28" s="16">
        <v>775010</v>
      </c>
      <c r="E28" s="16">
        <f>Data!Q28-C28-D28</f>
        <v>666368</v>
      </c>
      <c r="F28" s="16">
        <f t="shared" si="0"/>
        <v>13495344</v>
      </c>
      <c r="G28" s="16">
        <v>0</v>
      </c>
      <c r="H28" s="16">
        <f t="shared" si="1"/>
        <v>13495344</v>
      </c>
      <c r="I28" s="267">
        <f>H28/'- 43 -'!$I28*100</f>
        <v>46.470278873448663</v>
      </c>
    </row>
    <row r="29" spans="1:9" ht="14.1" customHeight="1" x14ac:dyDescent="0.2">
      <c r="A29" s="271" t="s">
        <v>125</v>
      </c>
      <c r="B29" s="272">
        <f>'- 55 -'!$F29</f>
        <v>55963639</v>
      </c>
      <c r="C29" s="272">
        <v>21576185</v>
      </c>
      <c r="D29" s="272">
        <v>4003450</v>
      </c>
      <c r="E29" s="272">
        <f>Data!Q29-C29-D29</f>
        <v>4203048</v>
      </c>
      <c r="F29" s="272">
        <f t="shared" si="0"/>
        <v>85746322</v>
      </c>
      <c r="G29" s="272">
        <v>0</v>
      </c>
      <c r="H29" s="272">
        <f t="shared" si="1"/>
        <v>85746322</v>
      </c>
      <c r="I29" s="273">
        <f>H29/'- 43 -'!$I29*100</f>
        <v>49.423601558433631</v>
      </c>
    </row>
    <row r="30" spans="1:9" ht="14.1" customHeight="1" x14ac:dyDescent="0.2">
      <c r="A30" s="15" t="s">
        <v>126</v>
      </c>
      <c r="B30" s="16">
        <f>'- 55 -'!$F30</f>
        <v>7277982</v>
      </c>
      <c r="C30" s="16">
        <v>1065717</v>
      </c>
      <c r="D30" s="16">
        <v>324920</v>
      </c>
      <c r="E30" s="16">
        <f>Data!Q30-C30-D30</f>
        <v>314763</v>
      </c>
      <c r="F30" s="16">
        <f t="shared" si="0"/>
        <v>8983382</v>
      </c>
      <c r="G30" s="16">
        <v>0</v>
      </c>
      <c r="H30" s="16">
        <f t="shared" si="1"/>
        <v>8983382</v>
      </c>
      <c r="I30" s="267">
        <f>H30/'- 43 -'!$I30*100</f>
        <v>58.06686603639357</v>
      </c>
    </row>
    <row r="31" spans="1:9" ht="14.1" customHeight="1" x14ac:dyDescent="0.2">
      <c r="A31" s="271" t="s">
        <v>127</v>
      </c>
      <c r="B31" s="272">
        <f>'- 55 -'!$F31</f>
        <v>19347249</v>
      </c>
      <c r="C31" s="272">
        <v>3306443</v>
      </c>
      <c r="D31" s="272">
        <v>433857</v>
      </c>
      <c r="E31" s="272">
        <f>Data!Q31-C31-D31</f>
        <v>774980</v>
      </c>
      <c r="F31" s="272">
        <f t="shared" si="0"/>
        <v>23862529</v>
      </c>
      <c r="G31" s="272">
        <v>0</v>
      </c>
      <c r="H31" s="272">
        <f t="shared" si="1"/>
        <v>23862529</v>
      </c>
      <c r="I31" s="273">
        <f>H31/'- 43 -'!$I31*100</f>
        <v>59.533960861891529</v>
      </c>
    </row>
    <row r="32" spans="1:9" ht="14.1" customHeight="1" x14ac:dyDescent="0.2">
      <c r="A32" s="15" t="s">
        <v>128</v>
      </c>
      <c r="B32" s="16">
        <f>'- 55 -'!$F32</f>
        <v>12408717</v>
      </c>
      <c r="C32" s="16">
        <v>2474480</v>
      </c>
      <c r="D32" s="16">
        <v>1102547</v>
      </c>
      <c r="E32" s="16">
        <f>Data!Q32-C32-D32</f>
        <v>943422</v>
      </c>
      <c r="F32" s="16">
        <f t="shared" si="0"/>
        <v>16929166</v>
      </c>
      <c r="G32" s="16">
        <v>6500</v>
      </c>
      <c r="H32" s="16">
        <f t="shared" si="1"/>
        <v>16935666</v>
      </c>
      <c r="I32" s="267">
        <f>H32/'- 43 -'!$I32*100</f>
        <v>54.067916785229897</v>
      </c>
    </row>
    <row r="33" spans="1:9" ht="14.1" customHeight="1" x14ac:dyDescent="0.2">
      <c r="A33" s="271" t="s">
        <v>129</v>
      </c>
      <c r="B33" s="272">
        <f>'- 55 -'!$F33</f>
        <v>13593930</v>
      </c>
      <c r="C33" s="272">
        <v>1928003</v>
      </c>
      <c r="D33" s="272">
        <v>796677</v>
      </c>
      <c r="E33" s="272">
        <f>Data!Q33-C33-D33</f>
        <v>704306</v>
      </c>
      <c r="F33" s="272">
        <f t="shared" si="0"/>
        <v>17022916</v>
      </c>
      <c r="G33" s="272">
        <v>10000</v>
      </c>
      <c r="H33" s="272">
        <f t="shared" si="1"/>
        <v>17032916</v>
      </c>
      <c r="I33" s="273">
        <f>H33/'- 43 -'!$I33*100</f>
        <v>58.857888029097296</v>
      </c>
    </row>
    <row r="34" spans="1:9" ht="14.1" customHeight="1" x14ac:dyDescent="0.2">
      <c r="A34" s="15" t="s">
        <v>130</v>
      </c>
      <c r="B34" s="16">
        <f>'- 55 -'!$F34</f>
        <v>12098115</v>
      </c>
      <c r="C34" s="16">
        <v>2246066</v>
      </c>
      <c r="D34" s="16">
        <v>681690</v>
      </c>
      <c r="E34" s="16">
        <f>Data!Q34-C34-D34</f>
        <v>806887</v>
      </c>
      <c r="F34" s="16">
        <f t="shared" si="0"/>
        <v>15832758</v>
      </c>
      <c r="G34" s="16">
        <v>0</v>
      </c>
      <c r="H34" s="16">
        <f t="shared" si="1"/>
        <v>15832758</v>
      </c>
      <c r="I34" s="267">
        <f>H34/'- 43 -'!$I34*100</f>
        <v>49.496929317754763</v>
      </c>
    </row>
    <row r="35" spans="1:9" ht="14.1" customHeight="1" x14ac:dyDescent="0.2">
      <c r="A35" s="271" t="s">
        <v>131</v>
      </c>
      <c r="B35" s="272">
        <f>'- 55 -'!$F35</f>
        <v>95092949</v>
      </c>
      <c r="C35" s="272">
        <v>23781911</v>
      </c>
      <c r="D35" s="272">
        <v>1218937</v>
      </c>
      <c r="E35" s="272">
        <f>Data!Q35-C35-D35</f>
        <v>5474825</v>
      </c>
      <c r="F35" s="272">
        <f t="shared" si="0"/>
        <v>125568622</v>
      </c>
      <c r="G35" s="272">
        <v>0</v>
      </c>
      <c r="H35" s="272">
        <f t="shared" si="1"/>
        <v>125568622</v>
      </c>
      <c r="I35" s="273">
        <f>H35/'- 43 -'!$I35*100</f>
        <v>64.870874236606809</v>
      </c>
    </row>
    <row r="36" spans="1:9" ht="14.1" customHeight="1" x14ac:dyDescent="0.2">
      <c r="A36" s="15" t="s">
        <v>132</v>
      </c>
      <c r="B36" s="16">
        <f>'- 55 -'!$F36</f>
        <v>9800067</v>
      </c>
      <c r="C36" s="16">
        <v>2221271</v>
      </c>
      <c r="D36" s="16">
        <v>747690</v>
      </c>
      <c r="E36" s="16">
        <f>Data!Q36-C36-D36</f>
        <v>525095</v>
      </c>
      <c r="F36" s="16">
        <f t="shared" si="0"/>
        <v>13294123</v>
      </c>
      <c r="G36" s="16">
        <v>124000</v>
      </c>
      <c r="H36" s="16">
        <f t="shared" si="1"/>
        <v>13418123</v>
      </c>
      <c r="I36" s="267">
        <f>H36/'- 43 -'!$I36*100</f>
        <v>54.07916733838465</v>
      </c>
    </row>
    <row r="37" spans="1:9" ht="14.1" customHeight="1" x14ac:dyDescent="0.2">
      <c r="A37" s="271" t="s">
        <v>133</v>
      </c>
      <c r="B37" s="272">
        <f>'- 55 -'!$F37</f>
        <v>29054403</v>
      </c>
      <c r="C37" s="272">
        <v>4966284</v>
      </c>
      <c r="D37" s="272">
        <v>1699749</v>
      </c>
      <c r="E37" s="272">
        <f>Data!Q37-C37-D37</f>
        <v>1296597</v>
      </c>
      <c r="F37" s="272">
        <f t="shared" si="0"/>
        <v>37017033</v>
      </c>
      <c r="G37" s="272">
        <v>0</v>
      </c>
      <c r="H37" s="272">
        <f t="shared" si="1"/>
        <v>37017033</v>
      </c>
      <c r="I37" s="273">
        <f>H37/'- 43 -'!$I37*100</f>
        <v>68.350073857971111</v>
      </c>
    </row>
    <row r="38" spans="1:9" ht="14.1" customHeight="1" x14ac:dyDescent="0.2">
      <c r="A38" s="15" t="s">
        <v>134</v>
      </c>
      <c r="B38" s="16">
        <f>'- 55 -'!$F38</f>
        <v>77145019</v>
      </c>
      <c r="C38" s="16">
        <v>12708763</v>
      </c>
      <c r="D38" s="16">
        <v>4460557</v>
      </c>
      <c r="E38" s="16">
        <f>Data!Q38-C38-D38</f>
        <v>4013475</v>
      </c>
      <c r="F38" s="16">
        <f t="shared" si="0"/>
        <v>98327814</v>
      </c>
      <c r="G38" s="16">
        <v>983200</v>
      </c>
      <c r="H38" s="16">
        <f t="shared" si="1"/>
        <v>99311014</v>
      </c>
      <c r="I38" s="267">
        <f>H38/'- 43 -'!$I38*100</f>
        <v>66.863077785586952</v>
      </c>
    </row>
    <row r="39" spans="1:9" ht="14.1" customHeight="1" x14ac:dyDescent="0.2">
      <c r="A39" s="271" t="s">
        <v>135</v>
      </c>
      <c r="B39" s="272">
        <f>'- 55 -'!$F39</f>
        <v>8813233</v>
      </c>
      <c r="C39" s="272">
        <v>1778996</v>
      </c>
      <c r="D39" s="272">
        <v>743287</v>
      </c>
      <c r="E39" s="272">
        <f>Data!Q39-C39-D39</f>
        <v>487874</v>
      </c>
      <c r="F39" s="272">
        <f t="shared" si="0"/>
        <v>11823390</v>
      </c>
      <c r="G39" s="272">
        <v>153900</v>
      </c>
      <c r="H39" s="272">
        <f t="shared" si="1"/>
        <v>11977290</v>
      </c>
      <c r="I39" s="273">
        <f>H39/'- 43 -'!$I39*100</f>
        <v>50.832586799516577</v>
      </c>
    </row>
    <row r="40" spans="1:9" ht="14.1" customHeight="1" x14ac:dyDescent="0.2">
      <c r="A40" s="15" t="s">
        <v>136</v>
      </c>
      <c r="B40" s="16">
        <f>'- 55 -'!$F40</f>
        <v>37450101</v>
      </c>
      <c r="C40" s="16">
        <v>12897194</v>
      </c>
      <c r="D40" s="16">
        <v>3388129</v>
      </c>
      <c r="E40" s="16">
        <f>Data!Q40-C40-D40</f>
        <v>3109537</v>
      </c>
      <c r="F40" s="16">
        <f t="shared" si="0"/>
        <v>56844961</v>
      </c>
      <c r="G40" s="16">
        <v>8500</v>
      </c>
      <c r="H40" s="16">
        <f t="shared" si="1"/>
        <v>56853461</v>
      </c>
      <c r="I40" s="267">
        <f>H40/'- 43 -'!$I40*100</f>
        <v>51.781150385985164</v>
      </c>
    </row>
    <row r="41" spans="1:9" ht="14.1" customHeight="1" x14ac:dyDescent="0.2">
      <c r="A41" s="271" t="s">
        <v>137</v>
      </c>
      <c r="B41" s="272">
        <f>'- 55 -'!$F41</f>
        <v>25007063</v>
      </c>
      <c r="C41" s="272">
        <v>7140415</v>
      </c>
      <c r="D41" s="272">
        <v>2551926</v>
      </c>
      <c r="E41" s="272">
        <f>Data!Q41-C41-D41</f>
        <v>2712118</v>
      </c>
      <c r="F41" s="272">
        <f t="shared" si="0"/>
        <v>37411522</v>
      </c>
      <c r="G41" s="272">
        <v>241000</v>
      </c>
      <c r="H41" s="272">
        <f t="shared" si="1"/>
        <v>37652522</v>
      </c>
      <c r="I41" s="273">
        <f>H41/'- 43 -'!$I41*100</f>
        <v>56.143140777197452</v>
      </c>
    </row>
    <row r="42" spans="1:9" ht="14.1" customHeight="1" x14ac:dyDescent="0.2">
      <c r="A42" s="15" t="s">
        <v>138</v>
      </c>
      <c r="B42" s="16">
        <f>'- 55 -'!$F42</f>
        <v>11313569</v>
      </c>
      <c r="C42" s="16">
        <v>1608001</v>
      </c>
      <c r="D42" s="16">
        <v>1035367</v>
      </c>
      <c r="E42" s="16">
        <f>Data!Q42-C42-D42</f>
        <v>560233</v>
      </c>
      <c r="F42" s="16">
        <f t="shared" si="0"/>
        <v>14517170</v>
      </c>
      <c r="G42" s="16">
        <v>0</v>
      </c>
      <c r="H42" s="16">
        <f t="shared" si="1"/>
        <v>14517170</v>
      </c>
      <c r="I42" s="267">
        <f>H42/'- 43 -'!$I42*100</f>
        <v>67.962522691361158</v>
      </c>
    </row>
    <row r="43" spans="1:9" ht="14.1" customHeight="1" x14ac:dyDescent="0.2">
      <c r="A43" s="271" t="s">
        <v>139</v>
      </c>
      <c r="B43" s="272">
        <f>'- 55 -'!$F43</f>
        <v>5825855</v>
      </c>
      <c r="C43" s="272">
        <v>1285625</v>
      </c>
      <c r="D43" s="272">
        <v>0</v>
      </c>
      <c r="E43" s="272">
        <f>Data!Q43-C43-D43</f>
        <v>554186</v>
      </c>
      <c r="F43" s="272">
        <f t="shared" si="0"/>
        <v>7665666</v>
      </c>
      <c r="G43" s="272">
        <v>0</v>
      </c>
      <c r="H43" s="272">
        <f t="shared" si="1"/>
        <v>7665666</v>
      </c>
      <c r="I43" s="273">
        <f>H43/'- 43 -'!$I43*100</f>
        <v>55.524738522208359</v>
      </c>
    </row>
    <row r="44" spans="1:9" ht="14.1" customHeight="1" x14ac:dyDescent="0.2">
      <c r="A44" s="15" t="s">
        <v>140</v>
      </c>
      <c r="B44" s="16">
        <f>'- 55 -'!$F44</f>
        <v>7187539</v>
      </c>
      <c r="C44" s="16">
        <v>720734</v>
      </c>
      <c r="D44" s="16">
        <v>376993</v>
      </c>
      <c r="E44" s="16">
        <f>Data!Q44-C44-D44</f>
        <v>393392</v>
      </c>
      <c r="F44" s="16">
        <f t="shared" si="0"/>
        <v>8678658</v>
      </c>
      <c r="G44" s="16">
        <v>0</v>
      </c>
      <c r="H44" s="16">
        <f t="shared" si="1"/>
        <v>8678658</v>
      </c>
      <c r="I44" s="267">
        <f>H44/'- 43 -'!$I44*100</f>
        <v>75.690292317852098</v>
      </c>
    </row>
    <row r="45" spans="1:9" ht="14.1" customHeight="1" x14ac:dyDescent="0.2">
      <c r="A45" s="271" t="s">
        <v>141</v>
      </c>
      <c r="B45" s="272">
        <f>'- 55 -'!$F45</f>
        <v>10655571</v>
      </c>
      <c r="C45" s="272">
        <v>2036176</v>
      </c>
      <c r="D45" s="272">
        <v>0</v>
      </c>
      <c r="E45" s="272">
        <f>Data!Q45-C45-D45</f>
        <v>919868</v>
      </c>
      <c r="F45" s="272">
        <f t="shared" si="0"/>
        <v>13611615</v>
      </c>
      <c r="G45" s="272">
        <v>10000</v>
      </c>
      <c r="H45" s="272">
        <f t="shared" si="1"/>
        <v>13621615</v>
      </c>
      <c r="I45" s="273">
        <f>H45/'- 43 -'!$I45*100</f>
        <v>64.200858879252834</v>
      </c>
    </row>
    <row r="46" spans="1:9" ht="14.1" customHeight="1" x14ac:dyDescent="0.2">
      <c r="A46" s="15" t="s">
        <v>142</v>
      </c>
      <c r="B46" s="16">
        <f>'- 55 -'!$F46</f>
        <v>186133800</v>
      </c>
      <c r="C46" s="16">
        <v>30449113</v>
      </c>
      <c r="D46" s="16">
        <v>7894258</v>
      </c>
      <c r="E46" s="16">
        <f>Data!Q46-C46-D46</f>
        <v>20094600</v>
      </c>
      <c r="F46" s="16">
        <f t="shared" si="0"/>
        <v>244571771</v>
      </c>
      <c r="G46" s="16">
        <v>0</v>
      </c>
      <c r="H46" s="16">
        <f t="shared" si="1"/>
        <v>244571771</v>
      </c>
      <c r="I46" s="267">
        <f>H46/'- 43 -'!$I46*100</f>
        <v>59.508714434207789</v>
      </c>
    </row>
    <row r="47" spans="1:9" ht="5.0999999999999996" customHeight="1" x14ac:dyDescent="0.2">
      <c r="A47"/>
      <c r="B47"/>
      <c r="C47"/>
      <c r="D47"/>
      <c r="E47"/>
      <c r="F47"/>
      <c r="G47" s="507"/>
      <c r="H47"/>
      <c r="I47"/>
    </row>
    <row r="48" spans="1:9" ht="14.1" customHeight="1" x14ac:dyDescent="0.2">
      <c r="A48" s="274" t="s">
        <v>143</v>
      </c>
      <c r="B48" s="275">
        <f t="shared" ref="B48:H48" si="2">SUM(B11:B46)</f>
        <v>1086908661</v>
      </c>
      <c r="C48" s="275">
        <f t="shared" si="2"/>
        <v>209033352</v>
      </c>
      <c r="D48" s="275">
        <f>SUM(D11:D46)</f>
        <v>53954568.761648387</v>
      </c>
      <c r="E48" s="275">
        <f t="shared" si="2"/>
        <v>102404825</v>
      </c>
      <c r="F48" s="275">
        <f t="shared" si="2"/>
        <v>1452301406.7616484</v>
      </c>
      <c r="G48" s="275">
        <f>SUM(G11:G46)</f>
        <v>2366018</v>
      </c>
      <c r="H48" s="275">
        <f t="shared" si="2"/>
        <v>1454667424.7616484</v>
      </c>
      <c r="I48" s="276">
        <f>H48/'- 43 -'!$I48*100</f>
        <v>59.338192206919793</v>
      </c>
    </row>
    <row r="49" spans="1:9" ht="5.0999999999999996" customHeight="1" x14ac:dyDescent="0.2">
      <c r="A49" s="17" t="s">
        <v>1</v>
      </c>
      <c r="B49" s="18"/>
      <c r="C49" s="18"/>
      <c r="D49" s="18"/>
      <c r="E49" s="18"/>
      <c r="F49" s="18"/>
      <c r="G49" s="18"/>
      <c r="H49" s="18"/>
      <c r="I49" s="266"/>
    </row>
    <row r="50" spans="1:9" ht="14.1" customHeight="1" x14ac:dyDescent="0.2">
      <c r="A50" s="15" t="s">
        <v>144</v>
      </c>
      <c r="B50" s="16">
        <f>'- 55 -'!$F50</f>
        <v>914148</v>
      </c>
      <c r="C50" s="16">
        <v>387574</v>
      </c>
      <c r="D50" s="16">
        <v>23520</v>
      </c>
      <c r="E50" s="16">
        <f>Data!Q50-C50-D50</f>
        <v>103797</v>
      </c>
      <c r="F50" s="16">
        <f>SUM(B50:E50)</f>
        <v>1429039</v>
      </c>
      <c r="G50" s="16">
        <v>0</v>
      </c>
      <c r="H50" s="16">
        <f>SUM(F50,G50)</f>
        <v>1429039</v>
      </c>
      <c r="I50" s="267">
        <f>H50/'- 43 -'!$I50*100</f>
        <v>39.617591172033237</v>
      </c>
    </row>
    <row r="51" spans="1:9" ht="14.1" customHeight="1" x14ac:dyDescent="0.2">
      <c r="A51" s="360" t="s">
        <v>514</v>
      </c>
      <c r="B51" s="272">
        <f>'- 55 -'!$F51</f>
        <v>0</v>
      </c>
      <c r="C51" s="272">
        <v>0</v>
      </c>
      <c r="D51" s="272">
        <v>0</v>
      </c>
      <c r="E51" s="272">
        <f>Data!Q51-C51-D51</f>
        <v>10138459</v>
      </c>
      <c r="F51" s="272">
        <f>SUM(B51:E51)</f>
        <v>10138459</v>
      </c>
      <c r="G51" s="272">
        <v>0</v>
      </c>
      <c r="H51" s="272">
        <f>SUM(F51,G51)</f>
        <v>10138459</v>
      </c>
      <c r="I51" s="273">
        <f>H51/'- 43 -'!$I51*100</f>
        <v>30.323527036606119</v>
      </c>
    </row>
    <row r="52" spans="1:9" ht="50.1" customHeight="1" x14ac:dyDescent="0.2">
      <c r="A52" s="19"/>
      <c r="B52" s="19"/>
      <c r="C52" s="19"/>
      <c r="D52" s="19"/>
      <c r="E52" s="19"/>
      <c r="F52" s="19"/>
      <c r="G52" s="19"/>
      <c r="H52" s="19"/>
      <c r="I52" s="19"/>
    </row>
    <row r="53" spans="1:9" ht="15" customHeight="1" x14ac:dyDescent="0.2">
      <c r="A53" s="2" t="s">
        <v>333</v>
      </c>
      <c r="E53" s="31"/>
      <c r="F53" s="187"/>
      <c r="G53" s="187"/>
      <c r="H53" s="187"/>
      <c r="I53" s="187"/>
    </row>
    <row r="54" spans="1:9" ht="12" customHeight="1" x14ac:dyDescent="0.2">
      <c r="A54" s="540" t="s">
        <v>454</v>
      </c>
      <c r="B54" s="540"/>
      <c r="C54" s="540"/>
      <c r="D54" s="540"/>
      <c r="E54" s="540"/>
      <c r="F54" s="540"/>
      <c r="G54" s="540"/>
      <c r="H54" s="540"/>
      <c r="I54" s="540"/>
    </row>
    <row r="55" spans="1:9" ht="12" customHeight="1" x14ac:dyDescent="0.2">
      <c r="A55" s="540"/>
      <c r="B55" s="540"/>
      <c r="C55" s="540"/>
      <c r="D55" s="540"/>
      <c r="E55" s="540"/>
      <c r="F55" s="540"/>
      <c r="G55" s="540"/>
      <c r="H55" s="540"/>
      <c r="I55" s="540"/>
    </row>
    <row r="56" spans="1:9" ht="12" customHeight="1" x14ac:dyDescent="0.2">
      <c r="A56" s="540"/>
      <c r="B56" s="540"/>
      <c r="C56" s="540"/>
      <c r="D56" s="540"/>
      <c r="E56" s="540"/>
      <c r="F56" s="540"/>
      <c r="G56" s="540"/>
      <c r="H56" s="540"/>
      <c r="I56" s="540"/>
    </row>
    <row r="57" spans="1:9" ht="12" customHeight="1" x14ac:dyDescent="0.2">
      <c r="A57" s="540"/>
      <c r="B57" s="540"/>
      <c r="C57" s="540"/>
      <c r="D57" s="540"/>
      <c r="E57" s="540"/>
      <c r="F57" s="540"/>
      <c r="G57" s="540"/>
      <c r="H57" s="540"/>
      <c r="I57" s="540"/>
    </row>
    <row r="58" spans="1:9" ht="12" customHeight="1" x14ac:dyDescent="0.2">
      <c r="A58" s="716" t="s">
        <v>602</v>
      </c>
      <c r="B58" s="716"/>
      <c r="C58" s="716"/>
      <c r="D58" s="716"/>
      <c r="E58" s="716"/>
      <c r="F58" s="716"/>
      <c r="G58" s="716"/>
      <c r="H58" s="716"/>
      <c r="I58" s="716"/>
    </row>
    <row r="59" spans="1:9" ht="12" customHeight="1" x14ac:dyDescent="0.2">
      <c r="A59" s="716"/>
      <c r="B59" s="716"/>
      <c r="C59" s="716"/>
      <c r="D59" s="716"/>
      <c r="E59" s="716"/>
      <c r="F59" s="716"/>
      <c r="G59" s="716"/>
      <c r="H59" s="716"/>
      <c r="I59" s="716"/>
    </row>
    <row r="60" spans="1:9" ht="12" customHeight="1" x14ac:dyDescent="0.2">
      <c r="A60" s="356" t="s">
        <v>575</v>
      </c>
      <c r="B60" s="90"/>
      <c r="C60" s="90"/>
      <c r="D60" s="90"/>
      <c r="E60" s="90"/>
      <c r="F60" s="90"/>
      <c r="G60" s="90"/>
      <c r="H60" s="90"/>
      <c r="I60" s="90"/>
    </row>
    <row r="61" spans="1:9" x14ac:dyDescent="0.2">
      <c r="A61" s="2" t="s">
        <v>334</v>
      </c>
      <c r="B61" s="90"/>
      <c r="C61" s="90"/>
      <c r="D61" s="90"/>
      <c r="E61" s="90"/>
      <c r="F61" s="90"/>
      <c r="G61" s="90"/>
      <c r="H61" s="90"/>
      <c r="I61" s="90"/>
    </row>
    <row r="62" spans="1:9" x14ac:dyDescent="0.2">
      <c r="A62" s="443" t="e">
        <f>"(6)  Total provincial contribution to public education is "&amp;TEXT(#REF!,"0.0%")&amp;". See page i for more details."</f>
        <v>#REF!</v>
      </c>
    </row>
    <row r="67" spans="7:7" x14ac:dyDescent="0.2">
      <c r="G67" s="131"/>
    </row>
  </sheetData>
  <mergeCells count="11">
    <mergeCell ref="A58:I59"/>
    <mergeCell ref="A54:I57"/>
    <mergeCell ref="B5:F5"/>
    <mergeCell ref="B3:I3"/>
    <mergeCell ref="B7:B9"/>
    <mergeCell ref="C7:C9"/>
    <mergeCell ref="D7:D9"/>
    <mergeCell ref="E8:E9"/>
    <mergeCell ref="G7:G9"/>
    <mergeCell ref="H7:H9"/>
    <mergeCell ref="I6:I9"/>
  </mergeCells>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59"/>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x14ac:dyDescent="0.2">
      <c r="A1" s="3"/>
    </row>
    <row r="2" spans="1:9" ht="15.95" customHeight="1" x14ac:dyDescent="0.2">
      <c r="A2" s="183"/>
      <c r="B2" s="53" t="str">
        <f>REVYEAR</f>
        <v>ANALYSIS OF OPERATING FUND REVENUE: 2018/2019 BUDGET</v>
      </c>
      <c r="C2" s="101"/>
      <c r="D2" s="101"/>
      <c r="E2" s="101"/>
      <c r="F2" s="101"/>
      <c r="G2" s="190"/>
      <c r="H2" s="191"/>
      <c r="I2" s="185" t="s">
        <v>2</v>
      </c>
    </row>
    <row r="3" spans="1:9" ht="15.95" customHeight="1" x14ac:dyDescent="0.2">
      <c r="A3" s="180"/>
    </row>
    <row r="4" spans="1:9" ht="15.95" customHeight="1" x14ac:dyDescent="0.2">
      <c r="B4" s="4"/>
      <c r="C4" s="4"/>
      <c r="D4" s="4"/>
      <c r="E4" s="4"/>
      <c r="F4" s="4"/>
      <c r="G4" s="4"/>
      <c r="H4" s="4"/>
      <c r="I4" s="55"/>
    </row>
    <row r="5" spans="1:9" ht="15.95" customHeight="1" x14ac:dyDescent="0.2">
      <c r="B5" s="4"/>
      <c r="C5" s="4"/>
      <c r="D5" s="4"/>
      <c r="E5" s="4"/>
      <c r="F5" s="4"/>
      <c r="G5" s="4"/>
      <c r="H5" s="4"/>
      <c r="I5" s="4"/>
    </row>
    <row r="6" spans="1:9" ht="15.95" customHeight="1" x14ac:dyDescent="0.2">
      <c r="B6" s="4"/>
      <c r="C6" s="4"/>
      <c r="D6" s="4"/>
      <c r="E6" s="4"/>
      <c r="F6" s="4"/>
      <c r="G6" s="4"/>
      <c r="H6" s="4"/>
      <c r="I6" s="4"/>
    </row>
    <row r="7" spans="1:9" ht="15.95" customHeight="1" x14ac:dyDescent="0.2">
      <c r="B7" s="682" t="s">
        <v>455</v>
      </c>
      <c r="C7" s="683"/>
      <c r="D7" s="730" t="s">
        <v>456</v>
      </c>
      <c r="E7" s="612"/>
      <c r="F7" s="615" t="s">
        <v>445</v>
      </c>
      <c r="G7" s="612"/>
      <c r="H7" s="278"/>
      <c r="I7" s="270"/>
    </row>
    <row r="8" spans="1:9" ht="15.95" customHeight="1" x14ac:dyDescent="0.2">
      <c r="A8" s="249"/>
      <c r="B8" s="684"/>
      <c r="C8" s="685"/>
      <c r="D8" s="731"/>
      <c r="E8" s="614"/>
      <c r="F8" s="613"/>
      <c r="G8" s="614"/>
      <c r="H8" s="618" t="s">
        <v>54</v>
      </c>
      <c r="I8" s="606"/>
    </row>
    <row r="9" spans="1:9" ht="15.95" customHeight="1" x14ac:dyDescent="0.2">
      <c r="A9" s="27" t="s">
        <v>37</v>
      </c>
      <c r="B9" s="473" t="s">
        <v>55</v>
      </c>
      <c r="C9" s="108" t="s">
        <v>39</v>
      </c>
      <c r="D9" s="181" t="s">
        <v>55</v>
      </c>
      <c r="E9" s="181" t="s">
        <v>39</v>
      </c>
      <c r="F9" s="181" t="s">
        <v>55</v>
      </c>
      <c r="G9" s="181" t="s">
        <v>39</v>
      </c>
      <c r="H9" s="189" t="s">
        <v>55</v>
      </c>
      <c r="I9" s="189" t="s">
        <v>39</v>
      </c>
    </row>
    <row r="10" spans="1:9" ht="5.0999999999999996" customHeight="1" x14ac:dyDescent="0.2">
      <c r="A10" s="29"/>
      <c r="B10" s="182"/>
      <c r="C10" s="182"/>
      <c r="D10" s="182"/>
      <c r="E10" s="182"/>
      <c r="F10" s="182"/>
      <c r="G10" s="182"/>
      <c r="H10" s="182"/>
      <c r="I10" s="182"/>
    </row>
    <row r="11" spans="1:9" ht="14.1" customHeight="1" x14ac:dyDescent="0.2">
      <c r="A11" s="271" t="s">
        <v>108</v>
      </c>
      <c r="B11" s="272">
        <v>0</v>
      </c>
      <c r="C11" s="273">
        <f>B11/'- 43 -'!$I11*100</f>
        <v>0</v>
      </c>
      <c r="D11" s="272">
        <v>7325102</v>
      </c>
      <c r="E11" s="273">
        <f>D11/'- 43 -'!$I11*100</f>
        <v>35.742409771921714</v>
      </c>
      <c r="F11" s="272">
        <v>30000</v>
      </c>
      <c r="G11" s="273">
        <f>F11/'- 43 -'!$I11*100</f>
        <v>0.14638325761984627</v>
      </c>
      <c r="H11" s="272">
        <v>0</v>
      </c>
      <c r="I11" s="273">
        <f>H11/'- 43 -'!$I11*100</f>
        <v>0</v>
      </c>
    </row>
    <row r="12" spans="1:9" ht="14.1" customHeight="1" x14ac:dyDescent="0.2">
      <c r="A12" s="15" t="s">
        <v>109</v>
      </c>
      <c r="B12" s="16">
        <v>0</v>
      </c>
      <c r="C12" s="267">
        <f>B12/'- 43 -'!$I12*100</f>
        <v>0</v>
      </c>
      <c r="D12" s="16">
        <v>12115611</v>
      </c>
      <c r="E12" s="267">
        <f>D12/'- 43 -'!$I12*100</f>
        <v>33.828956299352988</v>
      </c>
      <c r="F12" s="16">
        <v>616000</v>
      </c>
      <c r="G12" s="267">
        <f>F12/'- 43 -'!$I12*100</f>
        <v>1.7199823500772218</v>
      </c>
      <c r="H12" s="16">
        <v>1326525</v>
      </c>
      <c r="I12" s="267">
        <f>H12/'- 43 -'!$I12*100</f>
        <v>3.7038954333379657</v>
      </c>
    </row>
    <row r="13" spans="1:9" ht="14.1" customHeight="1" x14ac:dyDescent="0.2">
      <c r="A13" s="271" t="s">
        <v>110</v>
      </c>
      <c r="B13" s="272">
        <v>18500</v>
      </c>
      <c r="C13" s="273">
        <f>B13/'- 43 -'!$I13*100</f>
        <v>1.7740817209168071E-2</v>
      </c>
      <c r="D13" s="272">
        <v>39581273</v>
      </c>
      <c r="E13" s="273">
        <f>D13/'- 43 -'!$I13*100</f>
        <v>37.956979956712402</v>
      </c>
      <c r="F13" s="272">
        <v>386300</v>
      </c>
      <c r="G13" s="273">
        <f>F13/'- 43 -'!$I13*100</f>
        <v>0.37044744258927709</v>
      </c>
      <c r="H13" s="272">
        <v>181500</v>
      </c>
      <c r="I13" s="273">
        <f>H13/'- 43 -'!$I13*100</f>
        <v>0.17405180126832459</v>
      </c>
    </row>
    <row r="14" spans="1:9" ht="14.1" customHeight="1" x14ac:dyDescent="0.2">
      <c r="A14" s="15" t="s">
        <v>319</v>
      </c>
      <c r="B14" s="16">
        <v>105000</v>
      </c>
      <c r="C14" s="267">
        <f>B14/'- 43 -'!$I14*100</f>
        <v>0.11155264118673312</v>
      </c>
      <c r="D14" s="16">
        <v>26386710.238351613</v>
      </c>
      <c r="E14" s="267">
        <f>D14/'- 43 -'!$I14*100</f>
        <v>28.033402088734615</v>
      </c>
      <c r="F14" s="16">
        <v>2017626</v>
      </c>
      <c r="G14" s="267">
        <f>F14/'- 43 -'!$I14*100</f>
        <v>2.1435381831145106</v>
      </c>
      <c r="H14" s="16">
        <v>0</v>
      </c>
      <c r="I14" s="267">
        <f>H14/'- 43 -'!$I14*100</f>
        <v>0</v>
      </c>
    </row>
    <row r="15" spans="1:9" ht="14.1" customHeight="1" x14ac:dyDescent="0.2">
      <c r="A15" s="271" t="s">
        <v>111</v>
      </c>
      <c r="B15" s="272">
        <v>0</v>
      </c>
      <c r="C15" s="273">
        <f>B15/'- 43 -'!$I15*100</f>
        <v>0</v>
      </c>
      <c r="D15" s="272">
        <v>8358780</v>
      </c>
      <c r="E15" s="273">
        <f>D15/'- 43 -'!$I15*100</f>
        <v>39.099409180636961</v>
      </c>
      <c r="F15" s="272">
        <v>54000</v>
      </c>
      <c r="G15" s="273">
        <f>F15/'- 43 -'!$I15*100</f>
        <v>0.25259285395170061</v>
      </c>
      <c r="H15" s="272">
        <v>145000</v>
      </c>
      <c r="I15" s="273">
        <f>H15/'- 43 -'!$I15*100</f>
        <v>0.67825858931475158</v>
      </c>
    </row>
    <row r="16" spans="1:9" ht="14.1" customHeight="1" x14ac:dyDescent="0.2">
      <c r="A16" s="15" t="s">
        <v>112</v>
      </c>
      <c r="B16" s="16">
        <v>0</v>
      </c>
      <c r="C16" s="267">
        <f>B16/'- 43 -'!$I16*100</f>
        <v>0</v>
      </c>
      <c r="D16" s="16">
        <v>3508148</v>
      </c>
      <c r="E16" s="267">
        <f>D16/'- 43 -'!$I16*100</f>
        <v>23.403389772616439</v>
      </c>
      <c r="F16" s="16">
        <v>259590</v>
      </c>
      <c r="G16" s="267">
        <f>F16/'- 43 -'!$I16*100</f>
        <v>1.7317644384083859</v>
      </c>
      <c r="H16" s="16">
        <v>0</v>
      </c>
      <c r="I16" s="267">
        <f>H16/'- 43 -'!$I16*100</f>
        <v>0</v>
      </c>
    </row>
    <row r="17" spans="1:9" ht="14.1" customHeight="1" x14ac:dyDescent="0.2">
      <c r="A17" s="271" t="s">
        <v>113</v>
      </c>
      <c r="B17" s="272">
        <v>0</v>
      </c>
      <c r="C17" s="273">
        <f>B17/'- 43 -'!$I17*100</f>
        <v>0</v>
      </c>
      <c r="D17" s="272">
        <v>7923970</v>
      </c>
      <c r="E17" s="273">
        <f>D17/'- 43 -'!$I17*100</f>
        <v>42.212022779662632</v>
      </c>
      <c r="F17" s="272">
        <v>33600</v>
      </c>
      <c r="G17" s="273">
        <f>F17/'- 43 -'!$I17*100</f>
        <v>0.178991586969242</v>
      </c>
      <c r="H17" s="272">
        <v>863460</v>
      </c>
      <c r="I17" s="273">
        <f>H17/'- 43 -'!$I17*100</f>
        <v>4.5997641572756462</v>
      </c>
    </row>
    <row r="18" spans="1:9" ht="14.1" customHeight="1" x14ac:dyDescent="0.2">
      <c r="A18" s="15" t="s">
        <v>114</v>
      </c>
      <c r="B18" s="16">
        <v>726000</v>
      </c>
      <c r="C18" s="374">
        <f>B18/'- 43 -'!$I18*100</f>
        <v>0.51681968302210191</v>
      </c>
      <c r="D18" s="16">
        <v>3173702</v>
      </c>
      <c r="E18" s="267">
        <f>D18/'- 43 -'!$I18*100</f>
        <v>2.2592722612212266</v>
      </c>
      <c r="F18" s="16">
        <v>0</v>
      </c>
      <c r="G18" s="267">
        <f>F18/'- 43 -'!$I18*100</f>
        <v>0</v>
      </c>
      <c r="H18" s="16">
        <v>82003122</v>
      </c>
      <c r="I18" s="267">
        <f>H18/'- 43 -'!$I18*100</f>
        <v>58.375795480527195</v>
      </c>
    </row>
    <row r="19" spans="1:9" ht="14.1" customHeight="1" x14ac:dyDescent="0.2">
      <c r="A19" s="271" t="s">
        <v>115</v>
      </c>
      <c r="B19" s="272">
        <v>0</v>
      </c>
      <c r="C19" s="273">
        <f>B19/'- 43 -'!$I19*100</f>
        <v>0</v>
      </c>
      <c r="D19" s="272">
        <v>16042828</v>
      </c>
      <c r="E19" s="273">
        <f>D19/'- 43 -'!$I19*100</f>
        <v>31.457584562209671</v>
      </c>
      <c r="F19" s="272">
        <v>370000</v>
      </c>
      <c r="G19" s="273">
        <f>F19/'- 43 -'!$I19*100</f>
        <v>0.72551462173736314</v>
      </c>
      <c r="H19" s="272">
        <v>0</v>
      </c>
      <c r="I19" s="273">
        <f>H19/'- 43 -'!$I19*100</f>
        <v>0</v>
      </c>
    </row>
    <row r="20" spans="1:9" ht="14.1" customHeight="1" x14ac:dyDescent="0.2">
      <c r="A20" s="15" t="s">
        <v>116</v>
      </c>
      <c r="B20" s="16">
        <v>0</v>
      </c>
      <c r="C20" s="267">
        <f>B20/'- 43 -'!$I20*100</f>
        <v>0</v>
      </c>
      <c r="D20" s="16">
        <v>27044632</v>
      </c>
      <c r="E20" s="267">
        <f>D20/'- 43 -'!$I20*100</f>
        <v>29.974654474923803</v>
      </c>
      <c r="F20" s="16">
        <v>65000</v>
      </c>
      <c r="G20" s="267">
        <f>F20/'- 43 -'!$I20*100</f>
        <v>7.2042116929897482E-2</v>
      </c>
      <c r="H20" s="16">
        <v>0</v>
      </c>
      <c r="I20" s="267">
        <f>H20/'- 43 -'!$I20*100</f>
        <v>0</v>
      </c>
    </row>
    <row r="21" spans="1:9" ht="14.1" customHeight="1" x14ac:dyDescent="0.2">
      <c r="A21" s="271" t="s">
        <v>117</v>
      </c>
      <c r="B21" s="272">
        <v>0</v>
      </c>
      <c r="C21" s="273">
        <f>B21/'- 43 -'!$I21*100</f>
        <v>0</v>
      </c>
      <c r="D21" s="272">
        <v>15559811</v>
      </c>
      <c r="E21" s="273">
        <f>D21/'- 43 -'!$I21*100</f>
        <v>40.626138381201045</v>
      </c>
      <c r="F21" s="272">
        <v>25000</v>
      </c>
      <c r="G21" s="273">
        <f>F21/'- 43 -'!$I21*100</f>
        <v>6.5274151436031339E-2</v>
      </c>
      <c r="H21" s="272">
        <v>0</v>
      </c>
      <c r="I21" s="273">
        <f>H21/'- 43 -'!$I21*100</f>
        <v>0</v>
      </c>
    </row>
    <row r="22" spans="1:9" ht="14.1" customHeight="1" x14ac:dyDescent="0.2">
      <c r="A22" s="15" t="s">
        <v>118</v>
      </c>
      <c r="B22" s="16">
        <v>26000</v>
      </c>
      <c r="C22" s="267">
        <f>B22/'- 43 -'!$I22*100</f>
        <v>0.12562886912757515</v>
      </c>
      <c r="D22" s="16">
        <v>3050673</v>
      </c>
      <c r="E22" s="267">
        <f>D22/'- 43 -'!$I22*100</f>
        <v>14.740484579539503</v>
      </c>
      <c r="F22" s="16">
        <v>15000</v>
      </c>
      <c r="G22" s="267">
        <f>F22/'- 43 -'!$I22*100</f>
        <v>7.2478193727447196E-2</v>
      </c>
      <c r="H22" s="16">
        <v>20000</v>
      </c>
      <c r="I22" s="267">
        <f>H22/'- 43 -'!$I22*100</f>
        <v>9.6637591636596271E-2</v>
      </c>
    </row>
    <row r="23" spans="1:9" ht="14.1" customHeight="1" x14ac:dyDescent="0.2">
      <c r="A23" s="271" t="s">
        <v>119</v>
      </c>
      <c r="B23" s="272">
        <v>270192</v>
      </c>
      <c r="C23" s="273">
        <f>B23/'- 43 -'!$I23*100</f>
        <v>1.5858807125311236</v>
      </c>
      <c r="D23" s="272">
        <v>3783961</v>
      </c>
      <c r="E23" s="273">
        <f>D23/'- 43 -'!$I23*100</f>
        <v>22.209801796019065</v>
      </c>
      <c r="F23" s="272">
        <v>90000</v>
      </c>
      <c r="G23" s="273">
        <f>F23/'- 43 -'!$I23*100</f>
        <v>0.52825125883742341</v>
      </c>
      <c r="H23" s="272">
        <v>994000</v>
      </c>
      <c r="I23" s="273">
        <f>H23/'- 43 -'!$I23*100</f>
        <v>5.8342416809377653</v>
      </c>
    </row>
    <row r="24" spans="1:9" ht="14.1" customHeight="1" x14ac:dyDescent="0.2">
      <c r="A24" s="15" t="s">
        <v>120</v>
      </c>
      <c r="B24" s="16">
        <v>0</v>
      </c>
      <c r="C24" s="267">
        <f>B24/'- 43 -'!$I24*100</f>
        <v>0</v>
      </c>
      <c r="D24" s="16">
        <v>24600986</v>
      </c>
      <c r="E24" s="267">
        <f>D24/'- 43 -'!$I24*100</f>
        <v>41.712236306150388</v>
      </c>
      <c r="F24" s="16">
        <v>181200</v>
      </c>
      <c r="G24" s="267">
        <f>F24/'- 43 -'!$I24*100</f>
        <v>0.30723391406647077</v>
      </c>
      <c r="H24" s="16">
        <v>440000</v>
      </c>
      <c r="I24" s="267">
        <f>H24/'- 43 -'!$I24*100</f>
        <v>0.74604261693844998</v>
      </c>
    </row>
    <row r="25" spans="1:9" ht="14.1" customHeight="1" x14ac:dyDescent="0.2">
      <c r="A25" s="271" t="s">
        <v>121</v>
      </c>
      <c r="B25" s="272">
        <v>0</v>
      </c>
      <c r="C25" s="273">
        <f>B25/'- 43 -'!$I25*100</f>
        <v>0</v>
      </c>
      <c r="D25" s="272">
        <v>74374352</v>
      </c>
      <c r="E25" s="273">
        <f>D25/'- 43 -'!$I25*100</f>
        <v>39.177773396618335</v>
      </c>
      <c r="F25" s="272">
        <v>550000</v>
      </c>
      <c r="G25" s="273">
        <f>F25/'- 43 -'!$I25*100</f>
        <v>0.28972051236345675</v>
      </c>
      <c r="H25" s="272">
        <v>0</v>
      </c>
      <c r="I25" s="273">
        <f>H25/'- 43 -'!$I25*100</f>
        <v>0</v>
      </c>
    </row>
    <row r="26" spans="1:9" ht="14.1" customHeight="1" x14ac:dyDescent="0.2">
      <c r="A26" s="15" t="s">
        <v>122</v>
      </c>
      <c r="B26" s="16">
        <v>20010</v>
      </c>
      <c r="C26" s="267">
        <f>B26/'- 43 -'!$I26*100</f>
        <v>4.7627080105583121E-2</v>
      </c>
      <c r="D26" s="16">
        <v>13162109</v>
      </c>
      <c r="E26" s="267">
        <f>D26/'- 43 -'!$I26*100</f>
        <v>31.327976996572538</v>
      </c>
      <c r="F26" s="16">
        <v>510549</v>
      </c>
      <c r="G26" s="267">
        <f>F26/'- 43 -'!$I26*100</f>
        <v>1.2151903108858249</v>
      </c>
      <c r="H26" s="16">
        <v>731203</v>
      </c>
      <c r="I26" s="267">
        <f>H26/'- 43 -'!$I26*100</f>
        <v>1.7403830012215238</v>
      </c>
    </row>
    <row r="27" spans="1:9" ht="14.1" customHeight="1" x14ac:dyDescent="0.2">
      <c r="A27" s="271" t="s">
        <v>123</v>
      </c>
      <c r="B27" s="272">
        <v>0</v>
      </c>
      <c r="C27" s="273">
        <f>B27/'- 43 -'!$I27*100</f>
        <v>0</v>
      </c>
      <c r="D27" s="272">
        <v>6497954</v>
      </c>
      <c r="E27" s="273">
        <f>D27/'- 43 -'!$I27*100</f>
        <v>15.321047658674821</v>
      </c>
      <c r="F27" s="272">
        <v>100000</v>
      </c>
      <c r="G27" s="273">
        <f>F27/'- 43 -'!$I27*100</f>
        <v>0.23578264263912643</v>
      </c>
      <c r="H27" s="272">
        <v>350000</v>
      </c>
      <c r="I27" s="273">
        <f>H27/'- 43 -'!$I27*100</f>
        <v>0.82523924923694258</v>
      </c>
    </row>
    <row r="28" spans="1:9" ht="14.1" customHeight="1" x14ac:dyDescent="0.2">
      <c r="A28" s="15" t="s">
        <v>124</v>
      </c>
      <c r="B28" s="16">
        <v>0</v>
      </c>
      <c r="C28" s="267">
        <f>B28/'- 43 -'!$I28*100</f>
        <v>0</v>
      </c>
      <c r="D28" s="16">
        <v>7991411</v>
      </c>
      <c r="E28" s="267">
        <f>D28/'- 43 -'!$I28*100</f>
        <v>27.517868219020219</v>
      </c>
      <c r="F28" s="16">
        <v>65600</v>
      </c>
      <c r="G28" s="267">
        <f>F28/'- 43 -'!$I28*100</f>
        <v>0.22588903951601619</v>
      </c>
      <c r="H28" s="16">
        <v>7467452</v>
      </c>
      <c r="I28" s="267">
        <f>H28/'- 43 -'!$I28*100</f>
        <v>25.713651827926132</v>
      </c>
    </row>
    <row r="29" spans="1:9" ht="14.1" customHeight="1" x14ac:dyDescent="0.2">
      <c r="A29" s="271" t="s">
        <v>125</v>
      </c>
      <c r="B29" s="272">
        <v>0</v>
      </c>
      <c r="C29" s="273">
        <f>B29/'- 43 -'!$I29*100</f>
        <v>0</v>
      </c>
      <c r="D29" s="272">
        <v>83674340</v>
      </c>
      <c r="E29" s="273">
        <f>D29/'- 43 -'!$I29*100</f>
        <v>48.229325111168102</v>
      </c>
      <c r="F29" s="272">
        <v>585000</v>
      </c>
      <c r="G29" s="273">
        <f>F29/'- 43 -'!$I29*100</f>
        <v>0.3371900536058407</v>
      </c>
      <c r="H29" s="272">
        <v>0</v>
      </c>
      <c r="I29" s="273">
        <f>H29/'- 43 -'!$I29*100</f>
        <v>0</v>
      </c>
    </row>
    <row r="30" spans="1:9" ht="14.1" customHeight="1" x14ac:dyDescent="0.2">
      <c r="A30" s="15" t="s">
        <v>126</v>
      </c>
      <c r="B30" s="16">
        <v>0</v>
      </c>
      <c r="C30" s="267">
        <f>B30/'- 43 -'!$I30*100</f>
        <v>0</v>
      </c>
      <c r="D30" s="16">
        <v>6440472</v>
      </c>
      <c r="E30" s="267">
        <f>D30/'- 43 -'!$I30*100</f>
        <v>41.629981318299031</v>
      </c>
      <c r="F30" s="16">
        <v>34900</v>
      </c>
      <c r="G30" s="267">
        <f>F30/'- 43 -'!$I30*100</f>
        <v>0.22558693648674139</v>
      </c>
      <c r="H30" s="16">
        <v>0</v>
      </c>
      <c r="I30" s="267">
        <f>H30/'- 43 -'!$I30*100</f>
        <v>0</v>
      </c>
    </row>
    <row r="31" spans="1:9" ht="14.1" customHeight="1" x14ac:dyDescent="0.2">
      <c r="A31" s="271" t="s">
        <v>127</v>
      </c>
      <c r="B31" s="272">
        <v>0</v>
      </c>
      <c r="C31" s="273">
        <f>B31/'- 43 -'!$I31*100</f>
        <v>0</v>
      </c>
      <c r="D31" s="272">
        <v>15191684</v>
      </c>
      <c r="E31" s="273">
        <f>D31/'- 43 -'!$I31*100</f>
        <v>37.90131048901916</v>
      </c>
      <c r="F31" s="272">
        <v>180000</v>
      </c>
      <c r="G31" s="273">
        <f>F31/'- 43 -'!$I31*100</f>
        <v>0.44907700081330337</v>
      </c>
      <c r="H31" s="272">
        <v>815000</v>
      </c>
      <c r="I31" s="273">
        <f>H31/'- 43 -'!$I31*100</f>
        <v>2.0333208647935681</v>
      </c>
    </row>
    <row r="32" spans="1:9" ht="14.1" customHeight="1" x14ac:dyDescent="0.2">
      <c r="A32" s="15" t="s">
        <v>128</v>
      </c>
      <c r="B32" s="16">
        <v>0</v>
      </c>
      <c r="C32" s="267">
        <f>B32/'- 43 -'!$I32*100</f>
        <v>0</v>
      </c>
      <c r="D32" s="16">
        <v>14208483</v>
      </c>
      <c r="E32" s="267">
        <f>D32/'- 43 -'!$I32*100</f>
        <v>45.361255736169667</v>
      </c>
      <c r="F32" s="16">
        <v>78000</v>
      </c>
      <c r="G32" s="267">
        <f>F32/'- 43 -'!$I32*100</f>
        <v>0.24901869871831031</v>
      </c>
      <c r="H32" s="16">
        <v>0</v>
      </c>
      <c r="I32" s="267">
        <f>H32/'- 43 -'!$I32*100</f>
        <v>0</v>
      </c>
    </row>
    <row r="33" spans="1:9" ht="14.1" customHeight="1" x14ac:dyDescent="0.2">
      <c r="A33" s="271" t="s">
        <v>129</v>
      </c>
      <c r="B33" s="272">
        <v>34680</v>
      </c>
      <c r="C33" s="273">
        <f>B33/'- 43 -'!$I33*100</f>
        <v>0.11983805690400245</v>
      </c>
      <c r="D33" s="272">
        <v>11410158</v>
      </c>
      <c r="E33" s="273">
        <f>D33/'- 43 -'!$I33*100</f>
        <v>39.428234247048991</v>
      </c>
      <c r="F33" s="272">
        <v>39000</v>
      </c>
      <c r="G33" s="273">
        <f>F33/'- 43 -'!$I33*100</f>
        <v>0.1347659809474076</v>
      </c>
      <c r="H33" s="272">
        <v>200000</v>
      </c>
      <c r="I33" s="273">
        <f>H33/'- 43 -'!$I33*100</f>
        <v>0.69110759460209037</v>
      </c>
    </row>
    <row r="34" spans="1:9" ht="14.1" customHeight="1" x14ac:dyDescent="0.2">
      <c r="A34" s="15" t="s">
        <v>130</v>
      </c>
      <c r="B34" s="16">
        <v>21225</v>
      </c>
      <c r="C34" s="267">
        <f>B34/'- 43 -'!$I34*100</f>
        <v>6.6354347408666553E-2</v>
      </c>
      <c r="D34" s="16">
        <v>14743760</v>
      </c>
      <c r="E34" s="267">
        <f>D34/'- 43 -'!$I34*100</f>
        <v>46.092465166077815</v>
      </c>
      <c r="F34" s="16">
        <v>1189140</v>
      </c>
      <c r="G34" s="267">
        <f>F34/'- 43 -'!$I34*100</f>
        <v>3.71753162202788</v>
      </c>
      <c r="H34" s="16">
        <v>0</v>
      </c>
      <c r="I34" s="267">
        <f>H34/'- 43 -'!$I34*100</f>
        <v>0</v>
      </c>
    </row>
    <row r="35" spans="1:9" ht="14.1" customHeight="1" x14ac:dyDescent="0.2">
      <c r="A35" s="271" t="s">
        <v>131</v>
      </c>
      <c r="B35" s="272">
        <v>0</v>
      </c>
      <c r="C35" s="273">
        <f>B35/'- 43 -'!$I35*100</f>
        <v>0</v>
      </c>
      <c r="D35" s="272">
        <v>66879058</v>
      </c>
      <c r="E35" s="273">
        <f>D35/'- 43 -'!$I35*100</f>
        <v>34.550852685002248</v>
      </c>
      <c r="F35" s="272">
        <v>200000</v>
      </c>
      <c r="G35" s="273">
        <f>F35/'- 43 -'!$I35*100</f>
        <v>0.10332338318820893</v>
      </c>
      <c r="H35" s="272">
        <v>0</v>
      </c>
      <c r="I35" s="273">
        <f>H35/'- 43 -'!$I35*100</f>
        <v>0</v>
      </c>
    </row>
    <row r="36" spans="1:9" ht="14.1" customHeight="1" x14ac:dyDescent="0.2">
      <c r="A36" s="15" t="s">
        <v>132</v>
      </c>
      <c r="B36" s="16">
        <v>47050</v>
      </c>
      <c r="C36" s="267">
        <f>B36/'- 43 -'!$I36*100</f>
        <v>0.18962598742543929</v>
      </c>
      <c r="D36" s="16">
        <v>9803407</v>
      </c>
      <c r="E36" s="267">
        <f>D36/'- 43 -'!$I36*100</f>
        <v>39.510748831210705</v>
      </c>
      <c r="F36" s="16">
        <v>68900</v>
      </c>
      <c r="G36" s="267">
        <f>F36/'- 43 -'!$I36*100</f>
        <v>0.27768821537965505</v>
      </c>
      <c r="H36" s="16">
        <v>1379000</v>
      </c>
      <c r="I36" s="267">
        <f>H36/'- 43 -'!$I36*100</f>
        <v>5.5577946155086249</v>
      </c>
    </row>
    <row r="37" spans="1:9" ht="14.1" customHeight="1" x14ac:dyDescent="0.2">
      <c r="A37" s="271" t="s">
        <v>133</v>
      </c>
      <c r="B37" s="272">
        <v>15000</v>
      </c>
      <c r="C37" s="273">
        <f>B37/'- 43 -'!$I37*100</f>
        <v>2.7696739170574986E-2</v>
      </c>
      <c r="D37" s="272">
        <v>16819967</v>
      </c>
      <c r="E37" s="273">
        <f>D37/'- 43 -'!$I37*100</f>
        <v>31.057215923778575</v>
      </c>
      <c r="F37" s="272">
        <v>250000</v>
      </c>
      <c r="G37" s="273">
        <f>F37/'- 43 -'!$I37*100</f>
        <v>0.46161231950958309</v>
      </c>
      <c r="H37" s="272">
        <v>0</v>
      </c>
      <c r="I37" s="273">
        <f>H37/'- 43 -'!$I37*100</f>
        <v>0</v>
      </c>
    </row>
    <row r="38" spans="1:9" ht="14.1" customHeight="1" x14ac:dyDescent="0.2">
      <c r="A38" s="15" t="s">
        <v>134</v>
      </c>
      <c r="B38" s="16">
        <v>906000</v>
      </c>
      <c r="C38" s="267">
        <f>B38/'- 43 -'!$I38*100</f>
        <v>0.60998217653624787</v>
      </c>
      <c r="D38" s="16">
        <v>44845316</v>
      </c>
      <c r="E38" s="267">
        <f>D38/'- 43 -'!$I38*100</f>
        <v>30.192983952688547</v>
      </c>
      <c r="F38" s="16">
        <v>1300000</v>
      </c>
      <c r="G38" s="267">
        <f>F38/'- 43 -'!$I38*100</f>
        <v>0.87525036368335785</v>
      </c>
      <c r="H38" s="16">
        <v>750000</v>
      </c>
      <c r="I38" s="267">
        <f>H38/'- 43 -'!$I38*100</f>
        <v>0.5049521328942449</v>
      </c>
    </row>
    <row r="39" spans="1:9" ht="14.1" customHeight="1" x14ac:dyDescent="0.2">
      <c r="A39" s="271" t="s">
        <v>135</v>
      </c>
      <c r="B39" s="272">
        <v>0</v>
      </c>
      <c r="C39" s="273">
        <f>B39/'- 43 -'!$I39*100</f>
        <v>0</v>
      </c>
      <c r="D39" s="272">
        <v>11427562</v>
      </c>
      <c r="E39" s="273">
        <f>D39/'- 43 -'!$I39*100</f>
        <v>48.49949673689602</v>
      </c>
      <c r="F39" s="272">
        <v>100000</v>
      </c>
      <c r="G39" s="273">
        <f>F39/'- 43 -'!$I39*100</f>
        <v>0.42440808229170857</v>
      </c>
      <c r="H39" s="272">
        <v>0</v>
      </c>
      <c r="I39" s="273">
        <f>H39/'- 43 -'!$I39*100</f>
        <v>0</v>
      </c>
    </row>
    <row r="40" spans="1:9" ht="14.1" customHeight="1" x14ac:dyDescent="0.2">
      <c r="A40" s="15" t="s">
        <v>136</v>
      </c>
      <c r="B40" s="16">
        <v>0</v>
      </c>
      <c r="C40" s="267">
        <f>B40/'- 43 -'!$I40*100</f>
        <v>0</v>
      </c>
      <c r="D40" s="16">
        <v>49225406</v>
      </c>
      <c r="E40" s="267">
        <f>D40/'- 43 -'!$I40*100</f>
        <v>44.833649632995545</v>
      </c>
      <c r="F40" s="16">
        <v>619209</v>
      </c>
      <c r="G40" s="267">
        <f>F40/'- 43 -'!$I40*100</f>
        <v>0.56396486309523863</v>
      </c>
      <c r="H40" s="16">
        <v>210000</v>
      </c>
      <c r="I40" s="267">
        <f>H40/'- 43 -'!$I40*100</f>
        <v>0.19126437317610065</v>
      </c>
    </row>
    <row r="41" spans="1:9" ht="14.1" customHeight="1" x14ac:dyDescent="0.2">
      <c r="A41" s="271" t="s">
        <v>137</v>
      </c>
      <c r="B41" s="272">
        <v>0</v>
      </c>
      <c r="C41" s="273">
        <f>B41/'- 43 -'!$I41*100</f>
        <v>0</v>
      </c>
      <c r="D41" s="272">
        <v>28736106</v>
      </c>
      <c r="E41" s="273">
        <f>D41/'- 43 -'!$I41*100</f>
        <v>42.847999519035369</v>
      </c>
      <c r="F41" s="272">
        <v>148200</v>
      </c>
      <c r="G41" s="273">
        <f>F41/'- 43 -'!$I41*100</f>
        <v>0.22097891512235657</v>
      </c>
      <c r="H41" s="272">
        <v>444394</v>
      </c>
      <c r="I41" s="273">
        <f>H41/'- 43 -'!$I41*100</f>
        <v>0.662629581692878</v>
      </c>
    </row>
    <row r="42" spans="1:9" ht="14.1" customHeight="1" x14ac:dyDescent="0.2">
      <c r="A42" s="15" t="s">
        <v>138</v>
      </c>
      <c r="B42" s="16">
        <v>0</v>
      </c>
      <c r="C42" s="267">
        <f>B42/'- 43 -'!$I42*100</f>
        <v>0</v>
      </c>
      <c r="D42" s="16">
        <v>6233632</v>
      </c>
      <c r="E42" s="267">
        <f>D42/'- 43 -'!$I42*100</f>
        <v>29.182916246733697</v>
      </c>
      <c r="F42" s="16">
        <v>14000</v>
      </c>
      <c r="G42" s="267">
        <f>F42/'- 43 -'!$I42*100</f>
        <v>6.5541377395116007E-2</v>
      </c>
      <c r="H42" s="16">
        <v>230250</v>
      </c>
      <c r="I42" s="267">
        <f>H42/'- 43 -'!$I42*100</f>
        <v>1.0779215818018186</v>
      </c>
    </row>
    <row r="43" spans="1:9" ht="14.1" customHeight="1" x14ac:dyDescent="0.2">
      <c r="A43" s="271" t="s">
        <v>139</v>
      </c>
      <c r="B43" s="272">
        <v>0</v>
      </c>
      <c r="C43" s="273">
        <f>B43/'- 43 -'!$I43*100</f>
        <v>0</v>
      </c>
      <c r="D43" s="272">
        <v>6039183</v>
      </c>
      <c r="E43" s="273">
        <f>D43/'- 43 -'!$I43*100</f>
        <v>43.743629968063551</v>
      </c>
      <c r="F43" s="272">
        <v>55176</v>
      </c>
      <c r="G43" s="273">
        <f>F43/'- 43 -'!$I43*100</f>
        <v>0.39965646464395516</v>
      </c>
      <c r="H43" s="272">
        <v>0</v>
      </c>
      <c r="I43" s="273">
        <f>H43/'- 43 -'!$I43*100</f>
        <v>0</v>
      </c>
    </row>
    <row r="44" spans="1:9" ht="14.1" customHeight="1" x14ac:dyDescent="0.2">
      <c r="A44" s="15" t="s">
        <v>140</v>
      </c>
      <c r="B44" s="16">
        <v>0</v>
      </c>
      <c r="C44" s="267">
        <f>B44/'- 43 -'!$I44*100</f>
        <v>0</v>
      </c>
      <c r="D44" s="16">
        <v>2710354</v>
      </c>
      <c r="E44" s="267">
        <f>D44/'- 43 -'!$I44*100</f>
        <v>23.638157713422942</v>
      </c>
      <c r="F44" s="16">
        <v>61100</v>
      </c>
      <c r="G44" s="267">
        <f>F44/'- 43 -'!$I44*100</f>
        <v>0.53287926089733728</v>
      </c>
      <c r="H44" s="16">
        <v>0</v>
      </c>
      <c r="I44" s="267">
        <f>H44/'- 43 -'!$I44*100</f>
        <v>0</v>
      </c>
    </row>
    <row r="45" spans="1:9" ht="14.1" customHeight="1" x14ac:dyDescent="0.2">
      <c r="A45" s="271" t="s">
        <v>141</v>
      </c>
      <c r="B45" s="272">
        <v>20000</v>
      </c>
      <c r="C45" s="273">
        <f>B45/'- 43 -'!$I45*100</f>
        <v>9.4263211637170538E-2</v>
      </c>
      <c r="D45" s="272">
        <v>7230920</v>
      </c>
      <c r="E45" s="273">
        <f>D45/'- 43 -'!$I45*100</f>
        <v>34.080487114572456</v>
      </c>
      <c r="F45" s="272">
        <v>55250</v>
      </c>
      <c r="G45" s="273">
        <f>F45/'- 43 -'!$I45*100</f>
        <v>0.2604021221476836</v>
      </c>
      <c r="H45" s="272">
        <v>0</v>
      </c>
      <c r="I45" s="273">
        <f>H45/'- 43 -'!$I45*100</f>
        <v>0</v>
      </c>
    </row>
    <row r="46" spans="1:9" ht="14.1" customHeight="1" x14ac:dyDescent="0.2">
      <c r="A46" s="15" t="s">
        <v>142</v>
      </c>
      <c r="B46" s="16">
        <v>3686100</v>
      </c>
      <c r="C46" s="267">
        <f>B46/'- 43 -'!$I46*100</f>
        <v>0.89689448368893454</v>
      </c>
      <c r="D46" s="16">
        <v>155750429</v>
      </c>
      <c r="E46" s="267">
        <f>D46/'- 43 -'!$I46*100</f>
        <v>37.896883047742882</v>
      </c>
      <c r="F46" s="16">
        <v>2563000</v>
      </c>
      <c r="G46" s="267">
        <f>F46/'- 43 -'!$I46*100</f>
        <v>0.62362403670403377</v>
      </c>
      <c r="H46" s="16">
        <v>1930000</v>
      </c>
      <c r="I46" s="267">
        <f>H46/'- 43 -'!$I46*100</f>
        <v>0.46960374203620181</v>
      </c>
    </row>
    <row r="47" spans="1:9" ht="5.0999999999999996" customHeight="1" x14ac:dyDescent="0.2">
      <c r="A47"/>
      <c r="B47"/>
      <c r="C47"/>
      <c r="D47" s="507"/>
      <c r="E47"/>
      <c r="F47" s="507"/>
      <c r="G47"/>
      <c r="H47" s="507"/>
      <c r="I47"/>
    </row>
    <row r="48" spans="1:9" ht="14.1" customHeight="1" x14ac:dyDescent="0.2">
      <c r="A48" s="274" t="s">
        <v>143</v>
      </c>
      <c r="B48" s="275">
        <f>SUM(B11:B46)</f>
        <v>5895757</v>
      </c>
      <c r="C48" s="276">
        <f>B48/'- 43 -'!$I48*100</f>
        <v>0.24049728213898497</v>
      </c>
      <c r="D48" s="275">
        <f>SUM(D11:D46)</f>
        <v>851852250.23835158</v>
      </c>
      <c r="E48" s="276">
        <f>D48/'- 43 -'!$I48*100</f>
        <v>34.748404821688219</v>
      </c>
      <c r="F48" s="275">
        <f>SUM(F11:F46)</f>
        <v>12910340</v>
      </c>
      <c r="G48" s="276">
        <f>F48/'- 43 -'!$I48*100</f>
        <v>0.52663325192850108</v>
      </c>
      <c r="H48" s="275">
        <f>SUM(H11:H46)</f>
        <v>100480906</v>
      </c>
      <c r="I48" s="276">
        <f>H48/'- 43 -'!$I48*100</f>
        <v>4.0987755770569967</v>
      </c>
    </row>
    <row r="49" spans="1:9" ht="5.0999999999999996" customHeight="1" x14ac:dyDescent="0.2">
      <c r="A49" s="17" t="s">
        <v>1</v>
      </c>
      <c r="B49" s="18"/>
      <c r="C49" s="266"/>
      <c r="D49" s="18"/>
      <c r="E49" s="266"/>
      <c r="F49" s="18"/>
      <c r="G49" s="266"/>
      <c r="H49" s="18"/>
      <c r="I49" s="266"/>
    </row>
    <row r="50" spans="1:9" ht="14.1" customHeight="1" x14ac:dyDescent="0.2">
      <c r="A50" s="15" t="s">
        <v>144</v>
      </c>
      <c r="B50" s="16">
        <v>0</v>
      </c>
      <c r="C50" s="267">
        <f>B50/'- 43 -'!$I50*100</f>
        <v>0</v>
      </c>
      <c r="D50" s="16">
        <v>2075823</v>
      </c>
      <c r="E50" s="267">
        <f>D50/'- 43 -'!$I50*100</f>
        <v>57.548539234760952</v>
      </c>
      <c r="F50" s="16">
        <v>31220</v>
      </c>
      <c r="G50" s="267">
        <f>F50/'- 43 -'!$I50*100</f>
        <v>0.86551955292394245</v>
      </c>
      <c r="H50" s="16">
        <v>0</v>
      </c>
      <c r="I50" s="267">
        <f>H50/'- 43 -'!$I50*100</f>
        <v>0</v>
      </c>
    </row>
    <row r="51" spans="1:9" ht="14.1" customHeight="1" x14ac:dyDescent="0.2">
      <c r="A51" s="360" t="s">
        <v>514</v>
      </c>
      <c r="B51" s="272">
        <v>2460000</v>
      </c>
      <c r="C51" s="273">
        <f>B51/'- 43 -'!$I51*100</f>
        <v>7.3577134858513569</v>
      </c>
      <c r="D51" s="272">
        <v>0</v>
      </c>
      <c r="E51" s="273">
        <f>D51/'- 43 -'!$I51*100</f>
        <v>0</v>
      </c>
      <c r="F51" s="272">
        <v>1953747</v>
      </c>
      <c r="G51" s="273">
        <f>F51/'- 43 -'!$I51*100</f>
        <v>5.8435409145697683</v>
      </c>
      <c r="H51" s="272">
        <v>0</v>
      </c>
      <c r="I51" s="273">
        <f>H51/'- 43 -'!$I51*100</f>
        <v>0</v>
      </c>
    </row>
    <row r="52" spans="1:9" ht="50.1" customHeight="1" x14ac:dyDescent="0.2">
      <c r="A52" s="19"/>
      <c r="B52" s="19"/>
      <c r="C52" s="19"/>
      <c r="D52" s="19"/>
      <c r="E52" s="19"/>
      <c r="F52" s="19"/>
      <c r="G52" s="19"/>
      <c r="H52" s="19"/>
      <c r="I52" s="19"/>
    </row>
    <row r="53" spans="1:9" ht="14.45" customHeight="1" x14ac:dyDescent="0.2">
      <c r="A53" s="732" t="str">
        <f>"(1)  Municipal Government revenue is net of "&amp;"$"&amp;TEXT('- 41 -'!C48,"00,0")&amp;" in Education Property Tax Credit (EPTC) revenue paid directly to school divisions. See 
       page 41 for EPTC revenue."</f>
        <v>(1)  Municipal Government revenue is net of $209,033,352 in Education Property Tax Credit (EPTC) revenue paid directly to school divisions. See 
       page 41 for EPTC revenue.</v>
      </c>
      <c r="B53" s="732"/>
      <c r="C53" s="732"/>
      <c r="D53" s="732"/>
      <c r="E53" s="732"/>
      <c r="F53" s="732"/>
      <c r="G53" s="732"/>
      <c r="H53" s="732"/>
      <c r="I53" s="732"/>
    </row>
    <row r="54" spans="1:9" ht="12" customHeight="1" x14ac:dyDescent="0.2">
      <c r="A54" s="733"/>
      <c r="B54" s="733"/>
      <c r="C54" s="733"/>
      <c r="D54" s="733"/>
      <c r="E54" s="733"/>
      <c r="F54" s="733"/>
      <c r="G54" s="733"/>
      <c r="H54" s="733"/>
      <c r="I54" s="733"/>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7:C8"/>
    <mergeCell ref="D7:E8"/>
    <mergeCell ref="F7:G8"/>
    <mergeCell ref="H8:I8"/>
    <mergeCell ref="A53:I54"/>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63"/>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x14ac:dyDescent="0.2">
      <c r="A1" s="3"/>
    </row>
    <row r="2" spans="1:9" ht="15.95" customHeight="1" x14ac:dyDescent="0.2">
      <c r="A2" s="183"/>
      <c r="B2" s="53" t="str">
        <f>REVYEAR</f>
        <v>ANALYSIS OF OPERATING FUND REVENUE: 2018/2019 BUDGET</v>
      </c>
      <c r="C2" s="101"/>
      <c r="D2" s="101"/>
      <c r="E2" s="101"/>
      <c r="F2" s="101"/>
      <c r="G2" s="188"/>
      <c r="H2" s="102"/>
      <c r="I2" s="185" t="s">
        <v>3</v>
      </c>
    </row>
    <row r="3" spans="1:9" ht="15.95" customHeight="1" x14ac:dyDescent="0.2">
      <c r="A3" s="180"/>
    </row>
    <row r="4" spans="1:9" ht="15.95" customHeight="1" x14ac:dyDescent="0.2">
      <c r="B4" s="55"/>
      <c r="C4" s="4"/>
      <c r="D4" s="4"/>
      <c r="E4" s="4"/>
      <c r="F4" s="4"/>
      <c r="G4" s="4"/>
      <c r="H4" s="4"/>
      <c r="I4" s="4"/>
    </row>
    <row r="5" spans="1:9" ht="15.95" customHeight="1" x14ac:dyDescent="0.2">
      <c r="B5" s="4"/>
      <c r="C5" s="4"/>
      <c r="D5" s="4"/>
      <c r="E5" s="4"/>
      <c r="F5" s="4"/>
      <c r="G5" s="4"/>
      <c r="H5" s="4"/>
      <c r="I5" s="4"/>
    </row>
    <row r="6" spans="1:9" ht="15.95" customHeight="1" x14ac:dyDescent="0.2">
      <c r="B6" s="682" t="s">
        <v>457</v>
      </c>
      <c r="C6" s="700"/>
      <c r="D6" s="278"/>
      <c r="E6" s="278"/>
      <c r="F6" s="611" t="s">
        <v>458</v>
      </c>
      <c r="G6" s="612"/>
      <c r="H6" s="4"/>
      <c r="I6" s="734" t="s">
        <v>459</v>
      </c>
    </row>
    <row r="7" spans="1:9" ht="15.95" customHeight="1" x14ac:dyDescent="0.2">
      <c r="B7" s="672"/>
      <c r="C7" s="673"/>
      <c r="D7" s="315"/>
      <c r="E7" s="315"/>
      <c r="F7" s="678"/>
      <c r="G7" s="677"/>
      <c r="H7" s="4"/>
      <c r="I7" s="735"/>
    </row>
    <row r="8" spans="1:9" ht="15.95" customHeight="1" x14ac:dyDescent="0.2">
      <c r="A8" s="249"/>
      <c r="B8" s="674"/>
      <c r="C8" s="675"/>
      <c r="D8" s="605" t="s">
        <v>19</v>
      </c>
      <c r="E8" s="606"/>
      <c r="F8" s="613"/>
      <c r="G8" s="614"/>
      <c r="H8" s="4"/>
      <c r="I8" s="736"/>
    </row>
    <row r="9" spans="1:9" ht="15.95" customHeight="1" x14ac:dyDescent="0.2">
      <c r="A9" s="27" t="s">
        <v>37</v>
      </c>
      <c r="B9" s="473" t="s">
        <v>55</v>
      </c>
      <c r="C9" s="108" t="s">
        <v>39</v>
      </c>
      <c r="D9" s="189" t="s">
        <v>55</v>
      </c>
      <c r="E9" s="189" t="s">
        <v>39</v>
      </c>
      <c r="F9" s="181" t="s">
        <v>55</v>
      </c>
      <c r="G9" s="189" t="s">
        <v>39</v>
      </c>
      <c r="H9" s="4"/>
      <c r="I9" s="189" t="s">
        <v>55</v>
      </c>
    </row>
    <row r="10" spans="1:9" ht="5.0999999999999996" customHeight="1" x14ac:dyDescent="0.2">
      <c r="A10" s="29"/>
      <c r="B10" s="182"/>
      <c r="C10" s="182"/>
      <c r="D10" s="182"/>
      <c r="E10" s="182"/>
      <c r="F10" s="182"/>
      <c r="G10" s="3"/>
      <c r="H10" s="3"/>
      <c r="I10" s="182"/>
    </row>
    <row r="11" spans="1:9" ht="14.1" customHeight="1" x14ac:dyDescent="0.2">
      <c r="A11" s="271" t="s">
        <v>108</v>
      </c>
      <c r="B11" s="272">
        <v>14000</v>
      </c>
      <c r="C11" s="273">
        <f>B11/I11*100</f>
        <v>6.8312186889261606E-2</v>
      </c>
      <c r="D11" s="272">
        <v>81000</v>
      </c>
      <c r="E11" s="273">
        <f>D11/I11*100</f>
        <v>0.39523479557358498</v>
      </c>
      <c r="F11" s="272">
        <f>SUM('- 42 -'!$B11,'- 42 -'!$D11,'- 42 -'!$F11,'- 42 -'!$H11,B11,D11)</f>
        <v>7450102</v>
      </c>
      <c r="G11" s="273">
        <f>F11/I11*100</f>
        <v>36.352340012004404</v>
      </c>
      <c r="I11" s="272">
        <f>SUM('- 41 -'!$H11,F11)</f>
        <v>20494147</v>
      </c>
    </row>
    <row r="12" spans="1:9" ht="14.1" customHeight="1" x14ac:dyDescent="0.2">
      <c r="A12" s="15" t="s">
        <v>109</v>
      </c>
      <c r="B12" s="16">
        <v>143300</v>
      </c>
      <c r="C12" s="267">
        <f t="shared" ref="C12:C46" si="0">B12/I12*100</f>
        <v>0.40011927072413295</v>
      </c>
      <c r="D12" s="16">
        <v>182000</v>
      </c>
      <c r="E12" s="267">
        <f t="shared" ref="E12:E48" si="1">D12/I12*100</f>
        <v>0.50817660343190652</v>
      </c>
      <c r="F12" s="16">
        <f>SUM('- 42 -'!$B12,'- 42 -'!$D12,'- 42 -'!$F12,'- 42 -'!$H12,B12,D12)</f>
        <v>14383436</v>
      </c>
      <c r="G12" s="267">
        <f t="shared" ref="G12:G48" si="2">F12/I12*100</f>
        <v>40.161129956924214</v>
      </c>
      <c r="I12" s="16">
        <f>SUM('- 41 -'!$H12,F12)</f>
        <v>35814321</v>
      </c>
    </row>
    <row r="13" spans="1:9" ht="14.1" customHeight="1" x14ac:dyDescent="0.2">
      <c r="A13" s="271" t="s">
        <v>110</v>
      </c>
      <c r="B13" s="272">
        <v>846400</v>
      </c>
      <c r="C13" s="273">
        <f t="shared" si="0"/>
        <v>0.81166636139674897</v>
      </c>
      <c r="D13" s="272">
        <v>173700</v>
      </c>
      <c r="E13" s="273">
        <f t="shared" si="1"/>
        <v>0.16657188914770238</v>
      </c>
      <c r="F13" s="272">
        <f>SUM('- 42 -'!$B13,'- 42 -'!$D13,'- 42 -'!$F13,'- 42 -'!$H13,B13,D13)</f>
        <v>41187673</v>
      </c>
      <c r="G13" s="273">
        <f t="shared" si="2"/>
        <v>39.497458268323626</v>
      </c>
      <c r="I13" s="272">
        <f>SUM('- 41 -'!$H13,F13)</f>
        <v>104279300</v>
      </c>
    </row>
    <row r="14" spans="1:9" ht="14.1" customHeight="1" x14ac:dyDescent="0.2">
      <c r="A14" s="15" t="s">
        <v>319</v>
      </c>
      <c r="B14" s="16">
        <v>89802</v>
      </c>
      <c r="C14" s="267">
        <f t="shared" si="0"/>
        <v>9.5406193179533402E-2</v>
      </c>
      <c r="D14" s="16">
        <v>10000</v>
      </c>
      <c r="E14" s="267">
        <f t="shared" si="1"/>
        <v>1.0624061065403154E-2</v>
      </c>
      <c r="F14" s="16">
        <f>SUM('- 42 -'!$B14,'- 42 -'!$D14,'- 42 -'!$F14,'- 42 -'!$H14,B14,D14)</f>
        <v>28609138.238351613</v>
      </c>
      <c r="G14" s="267">
        <f t="shared" si="2"/>
        <v>30.394523167280795</v>
      </c>
      <c r="I14" s="16">
        <f>SUM('- 41 -'!$H14,F14)</f>
        <v>94125965</v>
      </c>
    </row>
    <row r="15" spans="1:9" ht="14.1" customHeight="1" x14ac:dyDescent="0.2">
      <c r="A15" s="271" t="s">
        <v>111</v>
      </c>
      <c r="B15" s="272">
        <v>46000</v>
      </c>
      <c r="C15" s="273">
        <f t="shared" si="0"/>
        <v>0.21517169040330053</v>
      </c>
      <c r="D15" s="272">
        <v>12000</v>
      </c>
      <c r="E15" s="273">
        <f t="shared" si="1"/>
        <v>5.6131745322600131E-2</v>
      </c>
      <c r="F15" s="272">
        <f>SUM('- 42 -'!$B15,'- 42 -'!$D15,'- 42 -'!$F15,'- 42 -'!$H15,B15,D15)</f>
        <v>8615780</v>
      </c>
      <c r="G15" s="273">
        <f t="shared" si="2"/>
        <v>40.301564059629314</v>
      </c>
      <c r="I15" s="272">
        <f>SUM('- 41 -'!$H15,F15)</f>
        <v>21378277</v>
      </c>
    </row>
    <row r="16" spans="1:9" ht="14.1" customHeight="1" x14ac:dyDescent="0.2">
      <c r="A16" s="15" t="s">
        <v>112</v>
      </c>
      <c r="B16" s="16">
        <v>207900</v>
      </c>
      <c r="C16" s="267">
        <f t="shared" si="0"/>
        <v>1.3869325734623961</v>
      </c>
      <c r="D16" s="16">
        <v>86999</v>
      </c>
      <c r="E16" s="267">
        <f t="shared" si="1"/>
        <v>0.58038358325471384</v>
      </c>
      <c r="F16" s="16">
        <f>SUM('- 42 -'!$B16,'- 42 -'!$D16,'- 42 -'!$F16,'- 42 -'!$H16,B16,D16)</f>
        <v>4062637</v>
      </c>
      <c r="G16" s="267">
        <f t="shared" si="2"/>
        <v>27.102470367741937</v>
      </c>
      <c r="I16" s="16">
        <f>SUM('- 41 -'!$H16,F16)</f>
        <v>14989914</v>
      </c>
    </row>
    <row r="17" spans="1:9" ht="14.1" customHeight="1" x14ac:dyDescent="0.2">
      <c r="A17" s="271" t="s">
        <v>113</v>
      </c>
      <c r="B17" s="272">
        <v>0</v>
      </c>
      <c r="C17" s="273">
        <f t="shared" si="0"/>
        <v>0</v>
      </c>
      <c r="D17" s="272">
        <v>21600</v>
      </c>
      <c r="E17" s="273">
        <f t="shared" si="1"/>
        <v>0.11506602019451273</v>
      </c>
      <c r="F17" s="272">
        <f>SUM('- 42 -'!$B17,'- 42 -'!$D17,'- 42 -'!$F17,'- 42 -'!$H17,B17,D17)</f>
        <v>8842630</v>
      </c>
      <c r="G17" s="273">
        <f t="shared" si="2"/>
        <v>47.105844544102041</v>
      </c>
      <c r="I17" s="272">
        <f>SUM('- 41 -'!$H17,F17)</f>
        <v>18771832</v>
      </c>
    </row>
    <row r="18" spans="1:9" ht="14.1" customHeight="1" x14ac:dyDescent="0.2">
      <c r="A18" s="15" t="s">
        <v>114</v>
      </c>
      <c r="B18" s="16">
        <v>4591360</v>
      </c>
      <c r="C18" s="267">
        <f t="shared" si="0"/>
        <v>3.2684644901382334</v>
      </c>
      <c r="D18" s="16">
        <v>650000</v>
      </c>
      <c r="E18" s="267">
        <f t="shared" si="1"/>
        <v>0.46271734705835565</v>
      </c>
      <c r="F18" s="16">
        <f>SUM('- 42 -'!$B18,'- 42 -'!$D18,'- 42 -'!$F18,'- 42 -'!$H18,B18,D18)</f>
        <v>91144184</v>
      </c>
      <c r="G18" s="267">
        <f t="shared" si="2"/>
        <v>64.883069261967108</v>
      </c>
      <c r="I18" s="16">
        <f>SUM('- 41 -'!$H18,F18)</f>
        <v>140474526</v>
      </c>
    </row>
    <row r="19" spans="1:9" ht="14.1" customHeight="1" x14ac:dyDescent="0.2">
      <c r="A19" s="271" t="s">
        <v>115</v>
      </c>
      <c r="B19" s="272">
        <v>11000</v>
      </c>
      <c r="C19" s="273">
        <f t="shared" si="0"/>
        <v>2.1569353619218905E-2</v>
      </c>
      <c r="D19" s="272">
        <v>409000</v>
      </c>
      <c r="E19" s="273">
        <f t="shared" si="1"/>
        <v>0.80198778456913933</v>
      </c>
      <c r="F19" s="272">
        <f>SUM('- 42 -'!$B19,'- 42 -'!$D19,'- 42 -'!$F19,'- 42 -'!$H19,B19,D19)</f>
        <v>16832828</v>
      </c>
      <c r="G19" s="273">
        <f t="shared" si="2"/>
        <v>33.006656322135399</v>
      </c>
      <c r="I19" s="272">
        <f>SUM('- 41 -'!$H19,F19)</f>
        <v>50998283</v>
      </c>
    </row>
    <row r="20" spans="1:9" ht="14.1" customHeight="1" x14ac:dyDescent="0.2">
      <c r="A20" s="15" t="s">
        <v>116</v>
      </c>
      <c r="B20" s="16">
        <v>415000</v>
      </c>
      <c r="C20" s="267">
        <f t="shared" si="0"/>
        <v>0.45996120809088392</v>
      </c>
      <c r="D20" s="16">
        <v>169400</v>
      </c>
      <c r="E20" s="267">
        <f t="shared" si="1"/>
        <v>0.18775284012191742</v>
      </c>
      <c r="F20" s="16">
        <f>SUM('- 42 -'!$B20,'- 42 -'!$D20,'- 42 -'!$F20,'- 42 -'!$H20,B20,D20)</f>
        <v>27694032</v>
      </c>
      <c r="G20" s="267">
        <f t="shared" si="2"/>
        <v>30.694410640066501</v>
      </c>
      <c r="I20" s="16">
        <f>SUM('- 41 -'!$H20,F20)</f>
        <v>90225000</v>
      </c>
    </row>
    <row r="21" spans="1:9" ht="14.1" customHeight="1" x14ac:dyDescent="0.2">
      <c r="A21" s="271" t="s">
        <v>117</v>
      </c>
      <c r="B21" s="272">
        <v>191800</v>
      </c>
      <c r="C21" s="273">
        <f t="shared" si="0"/>
        <v>0.50078328981723241</v>
      </c>
      <c r="D21" s="272">
        <v>137394</v>
      </c>
      <c r="E21" s="273">
        <f t="shared" si="1"/>
        <v>0.35873107049608355</v>
      </c>
      <c r="F21" s="272">
        <f>SUM('- 42 -'!$B21,'- 42 -'!$D21,'- 42 -'!$F21,'- 42 -'!$H21,B21,D21)</f>
        <v>15914005</v>
      </c>
      <c r="G21" s="273">
        <f t="shared" si="2"/>
        <v>41.550926892950393</v>
      </c>
      <c r="I21" s="272">
        <f>SUM('- 41 -'!$H21,F21)</f>
        <v>38300000</v>
      </c>
    </row>
    <row r="22" spans="1:9" ht="14.1" customHeight="1" x14ac:dyDescent="0.2">
      <c r="A22" s="15" t="s">
        <v>118</v>
      </c>
      <c r="B22" s="16">
        <v>0</v>
      </c>
      <c r="C22" s="267">
        <f t="shared" si="0"/>
        <v>0</v>
      </c>
      <c r="D22" s="16">
        <v>156500</v>
      </c>
      <c r="E22" s="267">
        <f t="shared" si="1"/>
        <v>0.75618915455636582</v>
      </c>
      <c r="F22" s="16">
        <f>SUM('- 42 -'!$B22,'- 42 -'!$D22,'- 42 -'!$F22,'- 42 -'!$H22,B22,D22)</f>
        <v>3268173</v>
      </c>
      <c r="G22" s="267">
        <f t="shared" si="2"/>
        <v>15.791418388587486</v>
      </c>
      <c r="I22" s="16">
        <f>SUM('- 41 -'!$H22,F22)</f>
        <v>20695880</v>
      </c>
    </row>
    <row r="23" spans="1:9" ht="14.1" customHeight="1" x14ac:dyDescent="0.2">
      <c r="A23" s="271" t="s">
        <v>119</v>
      </c>
      <c r="B23" s="272">
        <v>239500</v>
      </c>
      <c r="C23" s="273">
        <f t="shared" si="0"/>
        <v>1.4057352943506991</v>
      </c>
      <c r="D23" s="272">
        <v>46000</v>
      </c>
      <c r="E23" s="273">
        <f t="shared" si="1"/>
        <v>0.26999508785023868</v>
      </c>
      <c r="F23" s="272">
        <f>SUM('- 42 -'!$B23,'- 42 -'!$D23,'- 42 -'!$F23,'- 42 -'!$H23,B23,D23)</f>
        <v>5423653</v>
      </c>
      <c r="G23" s="273">
        <f t="shared" si="2"/>
        <v>31.833905830526316</v>
      </c>
      <c r="I23" s="272">
        <f>SUM('- 41 -'!$H23,F23)</f>
        <v>17037347</v>
      </c>
    </row>
    <row r="24" spans="1:9" ht="14.1" customHeight="1" x14ac:dyDescent="0.2">
      <c r="A24" s="15" t="s">
        <v>120</v>
      </c>
      <c r="B24" s="16">
        <v>365200</v>
      </c>
      <c r="C24" s="267">
        <f t="shared" si="0"/>
        <v>0.61921537205891353</v>
      </c>
      <c r="D24" s="16">
        <v>102100</v>
      </c>
      <c r="E24" s="267">
        <f t="shared" si="1"/>
        <v>0.17311579815776304</v>
      </c>
      <c r="F24" s="16">
        <f>SUM('- 42 -'!$B24,'- 42 -'!$D24,'- 42 -'!$F24,'- 42 -'!$H24,B24,D24)</f>
        <v>25689486</v>
      </c>
      <c r="G24" s="267">
        <f t="shared" si="2"/>
        <v>43.55784400737199</v>
      </c>
      <c r="I24" s="16">
        <f>SUM('- 41 -'!$H24,F24)</f>
        <v>58977864</v>
      </c>
    </row>
    <row r="25" spans="1:9" ht="14.1" customHeight="1" x14ac:dyDescent="0.2">
      <c r="A25" s="271" t="s">
        <v>121</v>
      </c>
      <c r="B25" s="272">
        <v>2408114</v>
      </c>
      <c r="C25" s="273">
        <f t="shared" si="0"/>
        <v>1.2685091307447514</v>
      </c>
      <c r="D25" s="272">
        <v>75000</v>
      </c>
      <c r="E25" s="273">
        <f t="shared" si="1"/>
        <v>3.9507342595016835E-2</v>
      </c>
      <c r="F25" s="272">
        <f>SUM('- 42 -'!$B25,'- 42 -'!$D25,'- 42 -'!$F25,'- 42 -'!$H25,B25,D25)</f>
        <v>77407466</v>
      </c>
      <c r="G25" s="273">
        <f t="shared" si="2"/>
        <v>40.775510382321563</v>
      </c>
      <c r="I25" s="272">
        <f>SUM('- 41 -'!$H25,F25)</f>
        <v>189838129</v>
      </c>
    </row>
    <row r="26" spans="1:9" ht="14.1" customHeight="1" x14ac:dyDescent="0.2">
      <c r="A26" s="15" t="s">
        <v>122</v>
      </c>
      <c r="B26" s="16">
        <v>553530</v>
      </c>
      <c r="C26" s="267">
        <f t="shared" si="0"/>
        <v>1.3174921364739343</v>
      </c>
      <c r="D26" s="16">
        <v>225000</v>
      </c>
      <c r="E26" s="267">
        <f t="shared" si="1"/>
        <v>0.53553688274643685</v>
      </c>
      <c r="F26" s="16">
        <f>SUM('- 42 -'!$B26,'- 42 -'!$D26,'- 42 -'!$F26,'- 42 -'!$H26,B26,D26)</f>
        <v>15202401</v>
      </c>
      <c r="G26" s="267">
        <f t="shared" si="2"/>
        <v>36.184206408005842</v>
      </c>
      <c r="I26" s="16">
        <f>SUM('- 41 -'!$H26,F26)</f>
        <v>42013913</v>
      </c>
    </row>
    <row r="27" spans="1:9" ht="14.1" customHeight="1" x14ac:dyDescent="0.2">
      <c r="A27" s="271" t="s">
        <v>123</v>
      </c>
      <c r="B27" s="272">
        <v>176500</v>
      </c>
      <c r="C27" s="273">
        <f t="shared" si="0"/>
        <v>0.41615636425805819</v>
      </c>
      <c r="D27" s="272">
        <v>49000</v>
      </c>
      <c r="E27" s="273">
        <f t="shared" si="1"/>
        <v>0.11553349489317195</v>
      </c>
      <c r="F27" s="272">
        <f>SUM('- 42 -'!$B27,'- 42 -'!$D27,'- 42 -'!$F27,'- 42 -'!$H27,B27,D27)</f>
        <v>7173454</v>
      </c>
      <c r="G27" s="273">
        <f t="shared" si="2"/>
        <v>16.91375940970212</v>
      </c>
      <c r="I27" s="272">
        <f>SUM('- 41 -'!$H27,F27)</f>
        <v>42411943</v>
      </c>
    </row>
    <row r="28" spans="1:9" ht="14.1" customHeight="1" x14ac:dyDescent="0.2">
      <c r="A28" s="15" t="s">
        <v>124</v>
      </c>
      <c r="B28" s="16">
        <v>14000</v>
      </c>
      <c r="C28" s="267">
        <f t="shared" si="0"/>
        <v>4.820802672597907E-2</v>
      </c>
      <c r="D28" s="16">
        <v>7000</v>
      </c>
      <c r="E28" s="267">
        <f t="shared" si="1"/>
        <v>2.4104013362989535E-2</v>
      </c>
      <c r="F28" s="16">
        <f>SUM('- 42 -'!$B28,'- 42 -'!$D28,'- 42 -'!$F28,'- 42 -'!$H28,B28,D28)</f>
        <v>15545463</v>
      </c>
      <c r="G28" s="267">
        <f t="shared" si="2"/>
        <v>53.529721126551344</v>
      </c>
      <c r="I28" s="16">
        <f>SUM('- 41 -'!$H28,F28)</f>
        <v>29040807</v>
      </c>
    </row>
    <row r="29" spans="1:9" ht="14.1" customHeight="1" x14ac:dyDescent="0.2">
      <c r="A29" s="271" t="s">
        <v>125</v>
      </c>
      <c r="B29" s="272">
        <v>3285000</v>
      </c>
      <c r="C29" s="273">
        <f t="shared" si="0"/>
        <v>1.8934518394789515</v>
      </c>
      <c r="D29" s="272">
        <v>202000</v>
      </c>
      <c r="E29" s="273">
        <f t="shared" si="1"/>
        <v>0.11643143731346976</v>
      </c>
      <c r="F29" s="272">
        <f>SUM('- 42 -'!$B29,'- 42 -'!$D29,'- 42 -'!$F29,'- 42 -'!$H29,B29,D29)</f>
        <v>87746340</v>
      </c>
      <c r="G29" s="273">
        <f t="shared" si="2"/>
        <v>50.576398441566361</v>
      </c>
      <c r="I29" s="272">
        <f>SUM('- 41 -'!$H29,F29)</f>
        <v>173492662</v>
      </c>
    </row>
    <row r="30" spans="1:9" ht="14.1" customHeight="1" x14ac:dyDescent="0.2">
      <c r="A30" s="15" t="s">
        <v>126</v>
      </c>
      <c r="B30" s="16">
        <v>0</v>
      </c>
      <c r="C30" s="267">
        <f t="shared" si="0"/>
        <v>0</v>
      </c>
      <c r="D30" s="16">
        <v>12000</v>
      </c>
      <c r="E30" s="267">
        <f t="shared" si="1"/>
        <v>7.7565708820656054E-2</v>
      </c>
      <c r="F30" s="16">
        <f>SUM('- 42 -'!$B30,'- 42 -'!$D30,'- 42 -'!$F30,'- 42 -'!$H30,B30,D30)</f>
        <v>6487372</v>
      </c>
      <c r="G30" s="267">
        <f t="shared" si="2"/>
        <v>41.93313396360643</v>
      </c>
      <c r="I30" s="16">
        <f>SUM('- 41 -'!$H30,F30)</f>
        <v>15470754</v>
      </c>
    </row>
    <row r="31" spans="1:9" ht="14.1" customHeight="1" x14ac:dyDescent="0.2">
      <c r="A31" s="271" t="s">
        <v>127</v>
      </c>
      <c r="B31" s="272">
        <v>5000</v>
      </c>
      <c r="C31" s="273">
        <f t="shared" si="0"/>
        <v>1.2474361133702871E-2</v>
      </c>
      <c r="D31" s="272">
        <v>28000</v>
      </c>
      <c r="E31" s="273">
        <f t="shared" si="1"/>
        <v>6.9856422348736083E-2</v>
      </c>
      <c r="F31" s="272">
        <f>SUM('- 42 -'!$B31,'- 42 -'!$D31,'- 42 -'!$F31,'- 42 -'!$H31,B31,D31)</f>
        <v>16219684</v>
      </c>
      <c r="G31" s="273">
        <f t="shared" si="2"/>
        <v>40.466039138108471</v>
      </c>
      <c r="I31" s="272">
        <f>SUM('- 41 -'!$H31,F31)</f>
        <v>40082213</v>
      </c>
    </row>
    <row r="32" spans="1:9" ht="14.1" customHeight="1" x14ac:dyDescent="0.2">
      <c r="A32" s="15" t="s">
        <v>128</v>
      </c>
      <c r="B32" s="16">
        <v>3400</v>
      </c>
      <c r="C32" s="267">
        <f t="shared" si="0"/>
        <v>1.0854661226182758E-2</v>
      </c>
      <c r="D32" s="16">
        <v>97400</v>
      </c>
      <c r="E32" s="267">
        <f t="shared" si="1"/>
        <v>0.31095411865594136</v>
      </c>
      <c r="F32" s="16">
        <f>SUM('- 42 -'!$B32,'- 42 -'!$D32,'- 42 -'!$F32,'- 42 -'!$H32,B32,D32)</f>
        <v>14387283</v>
      </c>
      <c r="G32" s="267">
        <f t="shared" si="2"/>
        <v>45.932083214770103</v>
      </c>
      <c r="I32" s="16">
        <f>SUM('- 41 -'!$H32,F32)</f>
        <v>31322949</v>
      </c>
    </row>
    <row r="33" spans="1:11" ht="14.1" customHeight="1" x14ac:dyDescent="0.2">
      <c r="A33" s="271" t="s">
        <v>129</v>
      </c>
      <c r="B33" s="272">
        <v>154800</v>
      </c>
      <c r="C33" s="273">
        <f t="shared" si="0"/>
        <v>0.53491727822201796</v>
      </c>
      <c r="D33" s="272">
        <v>67500</v>
      </c>
      <c r="E33" s="273">
        <f t="shared" si="1"/>
        <v>0.23324881317820545</v>
      </c>
      <c r="F33" s="272">
        <f>SUM('- 42 -'!$B33,'- 42 -'!$D33,'- 42 -'!$F33,'- 42 -'!$H33,B33,D33)</f>
        <v>11906138</v>
      </c>
      <c r="G33" s="273">
        <f t="shared" si="2"/>
        <v>41.142111970902711</v>
      </c>
      <c r="I33" s="272">
        <f>SUM('- 41 -'!$H33,F33)</f>
        <v>28939054</v>
      </c>
    </row>
    <row r="34" spans="1:11" ht="14.1" customHeight="1" x14ac:dyDescent="0.2">
      <c r="A34" s="15" t="s">
        <v>130</v>
      </c>
      <c r="B34" s="16">
        <v>163850</v>
      </c>
      <c r="C34" s="267">
        <f t="shared" si="0"/>
        <v>0.51223367834676159</v>
      </c>
      <c r="D34" s="16">
        <v>36621</v>
      </c>
      <c r="E34" s="267">
        <f t="shared" si="1"/>
        <v>0.11448586838411205</v>
      </c>
      <c r="F34" s="16">
        <f>SUM('- 42 -'!$B34,'- 42 -'!$D34,'- 42 -'!$F34,'- 42 -'!$H34,B34,D34)</f>
        <v>16154596</v>
      </c>
      <c r="G34" s="267">
        <f t="shared" si="2"/>
        <v>50.503070682245244</v>
      </c>
      <c r="I34" s="16">
        <f>SUM('- 41 -'!$H34,F34)</f>
        <v>31987354</v>
      </c>
    </row>
    <row r="35" spans="1:11" ht="14.1" customHeight="1" x14ac:dyDescent="0.2">
      <c r="A35" s="271" t="s">
        <v>131</v>
      </c>
      <c r="B35" s="272">
        <v>880000</v>
      </c>
      <c r="C35" s="273">
        <f t="shared" si="0"/>
        <v>0.45462288602811929</v>
      </c>
      <c r="D35" s="272">
        <v>39346</v>
      </c>
      <c r="E35" s="273">
        <f t="shared" si="1"/>
        <v>2.0326809174616343E-2</v>
      </c>
      <c r="F35" s="272">
        <f>SUM('- 42 -'!$B35,'- 42 -'!$D35,'- 42 -'!$F35,'- 42 -'!$H35,B35,D35)</f>
        <v>67998404</v>
      </c>
      <c r="G35" s="273">
        <f t="shared" si="2"/>
        <v>35.129125763393191</v>
      </c>
      <c r="I35" s="272">
        <f>SUM('- 41 -'!$H35,F35)</f>
        <v>193567026</v>
      </c>
    </row>
    <row r="36" spans="1:11" ht="14.1" customHeight="1" x14ac:dyDescent="0.2">
      <c r="A36" s="15" t="s">
        <v>132</v>
      </c>
      <c r="B36" s="16">
        <v>32100</v>
      </c>
      <c r="C36" s="267">
        <f t="shared" si="0"/>
        <v>0.12937288408834435</v>
      </c>
      <c r="D36" s="16">
        <v>63420</v>
      </c>
      <c r="E36" s="267">
        <f t="shared" si="1"/>
        <v>0.25560212800257942</v>
      </c>
      <c r="F36" s="16">
        <f>SUM('- 42 -'!$B36,'- 42 -'!$D36,'- 42 -'!$F36,'- 42 -'!$H36,B36,D36)</f>
        <v>11393877</v>
      </c>
      <c r="G36" s="267">
        <f t="shared" si="2"/>
        <v>45.920832661615343</v>
      </c>
      <c r="I36" s="16">
        <f>SUM('- 41 -'!$H36,F36)</f>
        <v>24812000</v>
      </c>
    </row>
    <row r="37" spans="1:11" ht="14.1" customHeight="1" x14ac:dyDescent="0.2">
      <c r="A37" s="271" t="s">
        <v>133</v>
      </c>
      <c r="B37" s="272">
        <v>0</v>
      </c>
      <c r="C37" s="273">
        <f t="shared" si="0"/>
        <v>0</v>
      </c>
      <c r="D37" s="272">
        <v>56000</v>
      </c>
      <c r="E37" s="273">
        <f t="shared" si="1"/>
        <v>0.1034011595701466</v>
      </c>
      <c r="F37" s="272">
        <f>SUM('- 42 -'!$B37,'- 42 -'!$D37,'- 42 -'!$F37,'- 42 -'!$H37,B37,D37)</f>
        <v>17140967</v>
      </c>
      <c r="G37" s="273">
        <f t="shared" si="2"/>
        <v>31.649926142028878</v>
      </c>
      <c r="I37" s="272">
        <f>SUM('- 41 -'!$H37,F37)</f>
        <v>54158000</v>
      </c>
    </row>
    <row r="38" spans="1:11" ht="14.1" customHeight="1" x14ac:dyDescent="0.2">
      <c r="A38" s="15" t="s">
        <v>134</v>
      </c>
      <c r="B38" s="16">
        <v>1363600</v>
      </c>
      <c r="C38" s="267">
        <f t="shared" si="0"/>
        <v>0.91807030455278971</v>
      </c>
      <c r="D38" s="16">
        <v>53000</v>
      </c>
      <c r="E38" s="267">
        <f t="shared" si="1"/>
        <v>3.5683284057859976E-2</v>
      </c>
      <c r="F38" s="16">
        <f>SUM('- 42 -'!$B38,'- 42 -'!$D38,'- 42 -'!$F38,'- 42 -'!$H38,B38,D38)</f>
        <v>49217916</v>
      </c>
      <c r="G38" s="267">
        <f t="shared" si="2"/>
        <v>33.136922214413048</v>
      </c>
      <c r="I38" s="16">
        <f>SUM('- 41 -'!$H38,F38)</f>
        <v>148528930</v>
      </c>
    </row>
    <row r="39" spans="1:11" ht="14.1" customHeight="1" x14ac:dyDescent="0.2">
      <c r="A39" s="271" t="s">
        <v>135</v>
      </c>
      <c r="B39" s="272">
        <v>0</v>
      </c>
      <c r="C39" s="273">
        <f t="shared" si="0"/>
        <v>0</v>
      </c>
      <c r="D39" s="272">
        <v>57376</v>
      </c>
      <c r="E39" s="273">
        <f t="shared" si="1"/>
        <v>0.24350838129569072</v>
      </c>
      <c r="F39" s="272">
        <f>SUM('- 42 -'!$B39,'- 42 -'!$D39,'- 42 -'!$F39,'- 42 -'!$H39,B39,D39)</f>
        <v>11584938</v>
      </c>
      <c r="G39" s="273">
        <f t="shared" si="2"/>
        <v>49.167413200483416</v>
      </c>
      <c r="I39" s="272">
        <f>SUM('- 41 -'!$H39,F39)</f>
        <v>23562228</v>
      </c>
    </row>
    <row r="40" spans="1:11" ht="14.1" customHeight="1" x14ac:dyDescent="0.2">
      <c r="A40" s="15" t="s">
        <v>136</v>
      </c>
      <c r="B40" s="16">
        <v>2129992</v>
      </c>
      <c r="C40" s="267">
        <f t="shared" si="0"/>
        <v>1.9399599273814714</v>
      </c>
      <c r="D40" s="16">
        <v>757602</v>
      </c>
      <c r="E40" s="267">
        <f t="shared" si="1"/>
        <v>0.69001081736647718</v>
      </c>
      <c r="F40" s="16">
        <f>SUM('- 42 -'!$B40,'- 42 -'!$D40,'- 42 -'!$F40,'- 42 -'!$H40,B40,D40)</f>
        <v>52942209</v>
      </c>
      <c r="G40" s="267">
        <f t="shared" si="2"/>
        <v>48.218849614014836</v>
      </c>
      <c r="I40" s="16">
        <f>SUM('- 41 -'!$H40,F40)</f>
        <v>109795670</v>
      </c>
    </row>
    <row r="41" spans="1:11" ht="14.1" customHeight="1" x14ac:dyDescent="0.2">
      <c r="A41" s="271" t="s">
        <v>137</v>
      </c>
      <c r="B41" s="272">
        <v>0</v>
      </c>
      <c r="C41" s="273">
        <f t="shared" si="0"/>
        <v>0</v>
      </c>
      <c r="D41" s="272">
        <v>84000</v>
      </c>
      <c r="E41" s="273">
        <f t="shared" si="1"/>
        <v>0.12525120695194297</v>
      </c>
      <c r="F41" s="272">
        <f>SUM('- 42 -'!$B41,'- 42 -'!$D41,'- 42 -'!$F41,'- 42 -'!$H41,B41,D41)</f>
        <v>29412700</v>
      </c>
      <c r="G41" s="273">
        <f t="shared" si="2"/>
        <v>43.856859222802541</v>
      </c>
      <c r="I41" s="272">
        <f>SUM('- 41 -'!$H41,F41)</f>
        <v>67065222</v>
      </c>
    </row>
    <row r="42" spans="1:11" ht="14.1" customHeight="1" x14ac:dyDescent="0.2">
      <c r="A42" s="15" t="s">
        <v>138</v>
      </c>
      <c r="B42" s="16">
        <v>266700</v>
      </c>
      <c r="C42" s="267">
        <f t="shared" si="0"/>
        <v>1.2485632393769599</v>
      </c>
      <c r="D42" s="16">
        <v>98800</v>
      </c>
      <c r="E42" s="267">
        <f t="shared" si="1"/>
        <v>0.46253486333124721</v>
      </c>
      <c r="F42" s="16">
        <f>SUM('- 42 -'!$B42,'- 42 -'!$D42,'- 42 -'!$F42,'- 42 -'!$H42,B42,D42)</f>
        <v>6843382</v>
      </c>
      <c r="G42" s="267">
        <f t="shared" si="2"/>
        <v>32.037477308638842</v>
      </c>
      <c r="I42" s="16">
        <f>SUM('- 41 -'!$H42,F42)</f>
        <v>21360552</v>
      </c>
    </row>
    <row r="43" spans="1:11" ht="14.1" customHeight="1" x14ac:dyDescent="0.2">
      <c r="A43" s="271" t="s">
        <v>139</v>
      </c>
      <c r="B43" s="272">
        <v>25590</v>
      </c>
      <c r="C43" s="273">
        <f t="shared" si="0"/>
        <v>0.18535611371318708</v>
      </c>
      <c r="D43" s="272">
        <v>20242</v>
      </c>
      <c r="E43" s="273">
        <f t="shared" si="1"/>
        <v>0.14661893137093918</v>
      </c>
      <c r="F43" s="272">
        <f>SUM('- 42 -'!$B43,'- 42 -'!$D43,'- 42 -'!$F43,'- 42 -'!$H43,B43,D43)</f>
        <v>6140191</v>
      </c>
      <c r="G43" s="273">
        <f t="shared" si="2"/>
        <v>44.475261477791634</v>
      </c>
      <c r="I43" s="272">
        <f>SUM('- 41 -'!$H43,F43)</f>
        <v>13805857</v>
      </c>
    </row>
    <row r="44" spans="1:11" ht="14.1" customHeight="1" x14ac:dyDescent="0.2">
      <c r="A44" s="15" t="s">
        <v>140</v>
      </c>
      <c r="B44" s="16">
        <v>0</v>
      </c>
      <c r="C44" s="267">
        <f t="shared" si="0"/>
        <v>0</v>
      </c>
      <c r="D44" s="16">
        <v>15900</v>
      </c>
      <c r="E44" s="267">
        <f t="shared" si="1"/>
        <v>0.13867070782762134</v>
      </c>
      <c r="F44" s="16">
        <f>SUM('- 42 -'!$B44,'- 42 -'!$D44,'- 42 -'!$F44,'- 42 -'!$H44,B44,D44)</f>
        <v>2787354</v>
      </c>
      <c r="G44" s="267">
        <f t="shared" si="2"/>
        <v>24.309707682147899</v>
      </c>
      <c r="I44" s="16">
        <f>SUM('- 41 -'!$H44,F44)</f>
        <v>11466012</v>
      </c>
    </row>
    <row r="45" spans="1:11" ht="14.1" customHeight="1" x14ac:dyDescent="0.2">
      <c r="A45" s="271" t="s">
        <v>141</v>
      </c>
      <c r="B45" s="272">
        <v>273300</v>
      </c>
      <c r="C45" s="273">
        <f t="shared" si="0"/>
        <v>1.2881067870219354</v>
      </c>
      <c r="D45" s="272">
        <v>16100</v>
      </c>
      <c r="E45" s="273">
        <f t="shared" si="1"/>
        <v>7.5881885367922272E-2</v>
      </c>
      <c r="F45" s="272">
        <f>SUM('- 42 -'!$B45,'- 42 -'!$D45,'- 42 -'!$F45,'- 42 -'!$H45,B45,D45)</f>
        <v>7595570</v>
      </c>
      <c r="G45" s="273">
        <f t="shared" si="2"/>
        <v>35.799141120747166</v>
      </c>
      <c r="I45" s="272">
        <f>SUM('- 41 -'!$H45,F45)</f>
        <v>21217185</v>
      </c>
    </row>
    <row r="46" spans="1:11" ht="14.1" customHeight="1" x14ac:dyDescent="0.2">
      <c r="A46" s="15" t="s">
        <v>142</v>
      </c>
      <c r="B46" s="16">
        <v>1701500</v>
      </c>
      <c r="C46" s="267">
        <f t="shared" si="0"/>
        <v>0.41400557879512817</v>
      </c>
      <c r="D46" s="16">
        <v>782000</v>
      </c>
      <c r="E46" s="267">
        <f t="shared" si="1"/>
        <v>0.19027467682503099</v>
      </c>
      <c r="F46" s="16">
        <f>SUM('- 42 -'!$B46,'- 42 -'!$D46,'- 42 -'!$F46,'- 42 -'!$H46,B46,D46)</f>
        <v>166413029</v>
      </c>
      <c r="G46" s="267">
        <f t="shared" si="2"/>
        <v>40.491285565792211</v>
      </c>
      <c r="I46" s="16">
        <f>SUM('- 41 -'!$H46,F46)</f>
        <v>410984800</v>
      </c>
    </row>
    <row r="47" spans="1:11" ht="5.0999999999999996" customHeight="1" x14ac:dyDescent="0.2">
      <c r="A47"/>
      <c r="B47" s="507"/>
      <c r="C47"/>
      <c r="D47" s="507"/>
      <c r="E47"/>
      <c r="F47"/>
      <c r="G47"/>
      <c r="I47"/>
    </row>
    <row r="48" spans="1:11" ht="14.1" customHeight="1" x14ac:dyDescent="0.2">
      <c r="A48" s="274" t="s">
        <v>143</v>
      </c>
      <c r="B48" s="275">
        <f>SUM(B11:B46)</f>
        <v>20598238</v>
      </c>
      <c r="C48" s="276">
        <f>B48/I48*100</f>
        <v>0.84023480883828172</v>
      </c>
      <c r="D48" s="275">
        <f>SUM(D11:D46)</f>
        <v>5081000</v>
      </c>
      <c r="E48" s="276">
        <f t="shared" si="1"/>
        <v>0.2072620514292198</v>
      </c>
      <c r="F48" s="275">
        <f>SUM(F11:F46)</f>
        <v>996818491.23835158</v>
      </c>
      <c r="G48" s="276">
        <f t="shared" si="2"/>
        <v>40.6618077930802</v>
      </c>
      <c r="I48" s="275">
        <f>SUM(I11:I46)</f>
        <v>2451485916</v>
      </c>
      <c r="K48" s="1">
        <v>0</v>
      </c>
    </row>
    <row r="49" spans="1:9" ht="5.0999999999999996" customHeight="1" x14ac:dyDescent="0.2">
      <c r="A49" s="17" t="s">
        <v>1</v>
      </c>
      <c r="B49" s="18"/>
      <c r="C49" s="266"/>
      <c r="D49" s="18"/>
      <c r="E49" s="266"/>
      <c r="F49" s="18"/>
      <c r="G49" s="266"/>
      <c r="I49" s="18"/>
    </row>
    <row r="50" spans="1:9" ht="14.1" customHeight="1" x14ac:dyDescent="0.2">
      <c r="A50" s="15" t="s">
        <v>144</v>
      </c>
      <c r="B50" s="16">
        <v>21000</v>
      </c>
      <c r="C50" s="267">
        <f>B50/I50*100</f>
        <v>0.58218804008336933</v>
      </c>
      <c r="D50" s="16">
        <v>50000</v>
      </c>
      <c r="E50" s="267">
        <f>D50/I50*100</f>
        <v>1.3861620001984982</v>
      </c>
      <c r="F50" s="16">
        <f>SUM('- 42 -'!$B50,'- 42 -'!$D50,'- 42 -'!$F50,'- 42 -'!$H50,B50,D50)</f>
        <v>2178043</v>
      </c>
      <c r="G50" s="267">
        <f>F50/I50*100</f>
        <v>60.382408827966763</v>
      </c>
      <c r="I50" s="16">
        <f>SUM('- 41 -'!$H50,F50)</f>
        <v>3607082</v>
      </c>
    </row>
    <row r="51" spans="1:9" ht="14.1" customHeight="1" x14ac:dyDescent="0.2">
      <c r="A51" s="360" t="s">
        <v>514</v>
      </c>
      <c r="B51" s="272">
        <v>17868126</v>
      </c>
      <c r="C51" s="273">
        <f>B51/I51*100</f>
        <v>53.442500665484246</v>
      </c>
      <c r="D51" s="272">
        <v>1013968</v>
      </c>
      <c r="E51" s="273">
        <f>D51/I51*100</f>
        <v>3.0327178974885074</v>
      </c>
      <c r="F51" s="272">
        <f>SUM('- 42 -'!$B51,'- 42 -'!$D51,'- 42 -'!$F51,'- 42 -'!$H51,B51,D51)</f>
        <v>23295841</v>
      </c>
      <c r="G51" s="273">
        <f>F51/I51*100</f>
        <v>69.676472963393877</v>
      </c>
      <c r="I51" s="272">
        <f>SUM('- 41 -'!$H51,F51)</f>
        <v>33434300</v>
      </c>
    </row>
    <row r="52" spans="1:9" ht="50.1" customHeight="1" x14ac:dyDescent="0.2"/>
    <row r="53" spans="1:9" ht="14.45" customHeight="1" x14ac:dyDescent="0.2">
      <c r="I53" s="72"/>
    </row>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row r="63" spans="1:9" x14ac:dyDescent="0.2">
      <c r="I63" s="1">
        <v>0</v>
      </c>
    </row>
  </sheetData>
  <mergeCells count="4">
    <mergeCell ref="B6:C8"/>
    <mergeCell ref="D8:E8"/>
    <mergeCell ref="F6:G8"/>
    <mergeCell ref="I6:I8"/>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BB60"/>
  <sheetViews>
    <sheetView showGridLines="0" showZeros="0" workbookViewId="0"/>
  </sheetViews>
  <sheetFormatPr defaultColWidth="19.83203125" defaultRowHeight="12" x14ac:dyDescent="0.2"/>
  <cols>
    <col min="1" max="1" width="38.83203125" style="1" customWidth="1"/>
    <col min="2" max="2" width="40.83203125" style="1" customWidth="1"/>
    <col min="3" max="3" width="53.83203125" style="1" customWidth="1"/>
    <col min="4" max="16384" width="19.83203125" style="1"/>
  </cols>
  <sheetData>
    <row r="1" spans="1:54" ht="6.95" customHeight="1" x14ac:dyDescent="0.2">
      <c r="A1" s="3"/>
    </row>
    <row r="2" spans="1:54" ht="15.95" customHeight="1" x14ac:dyDescent="0.2">
      <c r="A2" s="193" t="str">
        <f>IF(Lang=1,BA2,BB2)</f>
        <v>NET TRANSFERS TO/(FROM) CAPITAL FUND</v>
      </c>
      <c r="B2" s="193"/>
      <c r="C2" s="194"/>
      <c r="BA2" s="456" t="s">
        <v>320</v>
      </c>
      <c r="BB2" s="474" t="s">
        <v>460</v>
      </c>
    </row>
    <row r="3" spans="1:54" ht="15.95" customHeight="1" x14ac:dyDescent="0.2">
      <c r="A3" s="195" t="str">
        <f>IF(Lang=1,BA3,BB3)</f>
        <v>2018/2019 BUDGET</v>
      </c>
      <c r="B3" s="195"/>
      <c r="C3" s="196"/>
      <c r="BA3" s="456" t="str">
        <f>REPLACE(REVYEAR,1,36,"")</f>
        <v>2018/2019 BUDGET</v>
      </c>
      <c r="BB3" s="475" t="str">
        <f>"BUDGET "&amp;YEAR&amp;" -"&amp;YEAR+1</f>
        <v>BUDGET 2018 -2019</v>
      </c>
    </row>
    <row r="4" spans="1:54" ht="15.95" customHeight="1" x14ac:dyDescent="0.2">
      <c r="B4" s="4"/>
    </row>
    <row r="5" spans="1:54" ht="15.95" customHeight="1" x14ac:dyDescent="0.2">
      <c r="A5"/>
      <c r="B5"/>
      <c r="C5"/>
    </row>
    <row r="6" spans="1:54" ht="15.95" customHeight="1" x14ac:dyDescent="0.2">
      <c r="A6"/>
      <c r="B6"/>
      <c r="C6"/>
    </row>
    <row r="7" spans="1:54" ht="15.95" customHeight="1" x14ac:dyDescent="0.2">
      <c r="B7" s="734" t="s">
        <v>461</v>
      </c>
      <c r="C7"/>
    </row>
    <row r="8" spans="1:54" ht="15.95" customHeight="1" x14ac:dyDescent="0.2">
      <c r="A8" s="249"/>
      <c r="B8" s="714"/>
      <c r="C8"/>
    </row>
    <row r="9" spans="1:54" ht="15.95" customHeight="1" x14ac:dyDescent="0.2">
      <c r="A9" s="250" t="s">
        <v>37</v>
      </c>
      <c r="B9" s="598"/>
      <c r="C9"/>
    </row>
    <row r="10" spans="1:54" ht="5.0999999999999996" customHeight="1" x14ac:dyDescent="0.2">
      <c r="A10" s="29"/>
      <c r="B10" s="182"/>
      <c r="C10"/>
    </row>
    <row r="11" spans="1:54" ht="14.1" customHeight="1" x14ac:dyDescent="0.2">
      <c r="A11" s="271" t="s">
        <v>108</v>
      </c>
      <c r="B11" s="272">
        <v>50000</v>
      </c>
      <c r="C11"/>
    </row>
    <row r="12" spans="1:54" ht="14.1" customHeight="1" x14ac:dyDescent="0.2">
      <c r="A12" s="15" t="s">
        <v>109</v>
      </c>
      <c r="B12" s="16">
        <v>448248</v>
      </c>
      <c r="C12"/>
    </row>
    <row r="13" spans="1:54" ht="14.1" customHeight="1" x14ac:dyDescent="0.2">
      <c r="A13" s="271" t="s">
        <v>110</v>
      </c>
      <c r="B13" s="272">
        <v>38000</v>
      </c>
      <c r="C13"/>
    </row>
    <row r="14" spans="1:54" ht="14.1" customHeight="1" x14ac:dyDescent="0.2">
      <c r="A14" s="15" t="s">
        <v>319</v>
      </c>
      <c r="B14" s="16">
        <v>32500</v>
      </c>
      <c r="C14"/>
    </row>
    <row r="15" spans="1:54" ht="14.1" customHeight="1" x14ac:dyDescent="0.2">
      <c r="A15" s="271" t="s">
        <v>111</v>
      </c>
      <c r="B15" s="272">
        <v>512500</v>
      </c>
      <c r="C15"/>
    </row>
    <row r="16" spans="1:54" ht="14.1" customHeight="1" x14ac:dyDescent="0.2">
      <c r="A16" s="15" t="s">
        <v>112</v>
      </c>
      <c r="B16" s="16">
        <v>0</v>
      </c>
      <c r="C16"/>
    </row>
    <row r="17" spans="1:3" ht="14.1" customHeight="1" x14ac:dyDescent="0.2">
      <c r="A17" s="271" t="s">
        <v>113</v>
      </c>
      <c r="B17" s="272">
        <v>0</v>
      </c>
      <c r="C17"/>
    </row>
    <row r="18" spans="1:3" ht="14.1" customHeight="1" x14ac:dyDescent="0.2">
      <c r="A18" s="15" t="s">
        <v>114</v>
      </c>
      <c r="B18" s="16">
        <v>850000</v>
      </c>
      <c r="C18"/>
    </row>
    <row r="19" spans="1:3" ht="14.1" customHeight="1" x14ac:dyDescent="0.2">
      <c r="A19" s="271" t="s">
        <v>115</v>
      </c>
      <c r="B19" s="272">
        <v>745000</v>
      </c>
      <c r="C19"/>
    </row>
    <row r="20" spans="1:3" ht="14.1" customHeight="1" x14ac:dyDescent="0.2">
      <c r="A20" s="15" t="s">
        <v>116</v>
      </c>
      <c r="B20" s="16">
        <v>1053900</v>
      </c>
      <c r="C20"/>
    </row>
    <row r="21" spans="1:3" ht="14.1" customHeight="1" x14ac:dyDescent="0.2">
      <c r="A21" s="271" t="s">
        <v>117</v>
      </c>
      <c r="B21" s="272">
        <v>404680</v>
      </c>
      <c r="C21"/>
    </row>
    <row r="22" spans="1:3" ht="14.1" customHeight="1" x14ac:dyDescent="0.2">
      <c r="A22" s="15" t="s">
        <v>118</v>
      </c>
      <c r="B22" s="16">
        <v>195000</v>
      </c>
      <c r="C22"/>
    </row>
    <row r="23" spans="1:3" ht="14.1" customHeight="1" x14ac:dyDescent="0.2">
      <c r="A23" s="271" t="s">
        <v>119</v>
      </c>
      <c r="B23" s="272">
        <v>200000</v>
      </c>
      <c r="C23"/>
    </row>
    <row r="24" spans="1:3" ht="14.1" customHeight="1" x14ac:dyDescent="0.2">
      <c r="A24" s="15" t="s">
        <v>120</v>
      </c>
      <c r="B24" s="16">
        <v>373446</v>
      </c>
      <c r="C24"/>
    </row>
    <row r="25" spans="1:3" ht="14.1" customHeight="1" x14ac:dyDescent="0.2">
      <c r="A25" s="271" t="s">
        <v>121</v>
      </c>
      <c r="B25" s="272">
        <v>1108318</v>
      </c>
      <c r="C25"/>
    </row>
    <row r="26" spans="1:3" ht="14.1" customHeight="1" x14ac:dyDescent="0.2">
      <c r="A26" s="15" t="s">
        <v>122</v>
      </c>
      <c r="B26" s="16">
        <v>985322</v>
      </c>
      <c r="C26"/>
    </row>
    <row r="27" spans="1:3" ht="14.1" customHeight="1" x14ac:dyDescent="0.2">
      <c r="A27" s="271" t="s">
        <v>123</v>
      </c>
      <c r="B27" s="272">
        <v>30000</v>
      </c>
      <c r="C27"/>
    </row>
    <row r="28" spans="1:3" ht="14.1" customHeight="1" x14ac:dyDescent="0.2">
      <c r="A28" s="15" t="s">
        <v>124</v>
      </c>
      <c r="B28" s="16">
        <v>20000</v>
      </c>
      <c r="C28"/>
    </row>
    <row r="29" spans="1:3" ht="14.1" customHeight="1" x14ac:dyDescent="0.2">
      <c r="A29" s="271" t="s">
        <v>125</v>
      </c>
      <c r="B29" s="272">
        <v>1631000</v>
      </c>
      <c r="C29"/>
    </row>
    <row r="30" spans="1:3" ht="14.1" customHeight="1" x14ac:dyDescent="0.2">
      <c r="A30" s="15" t="s">
        <v>126</v>
      </c>
      <c r="B30" s="16">
        <v>160000</v>
      </c>
      <c r="C30"/>
    </row>
    <row r="31" spans="1:3" ht="14.1" customHeight="1" x14ac:dyDescent="0.2">
      <c r="A31" s="271" t="s">
        <v>127</v>
      </c>
      <c r="B31" s="272">
        <v>927271</v>
      </c>
      <c r="C31"/>
    </row>
    <row r="32" spans="1:3" ht="14.1" customHeight="1" x14ac:dyDescent="0.2">
      <c r="A32" s="15" t="s">
        <v>128</v>
      </c>
      <c r="B32" s="16">
        <v>817600</v>
      </c>
      <c r="C32"/>
    </row>
    <row r="33" spans="1:3" ht="14.1" customHeight="1" x14ac:dyDescent="0.2">
      <c r="A33" s="271" t="s">
        <v>129</v>
      </c>
      <c r="B33" s="272">
        <v>319924</v>
      </c>
      <c r="C33"/>
    </row>
    <row r="34" spans="1:3" ht="14.1" customHeight="1" x14ac:dyDescent="0.2">
      <c r="A34" s="15" t="s">
        <v>130</v>
      </c>
      <c r="B34" s="16">
        <v>516316</v>
      </c>
      <c r="C34"/>
    </row>
    <row r="35" spans="1:3" ht="14.1" customHeight="1" x14ac:dyDescent="0.2">
      <c r="A35" s="271" t="s">
        <v>131</v>
      </c>
      <c r="B35" s="272">
        <v>2600727</v>
      </c>
      <c r="C35"/>
    </row>
    <row r="36" spans="1:3" ht="14.1" customHeight="1" x14ac:dyDescent="0.2">
      <c r="A36" s="15" t="s">
        <v>132</v>
      </c>
      <c r="B36" s="16">
        <v>325000</v>
      </c>
      <c r="C36"/>
    </row>
    <row r="37" spans="1:3" ht="14.1" customHeight="1" x14ac:dyDescent="0.2">
      <c r="A37" s="271" t="s">
        <v>133</v>
      </c>
      <c r="B37" s="272">
        <v>660000</v>
      </c>
      <c r="C37"/>
    </row>
    <row r="38" spans="1:3" ht="14.1" customHeight="1" x14ac:dyDescent="0.2">
      <c r="A38" s="15" t="s">
        <v>134</v>
      </c>
      <c r="B38" s="16">
        <v>2534600</v>
      </c>
      <c r="C38"/>
    </row>
    <row r="39" spans="1:3" ht="14.1" customHeight="1" x14ac:dyDescent="0.2">
      <c r="A39" s="271" t="s">
        <v>135</v>
      </c>
      <c r="B39" s="272">
        <v>0</v>
      </c>
      <c r="C39"/>
    </row>
    <row r="40" spans="1:3" ht="14.1" customHeight="1" x14ac:dyDescent="0.2">
      <c r="A40" s="15" t="s">
        <v>136</v>
      </c>
      <c r="B40" s="16">
        <v>1023368</v>
      </c>
      <c r="C40"/>
    </row>
    <row r="41" spans="1:3" ht="14.1" customHeight="1" x14ac:dyDescent="0.2">
      <c r="A41" s="271" t="s">
        <v>137</v>
      </c>
      <c r="B41" s="272">
        <v>1242448</v>
      </c>
      <c r="C41"/>
    </row>
    <row r="42" spans="1:3" ht="14.1" customHeight="1" x14ac:dyDescent="0.2">
      <c r="A42" s="15" t="s">
        <v>138</v>
      </c>
      <c r="B42" s="16">
        <v>5000</v>
      </c>
      <c r="C42"/>
    </row>
    <row r="43" spans="1:3" ht="14.1" customHeight="1" x14ac:dyDescent="0.2">
      <c r="A43" s="271" t="s">
        <v>139</v>
      </c>
      <c r="B43" s="272">
        <v>0</v>
      </c>
      <c r="C43"/>
    </row>
    <row r="44" spans="1:3" ht="14.1" customHeight="1" x14ac:dyDescent="0.2">
      <c r="A44" s="15" t="s">
        <v>140</v>
      </c>
      <c r="B44" s="16">
        <v>0</v>
      </c>
      <c r="C44"/>
    </row>
    <row r="45" spans="1:3" ht="14.1" customHeight="1" x14ac:dyDescent="0.2">
      <c r="A45" s="271" t="s">
        <v>141</v>
      </c>
      <c r="B45" s="272">
        <v>268638</v>
      </c>
      <c r="C45"/>
    </row>
    <row r="46" spans="1:3" ht="14.1" customHeight="1" x14ac:dyDescent="0.2">
      <c r="A46" s="15" t="s">
        <v>142</v>
      </c>
      <c r="B46" s="16">
        <v>2086600</v>
      </c>
      <c r="C46"/>
    </row>
    <row r="47" spans="1:3" ht="5.0999999999999996" customHeight="1" x14ac:dyDescent="0.2">
      <c r="A47"/>
      <c r="B47" s="368"/>
      <c r="C47"/>
    </row>
    <row r="48" spans="1:3" ht="14.1" customHeight="1" x14ac:dyDescent="0.2">
      <c r="A48" s="274" t="s">
        <v>143</v>
      </c>
      <c r="B48" s="275">
        <f>SUM(B11:B46)</f>
        <v>22165406</v>
      </c>
      <c r="C48"/>
    </row>
    <row r="49" spans="1:3" ht="5.0999999999999996" customHeight="1" x14ac:dyDescent="0.2">
      <c r="A49" s="17" t="s">
        <v>1</v>
      </c>
      <c r="B49" s="369"/>
      <c r="C49"/>
    </row>
    <row r="50" spans="1:3" ht="14.1" customHeight="1" x14ac:dyDescent="0.2">
      <c r="A50" s="15" t="s">
        <v>144</v>
      </c>
      <c r="B50" s="16">
        <v>0</v>
      </c>
      <c r="C50"/>
    </row>
    <row r="51" spans="1:3" ht="14.1" customHeight="1" x14ac:dyDescent="0.2">
      <c r="A51" s="360" t="s">
        <v>514</v>
      </c>
      <c r="B51" s="272">
        <v>579640</v>
      </c>
      <c r="C51"/>
    </row>
    <row r="52" spans="1:3" ht="14.1" customHeight="1" x14ac:dyDescent="0.2">
      <c r="A52" s="239"/>
      <c r="B52" s="240"/>
      <c r="C52"/>
    </row>
    <row r="53" spans="1:3" ht="50.1" customHeight="1" x14ac:dyDescent="0.2">
      <c r="A53" s="19"/>
      <c r="B53" s="19"/>
      <c r="C53" s="429"/>
    </row>
    <row r="54" spans="1:3" ht="14.45" customHeight="1" x14ac:dyDescent="0.2">
      <c r="A54" s="127" t="s">
        <v>332</v>
      </c>
    </row>
    <row r="55" spans="1:3" ht="14.45" customHeight="1" x14ac:dyDescent="0.2"/>
    <row r="56" spans="1:3" ht="14.45" customHeight="1" x14ac:dyDescent="0.2"/>
    <row r="57" spans="1:3" ht="14.45" customHeight="1" x14ac:dyDescent="0.2"/>
    <row r="58" spans="1:3" ht="14.45" customHeight="1" x14ac:dyDescent="0.2"/>
    <row r="59" spans="1:3" ht="14.45" customHeight="1" x14ac:dyDescent="0.2"/>
    <row r="60" spans="1:3" ht="14.45" customHeight="1" x14ac:dyDescent="0.2"/>
  </sheetData>
  <mergeCells count="1">
    <mergeCell ref="B7:B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59"/>
  <sheetViews>
    <sheetView showGridLines="0" showZeros="0" workbookViewId="0"/>
  </sheetViews>
  <sheetFormatPr defaultColWidth="12.83203125" defaultRowHeight="12" x14ac:dyDescent="0.2"/>
  <cols>
    <col min="1" max="1" width="29.83203125" style="1" customWidth="1"/>
    <col min="2" max="8" width="14.83203125" style="1" customWidth="1"/>
    <col min="9" max="9" width="15.83203125" style="1" customWidth="1"/>
    <col min="10" max="16384" width="12.83203125" style="1"/>
  </cols>
  <sheetData>
    <row r="1" spans="1:55" ht="6.95" customHeight="1" x14ac:dyDescent="0.2">
      <c r="A1" s="3"/>
      <c r="B1" s="32"/>
      <c r="C1" s="32"/>
      <c r="D1" s="32"/>
      <c r="E1" s="32"/>
      <c r="F1" s="32"/>
      <c r="G1" s="32"/>
      <c r="H1" s="32"/>
      <c r="I1" s="32"/>
      <c r="BA1" s="164"/>
      <c r="BB1" s="164"/>
      <c r="BC1" s="164"/>
    </row>
    <row r="2" spans="1:55" ht="15.95" customHeight="1" x14ac:dyDescent="0.2">
      <c r="A2" s="33"/>
      <c r="B2" s="34" t="str">
        <f>IF(Lang=1,BA2,BB2)</f>
        <v>FRAME STUDENT STATISTICS</v>
      </c>
      <c r="C2" s="35"/>
      <c r="D2" s="35"/>
      <c r="E2" s="35"/>
      <c r="F2" s="35"/>
      <c r="G2" s="35"/>
      <c r="H2" s="36" t="s">
        <v>74</v>
      </c>
      <c r="BA2" s="461" t="s">
        <v>73</v>
      </c>
      <c r="BB2" s="461" t="s">
        <v>374</v>
      </c>
      <c r="BC2" s="164"/>
    </row>
    <row r="3" spans="1:55" ht="15.95" customHeight="1" x14ac:dyDescent="0.2">
      <c r="A3" s="37"/>
      <c r="B3" s="38" t="str">
        <f>IF(Lang=1,BA3,BB3)</f>
        <v>ESTIMATE SEPTEMBER 30, 2018</v>
      </c>
      <c r="C3" s="39"/>
      <c r="D3" s="40"/>
      <c r="E3" s="39"/>
      <c r="F3" s="40"/>
      <c r="G3" s="39"/>
      <c r="H3" s="41"/>
      <c r="BA3" s="462" t="str">
        <f>"ESTIMATE SEPTEMBER 30, "&amp;YEAR</f>
        <v>ESTIMATE SEPTEMBER 30, 2018</v>
      </c>
      <c r="BB3" s="462" t="str">
        <f>"PRÉVISIONS AU 30 SEPTEMBRE "&amp;YEAR</f>
        <v>PRÉVISIONS AU 30 SEPTEMBRE 2018</v>
      </c>
      <c r="BC3" s="164"/>
    </row>
    <row r="4" spans="1:55" ht="15.95" customHeight="1" x14ac:dyDescent="0.2">
      <c r="B4" s="32"/>
      <c r="C4" s="32"/>
      <c r="D4" s="32"/>
      <c r="E4" s="32"/>
      <c r="F4" s="32"/>
      <c r="G4" s="42"/>
      <c r="H4" s="32"/>
      <c r="I4" s="32"/>
      <c r="BA4" s="164"/>
      <c r="BB4" s="164"/>
      <c r="BC4" s="164"/>
    </row>
    <row r="5" spans="1:55" ht="15.95" customHeight="1" x14ac:dyDescent="0.2">
      <c r="B5" s="32"/>
      <c r="C5" s="32"/>
      <c r="D5" s="32"/>
      <c r="E5" s="32"/>
      <c r="F5" s="32"/>
      <c r="G5" s="32"/>
      <c r="H5" s="32"/>
      <c r="I5" s="32"/>
    </row>
    <row r="6" spans="1:55" ht="15.95" customHeight="1" x14ac:dyDescent="0.2">
      <c r="B6" s="548" t="s">
        <v>21</v>
      </c>
      <c r="C6" s="549"/>
      <c r="D6" s="549"/>
      <c r="E6" s="549"/>
      <c r="F6" s="549"/>
      <c r="G6" s="549"/>
      <c r="H6" s="550"/>
    </row>
    <row r="7" spans="1:55" ht="15.95" customHeight="1" x14ac:dyDescent="0.2">
      <c r="B7" s="546" t="s">
        <v>231</v>
      </c>
      <c r="C7" s="544"/>
      <c r="D7" s="547"/>
      <c r="E7" s="543" t="s">
        <v>232</v>
      </c>
      <c r="F7" s="544"/>
      <c r="G7" s="544"/>
      <c r="H7" s="545"/>
    </row>
    <row r="8" spans="1:55" ht="15.95" customHeight="1" x14ac:dyDescent="0.2">
      <c r="A8" s="44"/>
      <c r="B8" s="551" t="s">
        <v>15</v>
      </c>
      <c r="C8" s="541" t="s">
        <v>16</v>
      </c>
      <c r="D8" s="553" t="s">
        <v>17</v>
      </c>
      <c r="E8" s="555" t="s">
        <v>15</v>
      </c>
      <c r="F8" s="541" t="s">
        <v>372</v>
      </c>
      <c r="G8" s="541" t="s">
        <v>17</v>
      </c>
      <c r="H8" s="541" t="s">
        <v>373</v>
      </c>
    </row>
    <row r="9" spans="1:55" ht="15.95" customHeight="1" x14ac:dyDescent="0.2">
      <c r="A9" s="45" t="s">
        <v>37</v>
      </c>
      <c r="B9" s="552"/>
      <c r="C9" s="542"/>
      <c r="D9" s="554"/>
      <c r="E9" s="556"/>
      <c r="F9" s="542"/>
      <c r="G9" s="542"/>
      <c r="H9" s="542"/>
    </row>
    <row r="10" spans="1:55" ht="5.0999999999999996" customHeight="1" x14ac:dyDescent="0.2">
      <c r="A10" s="29"/>
      <c r="B10" s="46"/>
      <c r="C10" s="46"/>
      <c r="D10" s="46"/>
      <c r="E10" s="46"/>
      <c r="F10" s="46"/>
      <c r="G10" s="46"/>
      <c r="H10" s="46"/>
    </row>
    <row r="11" spans="1:55" ht="14.1" customHeight="1" x14ac:dyDescent="0.2">
      <c r="A11" s="271" t="s">
        <v>108</v>
      </c>
      <c r="B11" s="292">
        <v>1803.5</v>
      </c>
      <c r="C11" s="292">
        <v>0</v>
      </c>
      <c r="D11" s="295">
        <v>0</v>
      </c>
      <c r="E11" s="296">
        <v>0</v>
      </c>
      <c r="F11" s="292">
        <v>0</v>
      </c>
      <c r="G11" s="292">
        <v>0</v>
      </c>
      <c r="H11" s="292">
        <v>0</v>
      </c>
    </row>
    <row r="12" spans="1:55" ht="14.1" customHeight="1" x14ac:dyDescent="0.2">
      <c r="A12" s="15" t="s">
        <v>109</v>
      </c>
      <c r="B12" s="47">
        <v>1993.5</v>
      </c>
      <c r="C12" s="47">
        <v>0</v>
      </c>
      <c r="D12" s="48">
        <v>0</v>
      </c>
      <c r="E12" s="49">
        <v>0</v>
      </c>
      <c r="F12" s="47">
        <v>0</v>
      </c>
      <c r="G12" s="47">
        <v>0</v>
      </c>
      <c r="H12" s="47">
        <v>0</v>
      </c>
    </row>
    <row r="13" spans="1:55" ht="14.1" customHeight="1" x14ac:dyDescent="0.2">
      <c r="A13" s="271" t="s">
        <v>110</v>
      </c>
      <c r="B13" s="292">
        <v>6351</v>
      </c>
      <c r="C13" s="292">
        <v>0</v>
      </c>
      <c r="D13" s="295">
        <v>340.5</v>
      </c>
      <c r="E13" s="296">
        <v>974.5</v>
      </c>
      <c r="F13" s="292">
        <v>0</v>
      </c>
      <c r="G13" s="292">
        <v>461</v>
      </c>
      <c r="H13" s="292">
        <v>0</v>
      </c>
    </row>
    <row r="14" spans="1:55" ht="14.1" customHeight="1" x14ac:dyDescent="0.2">
      <c r="A14" s="15" t="s">
        <v>319</v>
      </c>
      <c r="B14" s="47">
        <v>0</v>
      </c>
      <c r="C14" s="47">
        <v>5756</v>
      </c>
      <c r="D14" s="48">
        <v>0</v>
      </c>
      <c r="E14" s="49">
        <v>0</v>
      </c>
      <c r="F14" s="47">
        <v>0</v>
      </c>
      <c r="G14" s="47">
        <v>0</v>
      </c>
      <c r="H14" s="47">
        <v>0</v>
      </c>
    </row>
    <row r="15" spans="1:55" ht="14.1" customHeight="1" x14ac:dyDescent="0.2">
      <c r="A15" s="271" t="s">
        <v>111</v>
      </c>
      <c r="B15" s="292">
        <v>1329</v>
      </c>
      <c r="C15" s="292">
        <v>0</v>
      </c>
      <c r="D15" s="295">
        <v>0</v>
      </c>
      <c r="E15" s="296">
        <v>0</v>
      </c>
      <c r="F15" s="292">
        <v>0</v>
      </c>
      <c r="G15" s="292">
        <v>0</v>
      </c>
      <c r="H15" s="292">
        <v>0</v>
      </c>
    </row>
    <row r="16" spans="1:55" ht="14.1" customHeight="1" x14ac:dyDescent="0.2">
      <c r="A16" s="15" t="s">
        <v>112</v>
      </c>
      <c r="B16" s="47">
        <v>553</v>
      </c>
      <c r="C16" s="47">
        <v>0</v>
      </c>
      <c r="D16" s="48">
        <v>0</v>
      </c>
      <c r="E16" s="49">
        <v>257.5</v>
      </c>
      <c r="F16" s="47">
        <v>0</v>
      </c>
      <c r="G16" s="47">
        <v>112.5</v>
      </c>
      <c r="H16" s="47">
        <v>0</v>
      </c>
    </row>
    <row r="17" spans="1:8" ht="14.1" customHeight="1" x14ac:dyDescent="0.2">
      <c r="A17" s="271" t="s">
        <v>113</v>
      </c>
      <c r="B17" s="292">
        <v>1374</v>
      </c>
      <c r="C17" s="292">
        <v>0</v>
      </c>
      <c r="D17" s="295">
        <v>0</v>
      </c>
      <c r="E17" s="296">
        <v>0</v>
      </c>
      <c r="F17" s="292">
        <v>0</v>
      </c>
      <c r="G17" s="292">
        <v>0</v>
      </c>
      <c r="H17" s="292">
        <v>0</v>
      </c>
    </row>
    <row r="18" spans="1:8" ht="14.1" customHeight="1" x14ac:dyDescent="0.2">
      <c r="A18" s="15" t="s">
        <v>114</v>
      </c>
      <c r="B18" s="47">
        <v>6080.2</v>
      </c>
      <c r="C18" s="47">
        <v>0</v>
      </c>
      <c r="D18" s="48">
        <v>0</v>
      </c>
      <c r="E18" s="49">
        <v>0</v>
      </c>
      <c r="F18" s="47">
        <v>0</v>
      </c>
      <c r="G18" s="47">
        <v>0</v>
      </c>
      <c r="H18" s="47">
        <v>0</v>
      </c>
    </row>
    <row r="19" spans="1:8" ht="14.1" customHeight="1" x14ac:dyDescent="0.2">
      <c r="A19" s="271" t="s">
        <v>115</v>
      </c>
      <c r="B19" s="292">
        <v>4241.5</v>
      </c>
      <c r="C19" s="292">
        <v>0</v>
      </c>
      <c r="D19" s="295">
        <v>0</v>
      </c>
      <c r="E19" s="296">
        <v>0</v>
      </c>
      <c r="F19" s="292">
        <v>0</v>
      </c>
      <c r="G19" s="292">
        <v>0</v>
      </c>
      <c r="H19" s="292">
        <v>0</v>
      </c>
    </row>
    <row r="20" spans="1:8" ht="14.1" customHeight="1" x14ac:dyDescent="0.2">
      <c r="A20" s="15" t="s">
        <v>116</v>
      </c>
      <c r="B20" s="47">
        <v>7418.4</v>
      </c>
      <c r="C20" s="47">
        <v>0</v>
      </c>
      <c r="D20" s="48">
        <v>0</v>
      </c>
      <c r="E20" s="49">
        <v>0</v>
      </c>
      <c r="F20" s="47">
        <v>0</v>
      </c>
      <c r="G20" s="47">
        <v>0</v>
      </c>
      <c r="H20" s="47">
        <v>0</v>
      </c>
    </row>
    <row r="21" spans="1:8" ht="14.1" customHeight="1" x14ac:dyDescent="0.2">
      <c r="A21" s="271" t="s">
        <v>117</v>
      </c>
      <c r="B21" s="292">
        <v>2086.5</v>
      </c>
      <c r="C21" s="292">
        <v>0</v>
      </c>
      <c r="D21" s="295">
        <v>0</v>
      </c>
      <c r="E21" s="296">
        <v>434</v>
      </c>
      <c r="F21" s="292">
        <v>0</v>
      </c>
      <c r="G21" s="292">
        <v>285</v>
      </c>
      <c r="H21" s="292">
        <v>0</v>
      </c>
    </row>
    <row r="22" spans="1:8" ht="14.1" customHeight="1" x14ac:dyDescent="0.2">
      <c r="A22" s="15" t="s">
        <v>118</v>
      </c>
      <c r="B22" s="47">
        <v>842.7</v>
      </c>
      <c r="C22" s="47">
        <v>0</v>
      </c>
      <c r="D22" s="48">
        <v>0</v>
      </c>
      <c r="E22" s="49">
        <v>481</v>
      </c>
      <c r="F22" s="47">
        <v>0</v>
      </c>
      <c r="G22" s="47">
        <v>133.5</v>
      </c>
      <c r="H22" s="47">
        <v>0</v>
      </c>
    </row>
    <row r="23" spans="1:8" ht="14.1" customHeight="1" x14ac:dyDescent="0.2">
      <c r="A23" s="271" t="s">
        <v>119</v>
      </c>
      <c r="B23" s="292">
        <v>1026</v>
      </c>
      <c r="C23" s="292">
        <v>0</v>
      </c>
      <c r="D23" s="295">
        <v>0</v>
      </c>
      <c r="E23" s="296">
        <v>0</v>
      </c>
      <c r="F23" s="292">
        <v>0</v>
      </c>
      <c r="G23" s="292">
        <v>0</v>
      </c>
      <c r="H23" s="292">
        <v>0</v>
      </c>
    </row>
    <row r="24" spans="1:8" ht="14.1" customHeight="1" x14ac:dyDescent="0.2">
      <c r="A24" s="15" t="s">
        <v>120</v>
      </c>
      <c r="B24" s="47">
        <v>2632</v>
      </c>
      <c r="C24" s="47">
        <v>0</v>
      </c>
      <c r="D24" s="48">
        <v>216</v>
      </c>
      <c r="E24" s="49">
        <v>498.5</v>
      </c>
      <c r="F24" s="47">
        <v>0</v>
      </c>
      <c r="G24" s="47">
        <v>98</v>
      </c>
      <c r="H24" s="47">
        <v>84.5</v>
      </c>
    </row>
    <row r="25" spans="1:8" ht="14.1" customHeight="1" x14ac:dyDescent="0.2">
      <c r="A25" s="271" t="s">
        <v>121</v>
      </c>
      <c r="B25" s="292">
        <v>9528.7000000000007</v>
      </c>
      <c r="C25" s="292">
        <v>0</v>
      </c>
      <c r="D25" s="295">
        <v>4551</v>
      </c>
      <c r="E25" s="296">
        <v>365</v>
      </c>
      <c r="F25" s="292">
        <v>0</v>
      </c>
      <c r="G25" s="292">
        <v>321</v>
      </c>
      <c r="H25" s="292">
        <v>0</v>
      </c>
    </row>
    <row r="26" spans="1:8" ht="14.1" customHeight="1" x14ac:dyDescent="0.2">
      <c r="A26" s="15" t="s">
        <v>122</v>
      </c>
      <c r="B26" s="47">
        <v>2046.6</v>
      </c>
      <c r="C26" s="47">
        <v>0</v>
      </c>
      <c r="D26" s="48">
        <v>166</v>
      </c>
      <c r="E26" s="49">
        <v>312</v>
      </c>
      <c r="F26" s="47">
        <v>0</v>
      </c>
      <c r="G26" s="47">
        <v>79</v>
      </c>
      <c r="H26" s="47">
        <v>69.5</v>
      </c>
    </row>
    <row r="27" spans="1:8" ht="14.1" customHeight="1" x14ac:dyDescent="0.2">
      <c r="A27" s="271" t="s">
        <v>123</v>
      </c>
      <c r="B27" s="292">
        <v>2502.3000000000002</v>
      </c>
      <c r="C27" s="292">
        <v>0</v>
      </c>
      <c r="D27" s="295">
        <v>0</v>
      </c>
      <c r="E27" s="296">
        <v>127</v>
      </c>
      <c r="F27" s="292">
        <v>0</v>
      </c>
      <c r="G27" s="292">
        <v>232</v>
      </c>
      <c r="H27" s="292">
        <v>0</v>
      </c>
    </row>
    <row r="28" spans="1:8" ht="14.1" customHeight="1" x14ac:dyDescent="0.2">
      <c r="A28" s="15" t="s">
        <v>124</v>
      </c>
      <c r="B28" s="47">
        <v>1957</v>
      </c>
      <c r="C28" s="47">
        <v>0</v>
      </c>
      <c r="D28" s="48">
        <v>0</v>
      </c>
      <c r="E28" s="49">
        <v>0</v>
      </c>
      <c r="F28" s="47">
        <v>0</v>
      </c>
      <c r="G28" s="47">
        <v>0</v>
      </c>
      <c r="H28" s="47">
        <v>0</v>
      </c>
    </row>
    <row r="29" spans="1:8" ht="14.1" customHeight="1" x14ac:dyDescent="0.2">
      <c r="A29" s="271" t="s">
        <v>125</v>
      </c>
      <c r="B29" s="292">
        <v>7961</v>
      </c>
      <c r="C29" s="292">
        <v>0</v>
      </c>
      <c r="D29" s="295">
        <v>1232.5</v>
      </c>
      <c r="E29" s="296">
        <v>2543.9</v>
      </c>
      <c r="F29" s="292">
        <v>0</v>
      </c>
      <c r="G29" s="292">
        <v>1773.5</v>
      </c>
      <c r="H29" s="292">
        <v>0</v>
      </c>
    </row>
    <row r="30" spans="1:8" ht="14.1" customHeight="1" x14ac:dyDescent="0.2">
      <c r="A30" s="15" t="s">
        <v>126</v>
      </c>
      <c r="B30" s="47">
        <v>998</v>
      </c>
      <c r="C30" s="47">
        <v>0</v>
      </c>
      <c r="D30" s="48">
        <v>0</v>
      </c>
      <c r="E30" s="49">
        <v>0</v>
      </c>
      <c r="F30" s="47">
        <v>0</v>
      </c>
      <c r="G30" s="47">
        <v>0</v>
      </c>
      <c r="H30" s="47">
        <v>0</v>
      </c>
    </row>
    <row r="31" spans="1:8" ht="14.1" customHeight="1" x14ac:dyDescent="0.2">
      <c r="A31" s="271" t="s">
        <v>127</v>
      </c>
      <c r="B31" s="292">
        <v>2352.4</v>
      </c>
      <c r="C31" s="292">
        <v>0</v>
      </c>
      <c r="D31" s="295">
        <v>0</v>
      </c>
      <c r="E31" s="296">
        <v>453.5</v>
      </c>
      <c r="F31" s="292">
        <v>0</v>
      </c>
      <c r="G31" s="292">
        <v>313</v>
      </c>
      <c r="H31" s="292">
        <v>0</v>
      </c>
    </row>
    <row r="32" spans="1:8" ht="14.1" customHeight="1" x14ac:dyDescent="0.2">
      <c r="A32" s="15" t="s">
        <v>128</v>
      </c>
      <c r="B32" s="47">
        <v>1962</v>
      </c>
      <c r="C32" s="47">
        <v>0</v>
      </c>
      <c r="D32" s="48">
        <v>125.5</v>
      </c>
      <c r="E32" s="49">
        <v>116</v>
      </c>
      <c r="F32" s="47">
        <v>0</v>
      </c>
      <c r="G32" s="47">
        <v>60</v>
      </c>
      <c r="H32" s="47">
        <v>0</v>
      </c>
    </row>
    <row r="33" spans="1:9" ht="14.1" customHeight="1" x14ac:dyDescent="0.2">
      <c r="A33" s="271" t="s">
        <v>129</v>
      </c>
      <c r="B33" s="292">
        <v>1709.5</v>
      </c>
      <c r="C33" s="292">
        <v>0</v>
      </c>
      <c r="D33" s="295">
        <v>0</v>
      </c>
      <c r="E33" s="296">
        <v>122</v>
      </c>
      <c r="F33" s="292">
        <v>113</v>
      </c>
      <c r="G33" s="292">
        <v>108</v>
      </c>
      <c r="H33" s="292">
        <v>0</v>
      </c>
    </row>
    <row r="34" spans="1:9" ht="14.1" customHeight="1" x14ac:dyDescent="0.2">
      <c r="A34" s="15" t="s">
        <v>130</v>
      </c>
      <c r="B34" s="47">
        <v>1648</v>
      </c>
      <c r="C34" s="47">
        <v>0</v>
      </c>
      <c r="D34" s="48">
        <v>270</v>
      </c>
      <c r="E34" s="49">
        <v>71.5</v>
      </c>
      <c r="F34" s="47">
        <v>157</v>
      </c>
      <c r="G34" s="47">
        <v>0</v>
      </c>
      <c r="H34" s="47">
        <v>0</v>
      </c>
    </row>
    <row r="35" spans="1:9" ht="14.1" customHeight="1" x14ac:dyDescent="0.2">
      <c r="A35" s="271" t="s">
        <v>131</v>
      </c>
      <c r="B35" s="292">
        <v>9305</v>
      </c>
      <c r="C35" s="292">
        <v>0</v>
      </c>
      <c r="D35" s="295">
        <v>1296</v>
      </c>
      <c r="E35" s="296">
        <v>2676.5</v>
      </c>
      <c r="F35" s="292">
        <v>0</v>
      </c>
      <c r="G35" s="292">
        <v>1774.5</v>
      </c>
      <c r="H35" s="292">
        <v>392</v>
      </c>
    </row>
    <row r="36" spans="1:9" ht="14.1" customHeight="1" x14ac:dyDescent="0.2">
      <c r="A36" s="15" t="s">
        <v>132</v>
      </c>
      <c r="B36" s="47">
        <v>1696.2</v>
      </c>
      <c r="C36" s="47">
        <v>0</v>
      </c>
      <c r="D36" s="48">
        <v>0</v>
      </c>
      <c r="E36" s="49">
        <v>0</v>
      </c>
      <c r="F36" s="47">
        <v>0</v>
      </c>
      <c r="G36" s="47">
        <v>0</v>
      </c>
      <c r="H36" s="47">
        <v>0</v>
      </c>
    </row>
    <row r="37" spans="1:9" ht="14.1" customHeight="1" x14ac:dyDescent="0.2">
      <c r="A37" s="271" t="s">
        <v>133</v>
      </c>
      <c r="B37" s="292">
        <v>2148.5</v>
      </c>
      <c r="C37" s="292">
        <v>0</v>
      </c>
      <c r="D37" s="295">
        <v>789.5</v>
      </c>
      <c r="E37" s="296">
        <v>764</v>
      </c>
      <c r="F37" s="292">
        <v>0</v>
      </c>
      <c r="G37" s="292">
        <v>563</v>
      </c>
      <c r="H37" s="292">
        <v>0</v>
      </c>
    </row>
    <row r="38" spans="1:9" ht="14.1" customHeight="1" x14ac:dyDescent="0.2">
      <c r="A38" s="15" t="s">
        <v>134</v>
      </c>
      <c r="B38" s="47">
        <v>6470</v>
      </c>
      <c r="C38" s="47">
        <v>0</v>
      </c>
      <c r="D38" s="48">
        <v>624</v>
      </c>
      <c r="E38" s="49">
        <v>2393</v>
      </c>
      <c r="F38" s="47">
        <v>0</v>
      </c>
      <c r="G38" s="47">
        <v>1339.5</v>
      </c>
      <c r="H38" s="47">
        <v>222.5</v>
      </c>
    </row>
    <row r="39" spans="1:9" ht="14.1" customHeight="1" x14ac:dyDescent="0.2">
      <c r="A39" s="271" t="s">
        <v>135</v>
      </c>
      <c r="B39" s="292">
        <v>1513</v>
      </c>
      <c r="C39" s="292">
        <v>0</v>
      </c>
      <c r="D39" s="295">
        <v>0</v>
      </c>
      <c r="E39" s="296">
        <v>0</v>
      </c>
      <c r="F39" s="292">
        <v>0</v>
      </c>
      <c r="G39" s="292">
        <v>0</v>
      </c>
      <c r="H39" s="292">
        <v>0</v>
      </c>
    </row>
    <row r="40" spans="1:9" ht="14.1" customHeight="1" x14ac:dyDescent="0.2">
      <c r="A40" s="15" t="s">
        <v>136</v>
      </c>
      <c r="B40" s="47">
        <v>5683.36</v>
      </c>
      <c r="C40" s="47">
        <v>0</v>
      </c>
      <c r="D40" s="48">
        <v>1362</v>
      </c>
      <c r="E40" s="49">
        <v>745.07</v>
      </c>
      <c r="F40" s="47">
        <v>0</v>
      </c>
      <c r="G40" s="47">
        <v>289</v>
      </c>
      <c r="H40" s="47">
        <v>0</v>
      </c>
    </row>
    <row r="41" spans="1:9" ht="14.1" customHeight="1" x14ac:dyDescent="0.2">
      <c r="A41" s="271" t="s">
        <v>137</v>
      </c>
      <c r="B41" s="292">
        <v>2043</v>
      </c>
      <c r="C41" s="292">
        <v>0</v>
      </c>
      <c r="D41" s="295">
        <v>0</v>
      </c>
      <c r="E41" s="296">
        <v>1491</v>
      </c>
      <c r="F41" s="292">
        <v>0</v>
      </c>
      <c r="G41" s="292">
        <v>736</v>
      </c>
      <c r="H41" s="292">
        <v>82</v>
      </c>
    </row>
    <row r="42" spans="1:9" ht="14.1" customHeight="1" x14ac:dyDescent="0.2">
      <c r="A42" s="15" t="s">
        <v>138</v>
      </c>
      <c r="B42" s="47">
        <v>1004</v>
      </c>
      <c r="C42" s="47">
        <v>0</v>
      </c>
      <c r="D42" s="48">
        <v>0</v>
      </c>
      <c r="E42" s="49">
        <v>194.5</v>
      </c>
      <c r="F42" s="47">
        <v>0</v>
      </c>
      <c r="G42" s="47">
        <v>80.5</v>
      </c>
      <c r="H42" s="47">
        <v>0</v>
      </c>
    </row>
    <row r="43" spans="1:9" ht="14.1" customHeight="1" x14ac:dyDescent="0.2">
      <c r="A43" s="271" t="s">
        <v>139</v>
      </c>
      <c r="B43" s="292">
        <v>921.5</v>
      </c>
      <c r="C43" s="292">
        <v>0</v>
      </c>
      <c r="D43" s="295">
        <v>0</v>
      </c>
      <c r="E43" s="296">
        <v>0</v>
      </c>
      <c r="F43" s="292">
        <v>0</v>
      </c>
      <c r="G43" s="292">
        <v>0</v>
      </c>
      <c r="H43" s="292">
        <v>0</v>
      </c>
    </row>
    <row r="44" spans="1:9" ht="14.1" customHeight="1" x14ac:dyDescent="0.2">
      <c r="A44" s="15" t="s">
        <v>140</v>
      </c>
      <c r="B44" s="47">
        <v>661</v>
      </c>
      <c r="C44" s="47">
        <v>0</v>
      </c>
      <c r="D44" s="48">
        <v>33.5</v>
      </c>
      <c r="E44" s="49">
        <v>0</v>
      </c>
      <c r="F44" s="47">
        <v>0</v>
      </c>
      <c r="G44" s="47">
        <v>0</v>
      </c>
      <c r="H44" s="47">
        <v>0</v>
      </c>
    </row>
    <row r="45" spans="1:9" ht="14.1" customHeight="1" x14ac:dyDescent="0.2">
      <c r="A45" s="271" t="s">
        <v>141</v>
      </c>
      <c r="B45" s="292">
        <v>844</v>
      </c>
      <c r="C45" s="292">
        <v>0</v>
      </c>
      <c r="D45" s="295">
        <v>0</v>
      </c>
      <c r="E45" s="296">
        <v>668</v>
      </c>
      <c r="F45" s="292">
        <v>0</v>
      </c>
      <c r="G45" s="292">
        <v>250</v>
      </c>
      <c r="H45" s="292">
        <v>0</v>
      </c>
    </row>
    <row r="46" spans="1:9" ht="14.1" customHeight="1" x14ac:dyDescent="0.2">
      <c r="A46" s="15" t="s">
        <v>142</v>
      </c>
      <c r="B46" s="47">
        <v>22319.9</v>
      </c>
      <c r="C46" s="47">
        <v>0</v>
      </c>
      <c r="D46" s="48">
        <v>1338.5</v>
      </c>
      <c r="E46" s="49">
        <v>3112.5</v>
      </c>
      <c r="F46" s="47">
        <v>0</v>
      </c>
      <c r="G46" s="47">
        <v>2600.5</v>
      </c>
      <c r="H46" s="47">
        <v>232.5</v>
      </c>
    </row>
    <row r="47" spans="1:9" ht="5.0999999999999996" customHeight="1" x14ac:dyDescent="0.2">
      <c r="A47"/>
      <c r="B47"/>
      <c r="C47"/>
      <c r="D47"/>
      <c r="E47"/>
      <c r="F47"/>
      <c r="G47"/>
      <c r="H47"/>
      <c r="I47"/>
    </row>
    <row r="48" spans="1:9" ht="14.1" customHeight="1" x14ac:dyDescent="0.2">
      <c r="A48" s="274" t="s">
        <v>143</v>
      </c>
      <c r="B48" s="293">
        <f>SUM(B11:B46)</f>
        <v>125006.26000000001</v>
      </c>
      <c r="C48" s="293">
        <f t="shared" ref="C48:H48" si="0">SUM(C11:C46)</f>
        <v>5756</v>
      </c>
      <c r="D48" s="358">
        <f t="shared" si="0"/>
        <v>12345</v>
      </c>
      <c r="E48" s="357">
        <f t="shared" si="0"/>
        <v>18800.97</v>
      </c>
      <c r="F48" s="293">
        <f t="shared" si="0"/>
        <v>270</v>
      </c>
      <c r="G48" s="293">
        <f t="shared" si="0"/>
        <v>11609.5</v>
      </c>
      <c r="H48" s="293">
        <f t="shared" si="0"/>
        <v>1083</v>
      </c>
    </row>
    <row r="49" spans="1:9" ht="5.0999999999999996" customHeight="1" x14ac:dyDescent="0.2">
      <c r="A49" s="17" t="s">
        <v>1</v>
      </c>
      <c r="B49" s="50"/>
      <c r="C49" s="50"/>
      <c r="D49" s="50"/>
      <c r="E49" s="50"/>
      <c r="F49" s="50"/>
      <c r="G49" s="50"/>
      <c r="H49" s="50"/>
    </row>
    <row r="50" spans="1:9" ht="14.1" customHeight="1" x14ac:dyDescent="0.2">
      <c r="A50" s="15" t="s">
        <v>144</v>
      </c>
      <c r="B50" s="47">
        <v>168</v>
      </c>
      <c r="C50" s="47">
        <v>0</v>
      </c>
      <c r="D50" s="48">
        <v>0</v>
      </c>
      <c r="E50" s="49">
        <v>0</v>
      </c>
      <c r="F50" s="47">
        <v>0</v>
      </c>
      <c r="G50" s="47">
        <v>0</v>
      </c>
      <c r="H50" s="47">
        <v>0</v>
      </c>
    </row>
    <row r="51" spans="1:9" ht="14.1" customHeight="1" x14ac:dyDescent="0.2">
      <c r="A51" s="360" t="s">
        <v>514</v>
      </c>
      <c r="B51" s="292">
        <v>124</v>
      </c>
      <c r="C51" s="292">
        <v>0</v>
      </c>
      <c r="D51" s="295">
        <v>0</v>
      </c>
      <c r="E51" s="296">
        <v>0</v>
      </c>
      <c r="F51" s="292">
        <v>0</v>
      </c>
      <c r="G51" s="292">
        <v>0</v>
      </c>
      <c r="H51" s="292">
        <v>0</v>
      </c>
    </row>
    <row r="52" spans="1:9" ht="50.1" customHeight="1" x14ac:dyDescent="0.2">
      <c r="A52" s="19"/>
      <c r="B52" s="51"/>
      <c r="C52" s="51"/>
      <c r="D52" s="51"/>
      <c r="E52" s="51"/>
      <c r="F52" s="51"/>
      <c r="G52" s="51"/>
      <c r="H52" s="51"/>
      <c r="I52" s="46"/>
    </row>
    <row r="53" spans="1:9" ht="15" customHeight="1" x14ac:dyDescent="0.2">
      <c r="A53" s="46" t="s">
        <v>340</v>
      </c>
      <c r="C53" s="46"/>
      <c r="D53" s="46"/>
      <c r="E53" s="46"/>
      <c r="F53" s="46"/>
      <c r="G53" s="46"/>
      <c r="H53" s="46"/>
      <c r="I53" s="46"/>
    </row>
    <row r="54" spans="1:9" ht="12" customHeight="1" x14ac:dyDescent="0.2">
      <c r="A54" s="46" t="s">
        <v>341</v>
      </c>
      <c r="C54" s="46"/>
      <c r="D54" s="46"/>
      <c r="E54" s="46"/>
      <c r="F54" s="46"/>
      <c r="G54" s="46"/>
      <c r="H54" s="46"/>
      <c r="I54" s="46"/>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10">
    <mergeCell ref="H8:H9"/>
    <mergeCell ref="E7:H7"/>
    <mergeCell ref="B7:D7"/>
    <mergeCell ref="B6:H6"/>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BB59"/>
  <sheetViews>
    <sheetView showGridLines="0" showZeros="0" workbookViewId="0"/>
  </sheetViews>
  <sheetFormatPr defaultColWidth="15.83203125" defaultRowHeight="12" x14ac:dyDescent="0.2"/>
  <cols>
    <col min="1" max="1" width="35.83203125" style="1" customWidth="1"/>
    <col min="2" max="3" width="25.83203125" style="1" customWidth="1"/>
    <col min="4" max="4" width="45.83203125" style="1" customWidth="1"/>
    <col min="5" max="52" width="15.83203125" style="1"/>
    <col min="53" max="53" width="73.5" style="1" bestFit="1" customWidth="1"/>
    <col min="54" max="16384" width="15.83203125" style="1"/>
  </cols>
  <sheetData>
    <row r="1" spans="1:54" ht="6.95" customHeight="1" x14ac:dyDescent="0.2">
      <c r="A1" s="3"/>
    </row>
    <row r="2" spans="1:54" ht="17.100000000000001" customHeight="1" x14ac:dyDescent="0.2">
      <c r="A2" s="241"/>
      <c r="B2" s="242" t="s">
        <v>551</v>
      </c>
      <c r="C2" s="133"/>
      <c r="D2" s="141"/>
      <c r="BA2" s="131" t="s">
        <v>464</v>
      </c>
      <c r="BB2" s="1" t="s">
        <v>460</v>
      </c>
    </row>
    <row r="3" spans="1:54" ht="15" customHeight="1" x14ac:dyDescent="0.2">
      <c r="A3" s="243"/>
      <c r="B3" s="195" t="str">
        <f>IF(Lang=1,BA3,BB3)</f>
        <v>FOR THE 2018 TAXATION YEAR  (2018 IS A REASSESSMENT YEAR)</v>
      </c>
      <c r="C3" s="144"/>
      <c r="D3" s="244"/>
      <c r="BA3" s="1" t="str">
        <f>"FOR THE "&amp;YEAR&amp;" TAXATION YEAR  (2018 IS A REASSESSMENT YEAR)"</f>
        <v>FOR THE 2018 TAXATION YEAR  (2018 IS A REASSESSMENT YEAR)</v>
      </c>
      <c r="BB3" s="131" t="s">
        <v>585</v>
      </c>
    </row>
    <row r="4" spans="1:54" ht="15.95" customHeight="1" x14ac:dyDescent="0.2">
      <c r="A4" s="131"/>
      <c r="B4" s="4"/>
      <c r="C4" s="55"/>
      <c r="BA4" s="1" t="s">
        <v>584</v>
      </c>
      <c r="BB4" s="1" t="s">
        <v>586</v>
      </c>
    </row>
    <row r="5" spans="1:54" ht="15.95" customHeight="1" x14ac:dyDescent="0.2">
      <c r="A5" s="1" t="str">
        <f>REPLACE(A4,5,5,"")</f>
        <v/>
      </c>
      <c r="B5" s="4"/>
      <c r="C5" s="4"/>
    </row>
    <row r="6" spans="1:54" ht="15.95" customHeight="1" x14ac:dyDescent="0.2">
      <c r="B6"/>
      <c r="C6"/>
    </row>
    <row r="7" spans="1:54" ht="15.95" customHeight="1" x14ac:dyDescent="0.2">
      <c r="B7" s="737" t="s">
        <v>462</v>
      </c>
      <c r="C7" s="476"/>
    </row>
    <row r="8" spans="1:54" ht="15.95" customHeight="1" x14ac:dyDescent="0.2">
      <c r="A8" s="249"/>
      <c r="B8" s="738"/>
      <c r="C8" s="740" t="s">
        <v>463</v>
      </c>
    </row>
    <row r="9" spans="1:54" ht="15.95" customHeight="1" x14ac:dyDescent="0.2">
      <c r="A9" s="250" t="s">
        <v>37</v>
      </c>
      <c r="B9" s="739"/>
      <c r="C9" s="741"/>
    </row>
    <row r="10" spans="1:54" ht="5.0999999999999996" customHeight="1" x14ac:dyDescent="0.2">
      <c r="A10" s="29"/>
      <c r="B10" s="182"/>
      <c r="C10" s="422">
        <v>9.7699999999999992E-3</v>
      </c>
    </row>
    <row r="11" spans="1:54" ht="14.1" customHeight="1" x14ac:dyDescent="0.2">
      <c r="A11" s="271" t="s">
        <v>108</v>
      </c>
      <c r="B11" s="272">
        <f>'- 47 -'!D11</f>
        <v>156158350</v>
      </c>
      <c r="C11" s="272">
        <f t="shared" ref="C11:C46" si="0">B11*C$10</f>
        <v>1525667.0794999998</v>
      </c>
      <c r="D11" s="528"/>
    </row>
    <row r="12" spans="1:54" ht="14.1" customHeight="1" x14ac:dyDescent="0.2">
      <c r="A12" s="15" t="s">
        <v>109</v>
      </c>
      <c r="B12" s="16">
        <f>'- 47 -'!D12</f>
        <v>214273150</v>
      </c>
      <c r="C12" s="16">
        <f t="shared" si="0"/>
        <v>2093448.6754999999</v>
      </c>
    </row>
    <row r="13" spans="1:54" ht="14.1" customHeight="1" x14ac:dyDescent="0.2">
      <c r="A13" s="271" t="s">
        <v>110</v>
      </c>
      <c r="B13" s="272">
        <f>'- 47 -'!D13</f>
        <v>943926600</v>
      </c>
      <c r="C13" s="272">
        <f t="shared" si="0"/>
        <v>9222162.8819999993</v>
      </c>
    </row>
    <row r="14" spans="1:54" ht="14.1" customHeight="1" x14ac:dyDescent="0.2">
      <c r="A14" s="15" t="s">
        <v>319</v>
      </c>
      <c r="B14" s="16">
        <f>'- 47 -'!D14</f>
        <v>0</v>
      </c>
      <c r="C14" s="16">
        <f t="shared" si="0"/>
        <v>0</v>
      </c>
    </row>
    <row r="15" spans="1:54" ht="14.1" customHeight="1" x14ac:dyDescent="0.2">
      <c r="A15" s="271" t="s">
        <v>111</v>
      </c>
      <c r="B15" s="272">
        <f>'- 47 -'!D15</f>
        <v>125923610</v>
      </c>
      <c r="C15" s="272">
        <f t="shared" si="0"/>
        <v>1230273.6697</v>
      </c>
    </row>
    <row r="16" spans="1:54" ht="14.1" customHeight="1" x14ac:dyDescent="0.2">
      <c r="A16" s="15" t="s">
        <v>112</v>
      </c>
      <c r="B16" s="16">
        <f>'- 47 -'!D16</f>
        <v>34475860</v>
      </c>
      <c r="C16" s="16">
        <f t="shared" si="0"/>
        <v>336829.15219999995</v>
      </c>
    </row>
    <row r="17" spans="1:3" ht="14.1" customHeight="1" x14ac:dyDescent="0.2">
      <c r="A17" s="271" t="s">
        <v>113</v>
      </c>
      <c r="B17" s="272">
        <f>'- 47 -'!D17</f>
        <v>588970920</v>
      </c>
      <c r="C17" s="272">
        <f t="shared" si="0"/>
        <v>5754245.8883999996</v>
      </c>
    </row>
    <row r="18" spans="1:3" ht="14.1" customHeight="1" x14ac:dyDescent="0.2">
      <c r="A18" s="15" t="s">
        <v>114</v>
      </c>
      <c r="B18" s="16">
        <f>'- 47 -'!D18</f>
        <v>78336770</v>
      </c>
      <c r="C18" s="16">
        <f t="shared" si="0"/>
        <v>765350.24289999995</v>
      </c>
    </row>
    <row r="19" spans="1:3" ht="14.1" customHeight="1" x14ac:dyDescent="0.2">
      <c r="A19" s="271" t="s">
        <v>115</v>
      </c>
      <c r="B19" s="272">
        <f>'- 47 -'!D19</f>
        <v>331336680</v>
      </c>
      <c r="C19" s="272">
        <f t="shared" si="0"/>
        <v>3237159.3635999998</v>
      </c>
    </row>
    <row r="20" spans="1:3" ht="14.1" customHeight="1" x14ac:dyDescent="0.2">
      <c r="A20" s="15" t="s">
        <v>116</v>
      </c>
      <c r="B20" s="16">
        <f>'- 47 -'!D20</f>
        <v>441612950</v>
      </c>
      <c r="C20" s="16">
        <f t="shared" si="0"/>
        <v>4314558.5214999998</v>
      </c>
    </row>
    <row r="21" spans="1:3" ht="14.1" customHeight="1" x14ac:dyDescent="0.2">
      <c r="A21" s="271" t="s">
        <v>117</v>
      </c>
      <c r="B21" s="272">
        <f>'- 47 -'!D21</f>
        <v>305427440</v>
      </c>
      <c r="C21" s="272">
        <f t="shared" si="0"/>
        <v>2984026.0887999996</v>
      </c>
    </row>
    <row r="22" spans="1:3" ht="14.1" customHeight="1" x14ac:dyDescent="0.2">
      <c r="A22" s="15" t="s">
        <v>118</v>
      </c>
      <c r="B22" s="16">
        <f>'- 47 -'!D22</f>
        <v>66655460</v>
      </c>
      <c r="C22" s="16">
        <f t="shared" si="0"/>
        <v>651223.84419999993</v>
      </c>
    </row>
    <row r="23" spans="1:3" ht="14.1" customHeight="1" x14ac:dyDescent="0.2">
      <c r="A23" s="271" t="s">
        <v>119</v>
      </c>
      <c r="B23" s="272">
        <f>'- 47 -'!D23</f>
        <v>36107220</v>
      </c>
      <c r="C23" s="272">
        <f t="shared" si="0"/>
        <v>352767.53939999995</v>
      </c>
    </row>
    <row r="24" spans="1:3" ht="14.1" customHeight="1" x14ac:dyDescent="0.2">
      <c r="A24" s="15" t="s">
        <v>120</v>
      </c>
      <c r="B24" s="16">
        <f>'- 47 -'!D24</f>
        <v>262920520</v>
      </c>
      <c r="C24" s="16">
        <f t="shared" si="0"/>
        <v>2568733.4803999998</v>
      </c>
    </row>
    <row r="25" spans="1:3" ht="14.1" customHeight="1" x14ac:dyDescent="0.2">
      <c r="A25" s="271" t="s">
        <v>121</v>
      </c>
      <c r="B25" s="272">
        <f>'- 47 -'!D25</f>
        <v>1525199870</v>
      </c>
      <c r="C25" s="272">
        <f t="shared" si="0"/>
        <v>14901202.729899999</v>
      </c>
    </row>
    <row r="26" spans="1:3" ht="14.1" customHeight="1" x14ac:dyDescent="0.2">
      <c r="A26" s="15" t="s">
        <v>122</v>
      </c>
      <c r="B26" s="16">
        <f>'- 47 -'!D26</f>
        <v>152634360</v>
      </c>
      <c r="C26" s="16">
        <f t="shared" si="0"/>
        <v>1491237.6971999998</v>
      </c>
    </row>
    <row r="27" spans="1:3" ht="14.1" customHeight="1" x14ac:dyDescent="0.2">
      <c r="A27" s="271" t="s">
        <v>123</v>
      </c>
      <c r="B27" s="272">
        <f>'- 47 -'!D27</f>
        <v>132632400</v>
      </c>
      <c r="C27" s="272">
        <f t="shared" si="0"/>
        <v>1295818.548</v>
      </c>
    </row>
    <row r="28" spans="1:3" ht="14.1" customHeight="1" x14ac:dyDescent="0.2">
      <c r="A28" s="15" t="s">
        <v>124</v>
      </c>
      <c r="B28" s="16">
        <f>'- 47 -'!D28</f>
        <v>196752490</v>
      </c>
      <c r="C28" s="16">
        <f t="shared" si="0"/>
        <v>1922271.8272999998</v>
      </c>
    </row>
    <row r="29" spans="1:3" ht="14.1" customHeight="1" x14ac:dyDescent="0.2">
      <c r="A29" s="271" t="s">
        <v>125</v>
      </c>
      <c r="B29" s="272">
        <f>'- 47 -'!D29</f>
        <v>1712039770</v>
      </c>
      <c r="C29" s="272">
        <f t="shared" si="0"/>
        <v>16726628.552899998</v>
      </c>
    </row>
    <row r="30" spans="1:3" ht="14.1" customHeight="1" x14ac:dyDescent="0.2">
      <c r="A30" s="15" t="s">
        <v>126</v>
      </c>
      <c r="B30" s="16">
        <f>'- 47 -'!D30</f>
        <v>108876620</v>
      </c>
      <c r="C30" s="16">
        <f t="shared" si="0"/>
        <v>1063724.5773999998</v>
      </c>
    </row>
    <row r="31" spans="1:3" ht="14.1" customHeight="1" x14ac:dyDescent="0.2">
      <c r="A31" s="271" t="s">
        <v>127</v>
      </c>
      <c r="B31" s="272">
        <f>'- 47 -'!D31</f>
        <v>358520700</v>
      </c>
      <c r="C31" s="272">
        <f t="shared" si="0"/>
        <v>3502747.2389999996</v>
      </c>
    </row>
    <row r="32" spans="1:3" ht="14.1" customHeight="1" x14ac:dyDescent="0.2">
      <c r="A32" s="15" t="s">
        <v>128</v>
      </c>
      <c r="B32" s="16">
        <f>'- 47 -'!D32</f>
        <v>158828990</v>
      </c>
      <c r="C32" s="16">
        <f t="shared" si="0"/>
        <v>1551759.2322999998</v>
      </c>
    </row>
    <row r="33" spans="1:4" ht="14.1" customHeight="1" x14ac:dyDescent="0.2">
      <c r="A33" s="271" t="s">
        <v>129</v>
      </c>
      <c r="B33" s="272">
        <f>'- 47 -'!D33</f>
        <v>183438720</v>
      </c>
      <c r="C33" s="272">
        <f t="shared" si="0"/>
        <v>1792196.2943999998</v>
      </c>
    </row>
    <row r="34" spans="1:4" ht="14.1" customHeight="1" x14ac:dyDescent="0.2">
      <c r="A34" s="15" t="s">
        <v>130</v>
      </c>
      <c r="B34" s="16">
        <f>'- 47 -'!D34</f>
        <v>298096420</v>
      </c>
      <c r="C34" s="16">
        <f t="shared" si="0"/>
        <v>2912402.0233999998</v>
      </c>
    </row>
    <row r="35" spans="1:4" ht="14.1" customHeight="1" x14ac:dyDescent="0.2">
      <c r="A35" s="271" t="s">
        <v>131</v>
      </c>
      <c r="B35" s="272">
        <f>'- 47 -'!D35</f>
        <v>1165842430</v>
      </c>
      <c r="C35" s="272">
        <f t="shared" si="0"/>
        <v>11390280.541099999</v>
      </c>
    </row>
    <row r="36" spans="1:4" ht="14.1" customHeight="1" x14ac:dyDescent="0.2">
      <c r="A36" s="15" t="s">
        <v>132</v>
      </c>
      <c r="B36" s="16">
        <f>'- 47 -'!D36</f>
        <v>182005240</v>
      </c>
      <c r="C36" s="16">
        <f t="shared" si="0"/>
        <v>1778191.1947999999</v>
      </c>
    </row>
    <row r="37" spans="1:4" ht="14.1" customHeight="1" x14ac:dyDescent="0.2">
      <c r="A37" s="271" t="s">
        <v>133</v>
      </c>
      <c r="B37" s="272">
        <f>'- 47 -'!D37</f>
        <v>201334190</v>
      </c>
      <c r="C37" s="272">
        <f t="shared" si="0"/>
        <v>1967035.0362999998</v>
      </c>
    </row>
    <row r="38" spans="1:4" ht="14.1" customHeight="1" x14ac:dyDescent="0.2">
      <c r="A38" s="15" t="s">
        <v>134</v>
      </c>
      <c r="B38" s="16">
        <f>'- 47 -'!D38</f>
        <v>422397540</v>
      </c>
      <c r="C38" s="16">
        <f t="shared" si="0"/>
        <v>4126823.9657999994</v>
      </c>
    </row>
    <row r="39" spans="1:4" ht="14.1" customHeight="1" x14ac:dyDescent="0.2">
      <c r="A39" s="271" t="s">
        <v>135</v>
      </c>
      <c r="B39" s="272">
        <f>'- 47 -'!D39</f>
        <v>362223530</v>
      </c>
      <c r="C39" s="272">
        <f t="shared" si="0"/>
        <v>3538923.8880999996</v>
      </c>
    </row>
    <row r="40" spans="1:4" ht="14.1" customHeight="1" x14ac:dyDescent="0.2">
      <c r="A40" s="15" t="s">
        <v>136</v>
      </c>
      <c r="B40" s="16">
        <f>'- 47 -'!D40</f>
        <v>1746863890</v>
      </c>
      <c r="C40" s="16">
        <f t="shared" si="0"/>
        <v>17066860.2053</v>
      </c>
    </row>
    <row r="41" spans="1:4" ht="14.1" customHeight="1" x14ac:dyDescent="0.2">
      <c r="A41" s="271" t="s">
        <v>137</v>
      </c>
      <c r="B41" s="272">
        <f>'- 47 -'!D41</f>
        <v>462099030</v>
      </c>
      <c r="C41" s="272">
        <f t="shared" si="0"/>
        <v>4514707.5230999999</v>
      </c>
    </row>
    <row r="42" spans="1:4" ht="14.1" customHeight="1" x14ac:dyDescent="0.2">
      <c r="A42" s="15" t="s">
        <v>138</v>
      </c>
      <c r="B42" s="16">
        <f>'- 47 -'!D42</f>
        <v>86211730</v>
      </c>
      <c r="C42" s="16">
        <f t="shared" si="0"/>
        <v>842288.6020999999</v>
      </c>
    </row>
    <row r="43" spans="1:4" ht="14.1" customHeight="1" x14ac:dyDescent="0.2">
      <c r="A43" s="271" t="s">
        <v>139</v>
      </c>
      <c r="B43" s="272">
        <f>'- 47 -'!D43</f>
        <v>69446300</v>
      </c>
      <c r="C43" s="272">
        <f t="shared" si="0"/>
        <v>678490.35099999991</v>
      </c>
    </row>
    <row r="44" spans="1:4" ht="14.1" customHeight="1" x14ac:dyDescent="0.2">
      <c r="A44" s="15" t="s">
        <v>140</v>
      </c>
      <c r="B44" s="16">
        <f>'- 47 -'!D44</f>
        <v>14091930</v>
      </c>
      <c r="C44" s="16">
        <f t="shared" si="0"/>
        <v>137678.15609999999</v>
      </c>
    </row>
    <row r="45" spans="1:4" ht="14.1" customHeight="1" x14ac:dyDescent="0.2">
      <c r="A45" s="271" t="s">
        <v>141</v>
      </c>
      <c r="B45" s="272">
        <f>'- 47 -'!D45</f>
        <v>110994350</v>
      </c>
      <c r="C45" s="272">
        <f t="shared" si="0"/>
        <v>1084414.7995</v>
      </c>
    </row>
    <row r="46" spans="1:4" ht="14.1" customHeight="1" x14ac:dyDescent="0.2">
      <c r="A46" s="15" t="s">
        <v>142</v>
      </c>
      <c r="B46" s="16">
        <f>'- 47 -'!D46</f>
        <v>5227563810</v>
      </c>
      <c r="C46" s="16">
        <f t="shared" si="0"/>
        <v>51073298.423699997</v>
      </c>
      <c r="D46"/>
    </row>
    <row r="47" spans="1:4" ht="6" customHeight="1" x14ac:dyDescent="0.2">
      <c r="A47"/>
      <c r="B47"/>
      <c r="C47"/>
      <c r="D47"/>
    </row>
    <row r="48" spans="1:4" ht="14.1" customHeight="1" x14ac:dyDescent="0.2">
      <c r="A48" s="274" t="s">
        <v>147</v>
      </c>
      <c r="B48" s="275">
        <f>SUM(B11:B46)</f>
        <v>18464219840</v>
      </c>
      <c r="C48" s="275">
        <f>SUM(C11:C46)</f>
        <v>180395427.83679998</v>
      </c>
      <c r="D48"/>
    </row>
    <row r="49" spans="1:4" ht="6" customHeight="1" x14ac:dyDescent="0.2">
      <c r="A49" s="17"/>
      <c r="B49" s="18"/>
      <c r="C49" s="18"/>
      <c r="D49"/>
    </row>
    <row r="50" spans="1:4" ht="14.1" customHeight="1" x14ac:dyDescent="0.2">
      <c r="A50" s="15" t="s">
        <v>145</v>
      </c>
      <c r="B50" s="16">
        <f>'- 47 -'!D50</f>
        <v>3728280</v>
      </c>
      <c r="C50" s="16">
        <v>0</v>
      </c>
      <c r="D50"/>
    </row>
    <row r="51" spans="1:4" ht="14.1" customHeight="1" x14ac:dyDescent="0.2">
      <c r="A51" s="271" t="s">
        <v>146</v>
      </c>
      <c r="B51" s="272">
        <f>'- 47 -'!D51</f>
        <v>54498910</v>
      </c>
      <c r="C51" s="272">
        <f>B51*C$10</f>
        <v>532454.35069999995</v>
      </c>
      <c r="D51"/>
    </row>
    <row r="52" spans="1:4" ht="6" customHeight="1" x14ac:dyDescent="0.2">
      <c r="A52" s="127"/>
      <c r="B52" s="140"/>
      <c r="C52" s="140"/>
      <c r="D52"/>
    </row>
    <row r="53" spans="1:4" ht="14.45" customHeight="1" x14ac:dyDescent="0.2">
      <c r="A53" s="274" t="s">
        <v>143</v>
      </c>
      <c r="B53" s="275">
        <f>SUM(B48,B50:B51)</f>
        <v>18522447030</v>
      </c>
      <c r="C53" s="275">
        <f>SUM(C48,C50:C51)</f>
        <v>180927882.18749997</v>
      </c>
      <c r="D53" s="428"/>
    </row>
    <row r="54" spans="1:4" ht="29.1" customHeight="1" x14ac:dyDescent="0.2">
      <c r="A54" s="245"/>
      <c r="B54" s="245"/>
      <c r="C54" s="245"/>
      <c r="D54" s="19"/>
    </row>
    <row r="55" spans="1:4" ht="14.45" customHeight="1" x14ac:dyDescent="0.2">
      <c r="A55" s="356" t="s">
        <v>582</v>
      </c>
      <c r="B55" s="31"/>
      <c r="C55" s="31"/>
      <c r="D55" s="31"/>
    </row>
    <row r="56" spans="1:4" ht="14.45" customHeight="1" x14ac:dyDescent="0.2">
      <c r="A56" s="20"/>
      <c r="B56" s="31"/>
      <c r="C56" s="31"/>
      <c r="D56" s="31"/>
    </row>
    <row r="57" spans="1:4" ht="14.45" customHeight="1" x14ac:dyDescent="0.2">
      <c r="A57" s="21"/>
      <c r="B57" s="31"/>
      <c r="C57" s="31"/>
      <c r="D57" s="31"/>
    </row>
    <row r="58" spans="1:4" ht="14.45" customHeight="1" x14ac:dyDescent="0.2">
      <c r="B58" s="90"/>
      <c r="C58" s="90"/>
    </row>
    <row r="59" spans="1:4" ht="14.45" customHeight="1" x14ac:dyDescent="0.2"/>
  </sheetData>
  <mergeCells count="2">
    <mergeCell ref="B7:B9"/>
    <mergeCell ref="C8:C9"/>
  </mergeCells>
  <phoneticPr fontId="0" type="noConversion"/>
  <printOptions horizontalCentered="1"/>
  <pageMargins left="0.5" right="0.5" top="0.6" bottom="0" header="0.3" footer="0"/>
  <pageSetup scale="11"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pageSetUpPr fitToPage="1"/>
  </sheetPr>
  <dimension ref="A1:BB57"/>
  <sheetViews>
    <sheetView showGridLines="0" showZeros="0" workbookViewId="0"/>
  </sheetViews>
  <sheetFormatPr defaultColWidth="15.83203125" defaultRowHeight="12" x14ac:dyDescent="0.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6" style="1" customWidth="1"/>
    <col min="8" max="8" width="15.83203125" style="1"/>
    <col min="9" max="9" width="21" style="1" hidden="1" customWidth="1"/>
    <col min="10" max="10" width="0" style="1" hidden="1" customWidth="1"/>
    <col min="11" max="16384" width="15.83203125" style="1"/>
  </cols>
  <sheetData>
    <row r="1" spans="1:54" ht="6.95" customHeight="1" x14ac:dyDescent="0.2">
      <c r="A1" s="3"/>
    </row>
    <row r="2" spans="1:54" ht="15.95" customHeight="1" x14ac:dyDescent="0.2">
      <c r="A2" s="193" t="str">
        <f>IF(Lang=1,BA2,BB2)</f>
        <v>TOTAL PORTIONED ASSESSMENT, SPECIAL LEVY AND MILL RATES</v>
      </c>
      <c r="B2" s="194"/>
      <c r="C2" s="194"/>
      <c r="D2" s="194"/>
      <c r="E2" s="194"/>
      <c r="F2" s="194"/>
      <c r="G2" s="194"/>
      <c r="BA2" s="456" t="s">
        <v>43</v>
      </c>
      <c r="BB2" s="456" t="s">
        <v>469</v>
      </c>
    </row>
    <row r="3" spans="1:54" ht="15.95" customHeight="1" x14ac:dyDescent="0.2">
      <c r="A3" s="195" t="str">
        <f>TAXYEAR</f>
        <v>FOR THE 2018 TAXATION YEAR  (2018 IS A REASSESSMENT YEAR)</v>
      </c>
      <c r="B3" s="196"/>
      <c r="C3" s="196"/>
      <c r="D3" s="196"/>
      <c r="E3" s="197"/>
      <c r="F3" s="197"/>
      <c r="G3" s="196"/>
    </row>
    <row r="4" spans="1:54" ht="15.95" customHeight="1" x14ac:dyDescent="0.2">
      <c r="B4" s="4"/>
      <c r="C4" s="4"/>
      <c r="D4" s="4"/>
      <c r="E4" s="55"/>
      <c r="F4" s="55"/>
      <c r="G4" s="55"/>
    </row>
    <row r="5" spans="1:54" ht="15.95" customHeight="1" x14ac:dyDescent="0.2">
      <c r="B5" s="4"/>
      <c r="C5" s="4"/>
      <c r="D5" s="4"/>
      <c r="E5" s="4"/>
      <c r="F5" s="4"/>
      <c r="G5" s="4"/>
    </row>
    <row r="6" spans="1:54" ht="15.95" customHeight="1" x14ac:dyDescent="0.2">
      <c r="B6" s="745" t="s">
        <v>299</v>
      </c>
      <c r="C6" s="706"/>
      <c r="D6" s="706"/>
      <c r="E6" s="707"/>
      <c r="F6" s="4"/>
      <c r="G6" s="4"/>
      <c r="H6" s="128" t="s">
        <v>56</v>
      </c>
    </row>
    <row r="7" spans="1:54" ht="15.95" customHeight="1" x14ac:dyDescent="0.2">
      <c r="B7" s="746" t="s">
        <v>465</v>
      </c>
      <c r="C7" s="746" t="s">
        <v>466</v>
      </c>
      <c r="D7" s="318"/>
      <c r="E7" s="284"/>
      <c r="F7" s="317"/>
      <c r="G7" s="734" t="s">
        <v>468</v>
      </c>
      <c r="H7" s="128" t="s">
        <v>55</v>
      </c>
    </row>
    <row r="8" spans="1:54" ht="15.95" customHeight="1" x14ac:dyDescent="0.2">
      <c r="A8" s="24"/>
      <c r="B8" s="747"/>
      <c r="C8" s="749"/>
      <c r="D8" s="320" t="s">
        <v>1</v>
      </c>
      <c r="E8" s="321"/>
      <c r="F8" s="735" t="s">
        <v>467</v>
      </c>
      <c r="G8" s="714"/>
      <c r="H8" s="128" t="s">
        <v>99</v>
      </c>
    </row>
    <row r="9" spans="1:54" ht="15.95" customHeight="1" x14ac:dyDescent="0.2">
      <c r="A9" s="198" t="s">
        <v>37</v>
      </c>
      <c r="B9" s="748"/>
      <c r="C9" s="750"/>
      <c r="D9" s="319" t="s">
        <v>60</v>
      </c>
      <c r="E9" s="285" t="s">
        <v>25</v>
      </c>
      <c r="F9" s="598"/>
      <c r="G9" s="598"/>
      <c r="H9" s="128" t="s">
        <v>100</v>
      </c>
    </row>
    <row r="10" spans="1:54" ht="5.0999999999999996" customHeight="1" x14ac:dyDescent="0.2">
      <c r="A10" s="14"/>
      <c r="B10" s="182"/>
      <c r="C10" s="3"/>
      <c r="D10" s="182"/>
      <c r="E10" s="182"/>
      <c r="F10" s="3"/>
      <c r="G10" s="3"/>
    </row>
    <row r="11" spans="1:54" ht="14.1" customHeight="1" x14ac:dyDescent="0.2">
      <c r="A11" s="271" t="s">
        <v>108</v>
      </c>
      <c r="B11" s="272">
        <v>315663190</v>
      </c>
      <c r="C11" s="272">
        <v>322928910</v>
      </c>
      <c r="D11" s="272">
        <v>156158350</v>
      </c>
      <c r="E11" s="272">
        <v>794750450</v>
      </c>
      <c r="F11" s="272">
        <f>'- 50 -'!C11</f>
        <v>8957665</v>
      </c>
      <c r="G11" s="273">
        <f t="shared" ref="G11:G46" si="0">F11/E11*1000</f>
        <v>11.271041117372127</v>
      </c>
      <c r="I11" s="192" t="str">
        <f>A11</f>
        <v xml:space="preserve"> BEAUTIFUL PLAINS</v>
      </c>
      <c r="J11" s="199">
        <f>G11</f>
        <v>11.271041117372127</v>
      </c>
      <c r="K11" s="1">
        <f>F11-'- 50 -'!C11</f>
        <v>0</v>
      </c>
    </row>
    <row r="12" spans="1:54" ht="14.1" customHeight="1" x14ac:dyDescent="0.2">
      <c r="A12" s="15" t="s">
        <v>109</v>
      </c>
      <c r="B12" s="16">
        <v>350906290</v>
      </c>
      <c r="C12" s="16">
        <v>435956920</v>
      </c>
      <c r="D12" s="16">
        <v>214273150</v>
      </c>
      <c r="E12" s="16">
        <v>1001136360</v>
      </c>
      <c r="F12" s="16">
        <f>'- 50 -'!C12</f>
        <v>14421496</v>
      </c>
      <c r="G12" s="267">
        <f t="shared" si="0"/>
        <v>14.405126590347793</v>
      </c>
      <c r="I12" s="192" t="str">
        <f>A12</f>
        <v xml:space="preserve"> BORDER LAND</v>
      </c>
      <c r="J12" s="199">
        <f>G12</f>
        <v>14.405126590347793</v>
      </c>
      <c r="K12" s="79">
        <f>F12-'- 50 -'!C12</f>
        <v>0</v>
      </c>
    </row>
    <row r="13" spans="1:54" ht="14.1" customHeight="1" x14ac:dyDescent="0.2">
      <c r="A13" s="271" t="s">
        <v>110</v>
      </c>
      <c r="B13" s="272">
        <v>2120165260</v>
      </c>
      <c r="C13" s="272">
        <v>105622620</v>
      </c>
      <c r="D13" s="272">
        <v>943926600</v>
      </c>
      <c r="E13" s="272">
        <v>3169714480</v>
      </c>
      <c r="F13" s="272">
        <f>'- 50 -'!C13</f>
        <v>47696704</v>
      </c>
      <c r="G13" s="273">
        <f t="shared" si="0"/>
        <v>15.047634195746236</v>
      </c>
      <c r="I13" s="192" t="str">
        <f>A13</f>
        <v xml:space="preserve"> BRANDON</v>
      </c>
      <c r="J13" s="199">
        <f>G13</f>
        <v>15.047634195746236</v>
      </c>
      <c r="K13" s="1">
        <f>F13-'- 50 -'!C13</f>
        <v>0</v>
      </c>
    </row>
    <row r="14" spans="1:54" ht="14.1" customHeight="1" x14ac:dyDescent="0.2">
      <c r="A14" s="15" t="s">
        <v>319</v>
      </c>
      <c r="B14" s="16"/>
      <c r="C14" s="16"/>
      <c r="D14" s="16"/>
      <c r="E14" s="16"/>
      <c r="F14" s="16">
        <f>'- 50 -'!C14</f>
        <v>0</v>
      </c>
      <c r="G14" s="267"/>
      <c r="I14" s="192" t="str">
        <f t="shared" ref="I14:I45" si="1">A15</f>
        <v xml:space="preserve"> EVERGREEN</v>
      </c>
      <c r="J14" s="199">
        <f t="shared" ref="J14:J45" si="2">G15</f>
        <v>10.984411245544862</v>
      </c>
      <c r="K14" s="1">
        <f>F14-'- 50 -'!C14</f>
        <v>0</v>
      </c>
      <c r="L14" s="442"/>
    </row>
    <row r="15" spans="1:54" ht="14.1" customHeight="1" x14ac:dyDescent="0.2">
      <c r="A15" s="271" t="s">
        <v>111</v>
      </c>
      <c r="B15" s="272">
        <v>766115580</v>
      </c>
      <c r="C15" s="272">
        <v>106036060</v>
      </c>
      <c r="D15" s="272">
        <v>125923610</v>
      </c>
      <c r="E15" s="272">
        <v>998075250</v>
      </c>
      <c r="F15" s="272">
        <f>'- 50 -'!C15</f>
        <v>10963269</v>
      </c>
      <c r="G15" s="273">
        <f t="shared" si="0"/>
        <v>10.984411245544862</v>
      </c>
      <c r="I15" s="192" t="str">
        <f t="shared" si="1"/>
        <v xml:space="preserve"> FLIN FLON</v>
      </c>
      <c r="J15" s="199">
        <f t="shared" si="2"/>
        <v>21.435859804311313</v>
      </c>
      <c r="K15" s="1">
        <f>F15-'- 50 -'!C15</f>
        <v>0</v>
      </c>
    </row>
    <row r="16" spans="1:54" ht="14.1" customHeight="1" x14ac:dyDescent="0.25">
      <c r="A16" s="15" t="s">
        <v>112</v>
      </c>
      <c r="B16" s="16">
        <v>100680650</v>
      </c>
      <c r="C16" s="16">
        <v>0</v>
      </c>
      <c r="D16" s="16">
        <v>34475860</v>
      </c>
      <c r="E16" s="16">
        <v>135156510</v>
      </c>
      <c r="F16" s="16">
        <f>'- 50 -'!C16</f>
        <v>4389563</v>
      </c>
      <c r="G16" s="267">
        <f>(F16-H16)/E16*1000</f>
        <v>21.435859804311313</v>
      </c>
      <c r="H16" s="446">
        <v>1492367</v>
      </c>
      <c r="I16" s="192" t="str">
        <f t="shared" si="1"/>
        <v xml:space="preserve"> FORT LA BOSSE</v>
      </c>
      <c r="J16" s="199">
        <f t="shared" si="2"/>
        <v>7.7231349411031802</v>
      </c>
      <c r="K16" s="1">
        <f>F16-'- 50 -'!C16</f>
        <v>0</v>
      </c>
      <c r="L16" s="517"/>
    </row>
    <row r="17" spans="1:13" ht="14.1" customHeight="1" x14ac:dyDescent="0.25">
      <c r="A17" s="271" t="s">
        <v>113</v>
      </c>
      <c r="B17" s="272">
        <v>338378090</v>
      </c>
      <c r="C17" s="272">
        <v>275423060</v>
      </c>
      <c r="D17" s="272">
        <v>588970920</v>
      </c>
      <c r="E17" s="272">
        <v>1202772070</v>
      </c>
      <c r="F17" s="272">
        <f>'- 50 -'!C17</f>
        <v>9289171</v>
      </c>
      <c r="G17" s="273">
        <f t="shared" si="0"/>
        <v>7.7231349411031802</v>
      </c>
      <c r="I17" s="192" t="str">
        <f t="shared" si="1"/>
        <v xml:space="preserve"> FRONTIER</v>
      </c>
      <c r="J17" s="199">
        <f t="shared" si="2"/>
        <v>12.864999489105124</v>
      </c>
      <c r="K17" s="1">
        <f>F17-'- 50 -'!C17</f>
        <v>0</v>
      </c>
      <c r="M17" s="527"/>
    </row>
    <row r="18" spans="1:13" ht="14.1" customHeight="1" x14ac:dyDescent="0.2">
      <c r="A18" s="15" t="s">
        <v>114</v>
      </c>
      <c r="B18" s="16">
        <v>149973670</v>
      </c>
      <c r="C18" s="16">
        <v>25264230</v>
      </c>
      <c r="D18" s="16">
        <v>78336770</v>
      </c>
      <c r="E18" s="16">
        <v>253574670</v>
      </c>
      <c r="F18" s="16">
        <f>'- 50 -'!C18</f>
        <v>3262238</v>
      </c>
      <c r="G18" s="267">
        <f t="shared" si="0"/>
        <v>12.864999489105124</v>
      </c>
      <c r="I18" s="192" t="str">
        <f t="shared" si="1"/>
        <v xml:space="preserve"> GARDEN VALLEY</v>
      </c>
      <c r="J18" s="199">
        <f t="shared" si="2"/>
        <v>15.080288048099247</v>
      </c>
      <c r="K18" s="1">
        <f>F18-'- 50 -'!C18</f>
        <v>0</v>
      </c>
    </row>
    <row r="19" spans="1:13" ht="14.1" customHeight="1" x14ac:dyDescent="0.2">
      <c r="A19" s="271" t="s">
        <v>115</v>
      </c>
      <c r="B19" s="272">
        <v>661996230</v>
      </c>
      <c r="C19" s="272">
        <v>286061750</v>
      </c>
      <c r="D19" s="272">
        <v>331336680</v>
      </c>
      <c r="E19" s="272">
        <v>1279394660</v>
      </c>
      <c r="F19" s="272">
        <f>'- 50 -'!C19</f>
        <v>19293640</v>
      </c>
      <c r="G19" s="273">
        <f t="shared" si="0"/>
        <v>15.080288048099247</v>
      </c>
      <c r="I19" s="192" t="str">
        <f t="shared" si="1"/>
        <v xml:space="preserve"> HANOVER</v>
      </c>
      <c r="J19" s="199">
        <f t="shared" si="2"/>
        <v>15.142682992713993</v>
      </c>
      <c r="K19" s="1">
        <f>F19-'- 50 -'!C19</f>
        <v>0</v>
      </c>
    </row>
    <row r="20" spans="1:13" ht="14.1" customHeight="1" x14ac:dyDescent="0.2">
      <c r="A20" s="15" t="s">
        <v>116</v>
      </c>
      <c r="B20" s="16">
        <v>1534201720</v>
      </c>
      <c r="C20" s="16">
        <v>228145620</v>
      </c>
      <c r="D20" s="16">
        <v>441612950</v>
      </c>
      <c r="E20" s="16">
        <v>2203960290</v>
      </c>
      <c r="F20" s="16">
        <f>'- 50 -'!C20</f>
        <v>33373872</v>
      </c>
      <c r="G20" s="267">
        <f t="shared" si="0"/>
        <v>15.142682992713993</v>
      </c>
      <c r="I20" s="192" t="str">
        <f t="shared" si="1"/>
        <v xml:space="preserve"> INTERLAKE</v>
      </c>
      <c r="J20" s="199">
        <f t="shared" si="2"/>
        <v>13.587764129088127</v>
      </c>
      <c r="K20" s="1">
        <f>F20-'- 50 -'!C20</f>
        <v>0</v>
      </c>
    </row>
    <row r="21" spans="1:13" ht="14.1" customHeight="1" x14ac:dyDescent="0.2">
      <c r="A21" s="271" t="s">
        <v>117</v>
      </c>
      <c r="B21" s="272">
        <v>825161270</v>
      </c>
      <c r="C21" s="272">
        <v>270126950</v>
      </c>
      <c r="D21" s="272">
        <v>305427440</v>
      </c>
      <c r="E21" s="272">
        <v>1400715660</v>
      </c>
      <c r="F21" s="272">
        <f>'- 50 -'!C21</f>
        <v>19032594</v>
      </c>
      <c r="G21" s="273">
        <f>F21/E21*1000</f>
        <v>13.587764129088127</v>
      </c>
      <c r="I21" s="192" t="str">
        <f t="shared" si="1"/>
        <v xml:space="preserve"> KELSEY</v>
      </c>
      <c r="J21" s="199">
        <f t="shared" si="2"/>
        <v>17.534076892125718</v>
      </c>
      <c r="K21" s="1">
        <f>F21-'- 50 -'!C21</f>
        <v>0</v>
      </c>
    </row>
    <row r="22" spans="1:13" ht="14.1" customHeight="1" x14ac:dyDescent="0.2">
      <c r="A22" s="15" t="s">
        <v>118</v>
      </c>
      <c r="B22" s="16">
        <v>171526380</v>
      </c>
      <c r="C22" s="16">
        <v>21706150</v>
      </c>
      <c r="D22" s="16">
        <v>66655460</v>
      </c>
      <c r="E22" s="16">
        <v>259887990</v>
      </c>
      <c r="F22" s="16">
        <f>'- 50 -'!C22</f>
        <v>4556896</v>
      </c>
      <c r="G22" s="267">
        <f t="shared" si="0"/>
        <v>17.534076892125718</v>
      </c>
      <c r="I22" s="192" t="str">
        <f t="shared" si="1"/>
        <v xml:space="preserve"> LAKESHORE</v>
      </c>
      <c r="J22" s="199">
        <f t="shared" si="2"/>
        <v>14.84507254638002</v>
      </c>
      <c r="K22" s="1">
        <f>F22-'- 50 -'!C22</f>
        <v>0</v>
      </c>
    </row>
    <row r="23" spans="1:13" ht="14.1" customHeight="1" x14ac:dyDescent="0.2">
      <c r="A23" s="271" t="s">
        <v>119</v>
      </c>
      <c r="B23" s="272">
        <v>170806530</v>
      </c>
      <c r="C23" s="272">
        <v>117371900</v>
      </c>
      <c r="D23" s="272">
        <v>36107220</v>
      </c>
      <c r="E23" s="272">
        <v>324285650</v>
      </c>
      <c r="F23" s="272">
        <f>'- 50 -'!C23</f>
        <v>4814044</v>
      </c>
      <c r="G23" s="273">
        <f t="shared" si="0"/>
        <v>14.84507254638002</v>
      </c>
      <c r="H23" s="201"/>
      <c r="I23" s="192" t="str">
        <f t="shared" si="1"/>
        <v xml:space="preserve"> LORD SELKIRK</v>
      </c>
      <c r="J23" s="199">
        <f t="shared" si="2"/>
        <v>14.823461615655591</v>
      </c>
      <c r="K23" s="1">
        <f>H23*E23</f>
        <v>0</v>
      </c>
    </row>
    <row r="24" spans="1:13" ht="14.1" customHeight="1" x14ac:dyDescent="0.2">
      <c r="A24" s="15" t="s">
        <v>120</v>
      </c>
      <c r="B24" s="16">
        <v>1684811350</v>
      </c>
      <c r="C24" s="16">
        <v>88893770</v>
      </c>
      <c r="D24" s="16">
        <v>262920520</v>
      </c>
      <c r="E24" s="16">
        <v>2036625640</v>
      </c>
      <c r="F24" s="16">
        <f>'- 50 -'!C24</f>
        <v>30189842</v>
      </c>
      <c r="G24" s="267">
        <f t="shared" si="0"/>
        <v>14.823461615655591</v>
      </c>
      <c r="I24" s="192" t="str">
        <f t="shared" si="1"/>
        <v xml:space="preserve"> LOUIS RIEL</v>
      </c>
      <c r="J24" s="199">
        <f t="shared" si="2"/>
        <v>13.246291105609478</v>
      </c>
      <c r="K24" s="1">
        <f>F24-'- 50 -'!C24</f>
        <v>0</v>
      </c>
    </row>
    <row r="25" spans="1:13" ht="14.1" customHeight="1" x14ac:dyDescent="0.2">
      <c r="A25" s="271" t="s">
        <v>121</v>
      </c>
      <c r="B25" s="272">
        <v>6540640240</v>
      </c>
      <c r="C25" s="272">
        <v>20686990</v>
      </c>
      <c r="D25" s="272">
        <v>1525199870</v>
      </c>
      <c r="E25" s="272">
        <v>8086527100</v>
      </c>
      <c r="F25" s="272">
        <f>'- 50 -'!C25</f>
        <v>107116492</v>
      </c>
      <c r="G25" s="273">
        <f t="shared" si="0"/>
        <v>13.246291105609478</v>
      </c>
      <c r="I25" s="192" t="str">
        <f t="shared" si="1"/>
        <v xml:space="preserve"> MOUNTAIN VIEW</v>
      </c>
      <c r="J25" s="199">
        <f t="shared" si="2"/>
        <v>15.344073757481109</v>
      </c>
      <c r="K25" s="1">
        <f>F25-'- 50 -'!C25</f>
        <v>0</v>
      </c>
    </row>
    <row r="26" spans="1:13" ht="14.1" customHeight="1" x14ac:dyDescent="0.2">
      <c r="A26" s="15" t="s">
        <v>122</v>
      </c>
      <c r="B26" s="16">
        <v>528032710</v>
      </c>
      <c r="C26" s="16">
        <v>397115940</v>
      </c>
      <c r="D26" s="16">
        <v>152634360</v>
      </c>
      <c r="E26" s="16">
        <v>1077783010</v>
      </c>
      <c r="F26" s="16">
        <f>'- 50 -'!C26</f>
        <v>16537582</v>
      </c>
      <c r="G26" s="267">
        <f t="shared" si="0"/>
        <v>15.344073757481109</v>
      </c>
      <c r="I26" s="192" t="str">
        <f t="shared" si="1"/>
        <v xml:space="preserve"> MYSTERY LAKE</v>
      </c>
      <c r="J26" s="199">
        <f t="shared" si="2"/>
        <v>18.623440635922936</v>
      </c>
      <c r="K26" s="1">
        <f>F26-'- 50 -'!C26</f>
        <v>0</v>
      </c>
    </row>
    <row r="27" spans="1:13" ht="14.1" customHeight="1" x14ac:dyDescent="0.2">
      <c r="A27" s="271" t="s">
        <v>123</v>
      </c>
      <c r="B27" s="272">
        <v>334260650</v>
      </c>
      <c r="C27" s="272">
        <v>0</v>
      </c>
      <c r="D27" s="272">
        <v>132632400</v>
      </c>
      <c r="E27" s="272">
        <v>466893050</v>
      </c>
      <c r="F27" s="272">
        <f>'- 50 -'!C27</f>
        <v>8695155</v>
      </c>
      <c r="G27" s="273">
        <f t="shared" si="0"/>
        <v>18.623440635922936</v>
      </c>
      <c r="I27" s="192" t="str">
        <f t="shared" si="1"/>
        <v xml:space="preserve"> PARK WEST</v>
      </c>
      <c r="J27" s="199">
        <f t="shared" si="2"/>
        <v>10.382553001288626</v>
      </c>
      <c r="K27" s="1">
        <f>F27-'- 50 -'!C27</f>
        <v>0</v>
      </c>
    </row>
    <row r="28" spans="1:13" ht="14.1" customHeight="1" x14ac:dyDescent="0.2">
      <c r="A28" s="15" t="s">
        <v>124</v>
      </c>
      <c r="B28" s="16">
        <v>289965700</v>
      </c>
      <c r="C28" s="16">
        <v>469494410</v>
      </c>
      <c r="D28" s="16">
        <v>196752490</v>
      </c>
      <c r="E28" s="16">
        <v>956212600</v>
      </c>
      <c r="F28" s="16">
        <f>'- 50 -'!C28</f>
        <v>9927928</v>
      </c>
      <c r="G28" s="267">
        <f t="shared" si="0"/>
        <v>10.382553001288626</v>
      </c>
      <c r="I28" s="192" t="str">
        <f t="shared" si="1"/>
        <v xml:space="preserve"> PEMBINA TRAILS</v>
      </c>
      <c r="J28" s="199">
        <f t="shared" si="2"/>
        <v>12.320643189237414</v>
      </c>
      <c r="K28" s="1">
        <f>F28-'- 50 -'!C28</f>
        <v>0</v>
      </c>
    </row>
    <row r="29" spans="1:13" ht="14.1" customHeight="1" x14ac:dyDescent="0.2">
      <c r="A29" s="271" t="s">
        <v>125</v>
      </c>
      <c r="B29" s="272">
        <v>6799734070</v>
      </c>
      <c r="C29" s="272">
        <v>27082970</v>
      </c>
      <c r="D29" s="272">
        <v>1712039770</v>
      </c>
      <c r="E29" s="272">
        <v>8538856810</v>
      </c>
      <c r="F29" s="272">
        <f>'- 50 -'!C29</f>
        <v>105204208</v>
      </c>
      <c r="G29" s="273">
        <f t="shared" si="0"/>
        <v>12.320643189237414</v>
      </c>
      <c r="I29" s="192" t="str">
        <f t="shared" si="1"/>
        <v xml:space="preserve"> PINE CREEK</v>
      </c>
      <c r="J29" s="199">
        <f t="shared" si="2"/>
        <v>13.687465975048767</v>
      </c>
    </row>
    <row r="30" spans="1:13" ht="14.1" customHeight="1" x14ac:dyDescent="0.2">
      <c r="A30" s="15" t="s">
        <v>126</v>
      </c>
      <c r="B30" s="16">
        <v>155347550</v>
      </c>
      <c r="C30" s="16">
        <v>280045530</v>
      </c>
      <c r="D30" s="16">
        <v>108876620</v>
      </c>
      <c r="E30" s="16">
        <v>544269700</v>
      </c>
      <c r="F30" s="16">
        <f>'- 50 -'!C30</f>
        <v>7449673</v>
      </c>
      <c r="G30" s="267">
        <f>F30/E30*1000</f>
        <v>13.687465975048767</v>
      </c>
      <c r="I30" s="192" t="str">
        <f t="shared" si="1"/>
        <v xml:space="preserve"> PORTAGE LA PRAIRIE</v>
      </c>
      <c r="J30" s="199">
        <f t="shared" si="2"/>
        <v>13.740876348270882</v>
      </c>
      <c r="K30" s="1">
        <f>F30-'- 50 -'!C30</f>
        <v>0</v>
      </c>
    </row>
    <row r="31" spans="1:13" ht="14.1" customHeight="1" x14ac:dyDescent="0.2">
      <c r="A31" s="271" t="s">
        <v>127</v>
      </c>
      <c r="B31" s="272">
        <v>598834410</v>
      </c>
      <c r="C31" s="272">
        <v>381546830</v>
      </c>
      <c r="D31" s="272">
        <v>358520700</v>
      </c>
      <c r="E31" s="272">
        <v>1338901940</v>
      </c>
      <c r="F31" s="272">
        <f>'- 50 -'!C31</f>
        <v>18397686</v>
      </c>
      <c r="G31" s="273">
        <f>F31/E31*1000</f>
        <v>13.740876348270882</v>
      </c>
      <c r="I31" s="192" t="str">
        <f t="shared" si="1"/>
        <v xml:space="preserve"> PRAIRIE ROSE</v>
      </c>
      <c r="J31" s="199">
        <f t="shared" si="2"/>
        <v>11.148902100818832</v>
      </c>
      <c r="K31" s="1">
        <f>F31-'- 50 -'!C31</f>
        <v>0</v>
      </c>
    </row>
    <row r="32" spans="1:13" ht="14.1" customHeight="1" x14ac:dyDescent="0.2">
      <c r="A32" s="15" t="s">
        <v>128</v>
      </c>
      <c r="B32" s="16">
        <v>541070100</v>
      </c>
      <c r="C32" s="16">
        <v>815206330</v>
      </c>
      <c r="D32" s="16">
        <v>158828990</v>
      </c>
      <c r="E32" s="16">
        <v>1515105420</v>
      </c>
      <c r="F32" s="16">
        <f>'- 50 -'!C32</f>
        <v>16891762</v>
      </c>
      <c r="G32" s="267">
        <f t="shared" si="0"/>
        <v>11.148902100818832</v>
      </c>
      <c r="I32" s="192" t="str">
        <f t="shared" si="1"/>
        <v xml:space="preserve"> PRAIRIE SPIRIT</v>
      </c>
      <c r="J32" s="199">
        <f t="shared" si="2"/>
        <v>9.6027104673578432</v>
      </c>
      <c r="K32" s="1">
        <f>F32-'- 50 -'!C32</f>
        <v>0</v>
      </c>
    </row>
    <row r="33" spans="1:11" ht="14.1" customHeight="1" x14ac:dyDescent="0.2">
      <c r="A33" s="271" t="s">
        <v>129</v>
      </c>
      <c r="B33" s="272">
        <v>351936410</v>
      </c>
      <c r="C33" s="272">
        <v>974014750</v>
      </c>
      <c r="D33" s="272">
        <v>183438720</v>
      </c>
      <c r="E33" s="272">
        <v>1509389880</v>
      </c>
      <c r="F33" s="272">
        <f>'- 50 -'!C33</f>
        <v>14494234</v>
      </c>
      <c r="G33" s="273">
        <f t="shared" si="0"/>
        <v>9.6027104673578432</v>
      </c>
      <c r="I33" s="192" t="str">
        <f t="shared" si="1"/>
        <v xml:space="preserve"> RED RIVER VALLEY</v>
      </c>
      <c r="J33" s="199">
        <f t="shared" si="2"/>
        <v>13.845233134698701</v>
      </c>
      <c r="K33" s="1">
        <f>F33-'- 50 -'!C33</f>
        <v>0</v>
      </c>
    </row>
    <row r="34" spans="1:11" ht="14.1" customHeight="1" x14ac:dyDescent="0.2">
      <c r="A34" s="15" t="s">
        <v>130</v>
      </c>
      <c r="B34" s="16">
        <v>581602420</v>
      </c>
      <c r="C34" s="16">
        <v>650856680</v>
      </c>
      <c r="D34" s="16">
        <v>298096420</v>
      </c>
      <c r="E34" s="16">
        <v>1530555520</v>
      </c>
      <c r="F34" s="16">
        <f>'- 50 -'!C34</f>
        <v>21190898</v>
      </c>
      <c r="G34" s="267">
        <f t="shared" si="0"/>
        <v>13.845233134698701</v>
      </c>
      <c r="I34" s="192" t="str">
        <f t="shared" si="1"/>
        <v xml:space="preserve"> RIVER EAST TRANSCONA</v>
      </c>
      <c r="J34" s="199">
        <f t="shared" si="2"/>
        <v>13.349366573748449</v>
      </c>
      <c r="K34" s="1">
        <f>F34-'- 50 -'!C34</f>
        <v>0</v>
      </c>
    </row>
    <row r="35" spans="1:11" ht="14.1" customHeight="1" x14ac:dyDescent="0.2">
      <c r="A35" s="271" t="s">
        <v>131</v>
      </c>
      <c r="B35" s="272">
        <v>5654786340</v>
      </c>
      <c r="C35" s="272">
        <v>17323540</v>
      </c>
      <c r="D35" s="272">
        <v>1165842430</v>
      </c>
      <c r="E35" s="272">
        <v>6837952310</v>
      </c>
      <c r="F35" s="272">
        <f>'- 50 -'!C35</f>
        <v>91282332</v>
      </c>
      <c r="G35" s="273">
        <f t="shared" si="0"/>
        <v>13.349366573748449</v>
      </c>
      <c r="I35" s="192" t="str">
        <f t="shared" si="1"/>
        <v xml:space="preserve"> ROLLING RIVER</v>
      </c>
      <c r="J35" s="199">
        <f t="shared" si="2"/>
        <v>11.374173564208691</v>
      </c>
      <c r="K35" s="1">
        <f>F35-'- 50 -'!C35</f>
        <v>0</v>
      </c>
    </row>
    <row r="36" spans="1:11" ht="14.1" customHeight="1" x14ac:dyDescent="0.2">
      <c r="A36" s="15" t="s">
        <v>132</v>
      </c>
      <c r="B36" s="16">
        <v>522444210</v>
      </c>
      <c r="C36" s="16">
        <v>341442450</v>
      </c>
      <c r="D36" s="16">
        <v>182005240</v>
      </c>
      <c r="E36" s="16">
        <v>1045891900</v>
      </c>
      <c r="F36" s="16">
        <f>'- 50 -'!C36</f>
        <v>11896156</v>
      </c>
      <c r="G36" s="267">
        <f t="shared" si="0"/>
        <v>11.374173564208691</v>
      </c>
      <c r="I36" s="192" t="str">
        <f t="shared" si="1"/>
        <v xml:space="preserve"> SEINE RIVER</v>
      </c>
      <c r="J36" s="199">
        <f t="shared" si="2"/>
        <v>14.647972464335137</v>
      </c>
      <c r="K36" s="1">
        <f>F36-'- 50 -'!C36</f>
        <v>0</v>
      </c>
    </row>
    <row r="37" spans="1:11" ht="14.1" customHeight="1" x14ac:dyDescent="0.2">
      <c r="A37" s="271" t="s">
        <v>133</v>
      </c>
      <c r="B37" s="272">
        <v>1499190250</v>
      </c>
      <c r="C37" s="272">
        <v>157086780</v>
      </c>
      <c r="D37" s="272">
        <v>201334190</v>
      </c>
      <c r="E37" s="272">
        <v>1857611220</v>
      </c>
      <c r="F37" s="272">
        <f>'- 50 -'!C37</f>
        <v>27210238</v>
      </c>
      <c r="G37" s="273">
        <f t="shared" si="0"/>
        <v>14.647972464335137</v>
      </c>
      <c r="I37" s="192" t="str">
        <f t="shared" si="1"/>
        <v xml:space="preserve"> SEVEN OAKS</v>
      </c>
      <c r="J37" s="199">
        <f t="shared" si="2"/>
        <v>16.456050685732176</v>
      </c>
      <c r="K37" s="1">
        <f>F37-'- 50 -'!C37</f>
        <v>0</v>
      </c>
    </row>
    <row r="38" spans="1:11" ht="14.1" customHeight="1" x14ac:dyDescent="0.2">
      <c r="A38" s="15" t="s">
        <v>134</v>
      </c>
      <c r="B38" s="16">
        <v>3019117510</v>
      </c>
      <c r="C38" s="16">
        <v>18754980</v>
      </c>
      <c r="D38" s="16">
        <v>422397540</v>
      </c>
      <c r="E38" s="16">
        <v>3460270030</v>
      </c>
      <c r="F38" s="16">
        <f>'- 50 -'!C38</f>
        <v>56942379</v>
      </c>
      <c r="G38" s="267">
        <f t="shared" si="0"/>
        <v>16.456050685732176</v>
      </c>
      <c r="I38" s="192" t="str">
        <f t="shared" si="1"/>
        <v xml:space="preserve"> SOUTHWEST HORIZON</v>
      </c>
      <c r="J38" s="199">
        <f t="shared" si="2"/>
        <v>10.40118907652824</v>
      </c>
      <c r="K38" s="1">
        <f>F38-'- 50 -'!C38</f>
        <v>0</v>
      </c>
    </row>
    <row r="39" spans="1:11" ht="14.1" customHeight="1" x14ac:dyDescent="0.2">
      <c r="A39" s="271" t="s">
        <v>135</v>
      </c>
      <c r="B39" s="272">
        <v>314509580</v>
      </c>
      <c r="C39" s="272">
        <v>578782380</v>
      </c>
      <c r="D39" s="272">
        <v>362223530</v>
      </c>
      <c r="E39" s="272">
        <v>1255515490</v>
      </c>
      <c r="F39" s="272">
        <f>'- 50 -'!C39</f>
        <v>13058854</v>
      </c>
      <c r="G39" s="273">
        <f t="shared" si="0"/>
        <v>10.40118907652824</v>
      </c>
      <c r="I39" s="192" t="str">
        <f t="shared" si="1"/>
        <v xml:space="preserve"> ST. JAMES-ASSINIBOIA</v>
      </c>
      <c r="J39" s="199">
        <f t="shared" si="2"/>
        <v>12.768238376888654</v>
      </c>
      <c r="K39" s="1">
        <f>F39-'- 50 -'!C39</f>
        <v>0</v>
      </c>
    </row>
    <row r="40" spans="1:11" ht="14.1" customHeight="1" x14ac:dyDescent="0.2">
      <c r="A40" s="15" t="s">
        <v>136</v>
      </c>
      <c r="B40" s="16">
        <v>3069964150</v>
      </c>
      <c r="C40" s="16">
        <v>26194480</v>
      </c>
      <c r="D40" s="16">
        <v>1746863890</v>
      </c>
      <c r="E40" s="16">
        <v>4843022520</v>
      </c>
      <c r="F40" s="16">
        <f>'- 50 -'!C40</f>
        <v>61836866</v>
      </c>
      <c r="G40" s="267">
        <f t="shared" si="0"/>
        <v>12.768238376888654</v>
      </c>
      <c r="I40" s="192" t="str">
        <f t="shared" si="1"/>
        <v xml:space="preserve"> SUNRISE</v>
      </c>
      <c r="J40" s="199">
        <f t="shared" si="2"/>
        <v>13.844166527257309</v>
      </c>
      <c r="K40" s="1">
        <f>F40-'- 50 -'!C40</f>
        <v>0</v>
      </c>
    </row>
    <row r="41" spans="1:11" ht="14.1" customHeight="1" x14ac:dyDescent="0.2">
      <c r="A41" s="271" t="s">
        <v>137</v>
      </c>
      <c r="B41" s="272">
        <v>1881747110</v>
      </c>
      <c r="C41" s="272">
        <v>277869290</v>
      </c>
      <c r="D41" s="272">
        <v>462099030</v>
      </c>
      <c r="E41" s="272">
        <v>2621715430</v>
      </c>
      <c r="F41" s="272">
        <f>'- 50 -'!C41</f>
        <v>36295465</v>
      </c>
      <c r="G41" s="273">
        <f t="shared" si="0"/>
        <v>13.844166527257309</v>
      </c>
      <c r="I41" s="192" t="str">
        <f t="shared" si="1"/>
        <v xml:space="preserve"> SWAN VALLEY</v>
      </c>
      <c r="J41" s="199">
        <f t="shared" si="2"/>
        <v>13.706920436023552</v>
      </c>
      <c r="K41" s="1">
        <f>F41-'- 50 -'!C41</f>
        <v>0</v>
      </c>
    </row>
    <row r="42" spans="1:11" ht="14.1" customHeight="1" x14ac:dyDescent="0.2">
      <c r="A42" s="15" t="s">
        <v>138</v>
      </c>
      <c r="B42" s="16">
        <v>242115290</v>
      </c>
      <c r="C42" s="16">
        <v>242311880</v>
      </c>
      <c r="D42" s="16">
        <v>86211730</v>
      </c>
      <c r="E42" s="16">
        <v>570638900</v>
      </c>
      <c r="F42" s="16">
        <f>'- 50 -'!C42</f>
        <v>7821702</v>
      </c>
      <c r="G42" s="267">
        <f t="shared" si="0"/>
        <v>13.706920436023552</v>
      </c>
      <c r="I42" s="192" t="str">
        <f t="shared" si="1"/>
        <v xml:space="preserve"> TURTLE MOUNTAIN</v>
      </c>
      <c r="J42" s="199">
        <f t="shared" si="2"/>
        <v>11.680394541064121</v>
      </c>
      <c r="K42" s="1">
        <f>F42-'- 50 -'!C42</f>
        <v>0</v>
      </c>
    </row>
    <row r="43" spans="1:11" ht="14.1" customHeight="1" x14ac:dyDescent="0.2">
      <c r="A43" s="271" t="s">
        <v>139</v>
      </c>
      <c r="B43" s="272">
        <v>241309560</v>
      </c>
      <c r="C43" s="272">
        <v>309018410</v>
      </c>
      <c r="D43" s="272">
        <v>69446300</v>
      </c>
      <c r="E43" s="272">
        <v>619774270</v>
      </c>
      <c r="F43" s="272">
        <f>'- 50 -'!C43</f>
        <v>7239208</v>
      </c>
      <c r="G43" s="273">
        <f t="shared" si="0"/>
        <v>11.680394541064121</v>
      </c>
      <c r="I43" s="192" t="str">
        <f t="shared" si="1"/>
        <v xml:space="preserve"> TURTLE RIVER</v>
      </c>
      <c r="J43" s="199">
        <f t="shared" si="2"/>
        <v>15.233409101015328</v>
      </c>
      <c r="K43" s="1">
        <f>F43-'- 50 -'!C43</f>
        <v>0</v>
      </c>
    </row>
    <row r="44" spans="1:11" ht="14.1" customHeight="1" x14ac:dyDescent="0.2">
      <c r="A44" s="15" t="s">
        <v>140</v>
      </c>
      <c r="B44" s="16">
        <v>100384690</v>
      </c>
      <c r="C44" s="16">
        <v>116703740</v>
      </c>
      <c r="D44" s="16">
        <v>14091930</v>
      </c>
      <c r="E44" s="16">
        <v>231180360</v>
      </c>
      <c r="F44" s="16">
        <f>'- 50 -'!C44</f>
        <v>3521665</v>
      </c>
      <c r="G44" s="267">
        <f t="shared" si="0"/>
        <v>15.233409101015328</v>
      </c>
      <c r="I44" s="192" t="str">
        <f t="shared" si="1"/>
        <v xml:space="preserve"> WESTERN</v>
      </c>
      <c r="J44" s="199">
        <f t="shared" si="2"/>
        <v>15.38011599528307</v>
      </c>
      <c r="K44" s="1">
        <f>F44-'- 50 -'!C44</f>
        <v>0</v>
      </c>
    </row>
    <row r="45" spans="1:11" ht="14.1" customHeight="1" x14ac:dyDescent="0.2">
      <c r="A45" s="271" t="s">
        <v>141</v>
      </c>
      <c r="B45" s="272">
        <v>371613270</v>
      </c>
      <c r="C45" s="272">
        <v>112635550</v>
      </c>
      <c r="D45" s="272">
        <v>110994350</v>
      </c>
      <c r="E45" s="272">
        <v>595243170</v>
      </c>
      <c r="F45" s="272">
        <f>'- 50 -'!C45</f>
        <v>9154909</v>
      </c>
      <c r="G45" s="273">
        <f t="shared" si="0"/>
        <v>15.38011599528307</v>
      </c>
      <c r="I45" s="192" t="str">
        <f t="shared" si="1"/>
        <v xml:space="preserve"> WINNIPEG</v>
      </c>
      <c r="J45" s="199">
        <f t="shared" si="2"/>
        <v>14.600930463851817</v>
      </c>
      <c r="K45" s="1">
        <f>F45-'- 50 -'!C45</f>
        <v>0</v>
      </c>
    </row>
    <row r="46" spans="1:11" ht="14.1" customHeight="1" x14ac:dyDescent="0.2">
      <c r="A46" s="15" t="s">
        <v>142</v>
      </c>
      <c r="B46" s="16">
        <v>7500208250</v>
      </c>
      <c r="C46" s="16">
        <v>5943470</v>
      </c>
      <c r="D46" s="16">
        <v>5227563810</v>
      </c>
      <c r="E46" s="16">
        <v>12733715530</v>
      </c>
      <c r="F46" s="16">
        <f>'- 50 -'!C46</f>
        <v>185924095</v>
      </c>
      <c r="G46" s="267">
        <f t="shared" si="0"/>
        <v>14.600930463851817</v>
      </c>
      <c r="K46" s="1">
        <f>F46-'- 50 -'!C46</f>
        <v>0</v>
      </c>
    </row>
    <row r="47" spans="1:11" ht="5.0999999999999996" customHeight="1" x14ac:dyDescent="0.2">
      <c r="A47"/>
      <c r="B47"/>
      <c r="C47"/>
      <c r="D47"/>
      <c r="E47"/>
      <c r="F47"/>
      <c r="G47"/>
      <c r="K47" s="1">
        <f>F47-'- 50 -'!C47</f>
        <v>0</v>
      </c>
    </row>
    <row r="48" spans="1:11" ht="14.1" customHeight="1" x14ac:dyDescent="0.2">
      <c r="A48" s="274" t="s">
        <v>147</v>
      </c>
      <c r="B48" s="275">
        <f>SUM(B11:B46)</f>
        <v>50329200680</v>
      </c>
      <c r="C48" s="275">
        <f>SUM(C11:C46)</f>
        <v>8503655320</v>
      </c>
      <c r="D48" s="275">
        <f>SUM(D11:D46)</f>
        <v>18464219840</v>
      </c>
      <c r="E48" s="275">
        <f>SUM(E11:E46)</f>
        <v>77297075840</v>
      </c>
      <c r="F48" s="275">
        <f>SUM(F11:F46)</f>
        <v>1048330481</v>
      </c>
      <c r="G48" s="276">
        <f>F48/E48*1000</f>
        <v>13.562356267784009</v>
      </c>
      <c r="K48" s="1">
        <f>F48-'- 50 -'!C48</f>
        <v>0</v>
      </c>
    </row>
    <row r="49" spans="1:10" ht="5.0999999999999996" customHeight="1" x14ac:dyDescent="0.2">
      <c r="A49" s="127"/>
      <c r="B49" s="140"/>
      <c r="C49" s="140"/>
      <c r="D49" s="140"/>
      <c r="E49" s="140"/>
      <c r="F49" s="140"/>
      <c r="G49"/>
    </row>
    <row r="50" spans="1:10" ht="14.1" customHeight="1" x14ac:dyDescent="0.2">
      <c r="A50" s="15" t="s">
        <v>145</v>
      </c>
      <c r="B50" s="16">
        <v>66506490</v>
      </c>
      <c r="C50" s="16">
        <v>383760</v>
      </c>
      <c r="D50" s="16">
        <v>3728280</v>
      </c>
      <c r="E50" s="16">
        <v>70618530</v>
      </c>
      <c r="F50"/>
      <c r="G50"/>
    </row>
    <row r="51" spans="1:10" ht="14.1" customHeight="1" x14ac:dyDescent="0.2">
      <c r="A51" s="271" t="s">
        <v>146</v>
      </c>
      <c r="B51" s="272">
        <v>18860500</v>
      </c>
      <c r="C51" s="272">
        <v>16895940</v>
      </c>
      <c r="D51" s="272">
        <v>54498910</v>
      </c>
      <c r="E51" s="272">
        <v>90255350</v>
      </c>
      <c r="F51"/>
      <c r="G51"/>
    </row>
    <row r="52" spans="1:10" ht="5.0999999999999996" customHeight="1" x14ac:dyDescent="0.2">
      <c r="A52" s="127"/>
      <c r="B52" s="140"/>
      <c r="C52" s="140"/>
      <c r="D52" s="140"/>
      <c r="E52" s="140"/>
      <c r="F52"/>
      <c r="G52"/>
    </row>
    <row r="53" spans="1:10" ht="14.1" customHeight="1" x14ac:dyDescent="0.2">
      <c r="A53" s="274" t="s">
        <v>143</v>
      </c>
      <c r="B53" s="275">
        <f>SUM(B48,B50:B51)</f>
        <v>50414567670</v>
      </c>
      <c r="C53" s="275">
        <f>SUM(C48,C50:C51)</f>
        <v>8520935020</v>
      </c>
      <c r="D53" s="275">
        <f>SUM(D48,D50:D51)</f>
        <v>18522447030</v>
      </c>
      <c r="E53" s="275">
        <f>SUM(E48,E50:E51)</f>
        <v>77457949720</v>
      </c>
      <c r="F53" s="428"/>
      <c r="G53" s="428"/>
    </row>
    <row r="54" spans="1:10" ht="30" customHeight="1" x14ac:dyDescent="0.2">
      <c r="A54" s="19"/>
      <c r="B54" s="19"/>
      <c r="C54" s="19"/>
      <c r="D54" s="19"/>
      <c r="E54" s="19"/>
      <c r="F54" s="19"/>
      <c r="G54" s="19"/>
    </row>
    <row r="55" spans="1:10" ht="15" customHeight="1" x14ac:dyDescent="0.2">
      <c r="A55" s="742" t="s">
        <v>583</v>
      </c>
      <c r="B55" s="743"/>
      <c r="C55" s="743"/>
      <c r="D55" s="743"/>
      <c r="E55" s="743"/>
      <c r="F55" s="743"/>
      <c r="G55" s="743"/>
      <c r="H55" s="31"/>
      <c r="I55" s="31"/>
      <c r="J55" s="31"/>
    </row>
    <row r="56" spans="1:10" ht="12" customHeight="1" x14ac:dyDescent="0.2">
      <c r="A56" s="744"/>
      <c r="B56" s="744"/>
      <c r="C56" s="744"/>
      <c r="D56" s="744"/>
      <c r="E56" s="744"/>
      <c r="F56" s="744"/>
      <c r="G56" s="744"/>
      <c r="H56" s="31"/>
      <c r="I56" s="31"/>
      <c r="J56" s="31"/>
    </row>
    <row r="57" spans="1:10" ht="12" customHeight="1" x14ac:dyDescent="0.2">
      <c r="A57" s="1" t="s">
        <v>609</v>
      </c>
      <c r="B57" s="31"/>
      <c r="C57" s="31"/>
      <c r="D57" s="31"/>
      <c r="E57" s="31"/>
      <c r="F57" s="31"/>
      <c r="G57" s="31"/>
      <c r="H57" s="31"/>
      <c r="I57" s="31"/>
      <c r="J57" s="31"/>
    </row>
  </sheetData>
  <mergeCells count="6">
    <mergeCell ref="A55:G56"/>
    <mergeCell ref="B6:E6"/>
    <mergeCell ref="B7:B9"/>
    <mergeCell ref="C7:C9"/>
    <mergeCell ref="F8:F9"/>
    <mergeCell ref="G7:G9"/>
  </mergeCells>
  <phoneticPr fontId="0" type="noConversion"/>
  <printOptions horizontalCentered="1"/>
  <pageMargins left="0.5" right="0.5" top="0.6" bottom="0" header="0.3" footer="0"/>
  <pageSetup scale="89" orientation="portrait" r:id="rId1"/>
  <headerFooter alignWithMargins="0">
    <oddHeader>&amp;C&amp;"Arial,Bold"&amp;10&amp;A</oddHead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BB56"/>
  <sheetViews>
    <sheetView showGridLines="0" showZeros="0" workbookViewId="0"/>
  </sheetViews>
  <sheetFormatPr defaultColWidth="13.6640625" defaultRowHeight="12" x14ac:dyDescent="0.2"/>
  <cols>
    <col min="1" max="1" width="37.5" style="1" customWidth="1"/>
    <col min="2" max="2" width="23.1640625" style="1" customWidth="1"/>
    <col min="3" max="3" width="19.83203125" style="1" customWidth="1"/>
    <col min="4" max="4" width="19.6640625" style="1" customWidth="1"/>
    <col min="5" max="5" width="13.6640625" style="1"/>
    <col min="6" max="6" width="15.6640625" style="1" customWidth="1"/>
    <col min="7" max="16384" width="13.6640625" style="1"/>
  </cols>
  <sheetData>
    <row r="1" spans="1:54" ht="6.95" customHeight="1" x14ac:dyDescent="0.2">
      <c r="A1" s="3"/>
    </row>
    <row r="2" spans="1:54" ht="15.95" customHeight="1" x14ac:dyDescent="0.2">
      <c r="A2" s="753" t="str">
        <f>IF(Lang=1,BA2,BB2)</f>
        <v>NET SPECIAL LEVY</v>
      </c>
      <c r="B2" s="753"/>
      <c r="C2" s="753"/>
      <c r="D2" s="753"/>
      <c r="E2" s="753"/>
      <c r="F2" s="753"/>
      <c r="BA2" s="460" t="s">
        <v>300</v>
      </c>
      <c r="BB2" s="456" t="s">
        <v>473</v>
      </c>
    </row>
    <row r="3" spans="1:54" ht="15.95" customHeight="1" x14ac:dyDescent="0.2">
      <c r="A3" s="754" t="str">
        <f>TAXYEAR</f>
        <v>FOR THE 2018 TAXATION YEAR  (2018 IS A REASSESSMENT YEAR)</v>
      </c>
      <c r="B3" s="754"/>
      <c r="C3" s="754"/>
      <c r="D3" s="754"/>
      <c r="E3" s="754"/>
      <c r="F3" s="754"/>
    </row>
    <row r="4" spans="1:54" ht="15.95" customHeight="1" x14ac:dyDescent="0.2">
      <c r="B4" s="4"/>
      <c r="C4" s="4"/>
      <c r="D4" s="4"/>
    </row>
    <row r="5" spans="1:54" ht="15.95" customHeight="1" x14ac:dyDescent="0.2">
      <c r="B5" s="4"/>
      <c r="C5" s="4"/>
      <c r="D5" s="4"/>
    </row>
    <row r="6" spans="1:54" ht="15.95" customHeight="1" x14ac:dyDescent="0.2">
      <c r="B6" s="373"/>
      <c r="C6" s="373"/>
      <c r="D6" s="373"/>
    </row>
    <row r="7" spans="1:54" ht="15.95" customHeight="1" x14ac:dyDescent="0.2">
      <c r="B7" s="322"/>
      <c r="C7" s="371"/>
      <c r="D7" s="316"/>
    </row>
    <row r="8" spans="1:54" ht="15.95" customHeight="1" x14ac:dyDescent="0.2">
      <c r="A8" s="12"/>
      <c r="B8" s="755" t="s">
        <v>470</v>
      </c>
      <c r="C8" s="735" t="s">
        <v>471</v>
      </c>
      <c r="D8" s="735" t="s">
        <v>472</v>
      </c>
    </row>
    <row r="9" spans="1:54" ht="15.95" customHeight="1" x14ac:dyDescent="0.2">
      <c r="A9" s="13" t="s">
        <v>37</v>
      </c>
      <c r="B9" s="756"/>
      <c r="C9" s="598"/>
      <c r="D9" s="596"/>
    </row>
    <row r="10" spans="1:54" ht="5.0999999999999996" customHeight="1" x14ac:dyDescent="0.2">
      <c r="A10" s="14"/>
      <c r="B10" s="182"/>
      <c r="C10" s="182"/>
      <c r="D10" s="182"/>
    </row>
    <row r="11" spans="1:54" ht="14.1" customHeight="1" x14ac:dyDescent="0.2">
      <c r="A11" s="271" t="s">
        <v>108</v>
      </c>
      <c r="B11" s="272">
        <f>+C11+D11</f>
        <v>9377941</v>
      </c>
      <c r="C11" s="272">
        <v>420276</v>
      </c>
      <c r="D11" s="272">
        <v>8957665</v>
      </c>
    </row>
    <row r="12" spans="1:54" ht="14.1" customHeight="1" x14ac:dyDescent="0.2">
      <c r="A12" s="15" t="s">
        <v>109</v>
      </c>
      <c r="B12" s="16">
        <f t="shared" ref="B12:B46" si="0">+C12+D12</f>
        <v>17103712</v>
      </c>
      <c r="C12" s="16">
        <v>2682216</v>
      </c>
      <c r="D12" s="16">
        <v>14421496</v>
      </c>
    </row>
    <row r="13" spans="1:54" ht="14.1" customHeight="1" x14ac:dyDescent="0.2">
      <c r="A13" s="271" t="s">
        <v>110</v>
      </c>
      <c r="B13" s="272">
        <f t="shared" si="0"/>
        <v>49236715</v>
      </c>
      <c r="C13" s="272">
        <v>1540011</v>
      </c>
      <c r="D13" s="272">
        <v>47696704</v>
      </c>
    </row>
    <row r="14" spans="1:54" ht="14.1" customHeight="1" x14ac:dyDescent="0.2">
      <c r="A14" s="15" t="s">
        <v>319</v>
      </c>
      <c r="B14" s="16">
        <f t="shared" si="0"/>
        <v>0</v>
      </c>
      <c r="C14" s="16">
        <v>0</v>
      </c>
      <c r="D14" s="16">
        <v>0</v>
      </c>
    </row>
    <row r="15" spans="1:54" ht="14.1" customHeight="1" x14ac:dyDescent="0.2">
      <c r="A15" s="271" t="s">
        <v>111</v>
      </c>
      <c r="B15" s="272">
        <f t="shared" si="0"/>
        <v>12526679</v>
      </c>
      <c r="C15" s="272">
        <v>1563410</v>
      </c>
      <c r="D15" s="272">
        <v>10963269</v>
      </c>
    </row>
    <row r="16" spans="1:54" ht="14.1" customHeight="1" x14ac:dyDescent="0.2">
      <c r="A16" s="15" t="s">
        <v>112</v>
      </c>
      <c r="B16" s="16">
        <f t="shared" si="0"/>
        <v>5016824</v>
      </c>
      <c r="C16" s="16">
        <v>627261</v>
      </c>
      <c r="D16" s="16">
        <v>4389563</v>
      </c>
    </row>
    <row r="17" spans="1:4" ht="14.1" customHeight="1" x14ac:dyDescent="0.2">
      <c r="A17" s="271" t="s">
        <v>113</v>
      </c>
      <c r="B17" s="272">
        <f t="shared" si="0"/>
        <v>9767200</v>
      </c>
      <c r="C17" s="272">
        <v>478029</v>
      </c>
      <c r="D17" s="272">
        <v>9289171</v>
      </c>
    </row>
    <row r="18" spans="1:4" ht="14.1" customHeight="1" x14ac:dyDescent="0.2">
      <c r="A18" s="15" t="s">
        <v>114</v>
      </c>
      <c r="B18" s="16">
        <f t="shared" si="0"/>
        <v>3527633</v>
      </c>
      <c r="C18" s="16">
        <v>265395</v>
      </c>
      <c r="D18" s="16">
        <v>3262238</v>
      </c>
    </row>
    <row r="19" spans="1:4" ht="14.1" customHeight="1" x14ac:dyDescent="0.2">
      <c r="A19" s="271" t="s">
        <v>115</v>
      </c>
      <c r="B19" s="272">
        <f t="shared" si="0"/>
        <v>19832118</v>
      </c>
      <c r="C19" s="272">
        <v>538478</v>
      </c>
      <c r="D19" s="272">
        <v>19293640</v>
      </c>
    </row>
    <row r="20" spans="1:4" ht="14.1" customHeight="1" x14ac:dyDescent="0.2">
      <c r="A20" s="15" t="s">
        <v>116</v>
      </c>
      <c r="B20" s="16">
        <f t="shared" si="0"/>
        <v>34630644</v>
      </c>
      <c r="C20" s="16">
        <v>1256772</v>
      </c>
      <c r="D20" s="16">
        <v>33373872</v>
      </c>
    </row>
    <row r="21" spans="1:4" ht="14.1" customHeight="1" x14ac:dyDescent="0.2">
      <c r="A21" s="271" t="s">
        <v>117</v>
      </c>
      <c r="B21" s="272">
        <f t="shared" si="0"/>
        <v>20114261</v>
      </c>
      <c r="C21" s="272">
        <v>1081667</v>
      </c>
      <c r="D21" s="272">
        <v>19032594</v>
      </c>
    </row>
    <row r="22" spans="1:4" ht="14.1" customHeight="1" x14ac:dyDescent="0.2">
      <c r="A22" s="15" t="s">
        <v>118</v>
      </c>
      <c r="B22" s="16">
        <f t="shared" si="0"/>
        <v>4814735</v>
      </c>
      <c r="C22" s="16">
        <v>257839</v>
      </c>
      <c r="D22" s="16">
        <v>4556896</v>
      </c>
    </row>
    <row r="23" spans="1:4" ht="14.1" customHeight="1" x14ac:dyDescent="0.2">
      <c r="A23" s="271" t="s">
        <v>119</v>
      </c>
      <c r="B23" s="272">
        <f t="shared" si="0"/>
        <v>5245316</v>
      </c>
      <c r="C23" s="272">
        <v>431272</v>
      </c>
      <c r="D23" s="272">
        <v>4814044</v>
      </c>
    </row>
    <row r="24" spans="1:4" ht="14.1" customHeight="1" x14ac:dyDescent="0.2">
      <c r="A24" s="15" t="s">
        <v>120</v>
      </c>
      <c r="B24" s="16">
        <f t="shared" si="0"/>
        <v>32828887</v>
      </c>
      <c r="C24" s="16">
        <v>2639045</v>
      </c>
      <c r="D24" s="16">
        <v>30189842</v>
      </c>
    </row>
    <row r="25" spans="1:4" ht="14.1" customHeight="1" x14ac:dyDescent="0.2">
      <c r="A25" s="271" t="s">
        <v>121</v>
      </c>
      <c r="B25" s="272">
        <f t="shared" si="0"/>
        <v>112567328</v>
      </c>
      <c r="C25" s="272">
        <v>5450836</v>
      </c>
      <c r="D25" s="272">
        <v>107116492</v>
      </c>
    </row>
    <row r="26" spans="1:4" ht="14.1" customHeight="1" x14ac:dyDescent="0.2">
      <c r="A26" s="15" t="s">
        <v>122</v>
      </c>
      <c r="B26" s="16">
        <f t="shared" si="0"/>
        <v>17112882</v>
      </c>
      <c r="C26" s="16">
        <v>575300</v>
      </c>
      <c r="D26" s="16">
        <v>16537582</v>
      </c>
    </row>
    <row r="27" spans="1:4" ht="14.1" customHeight="1" x14ac:dyDescent="0.2">
      <c r="A27" s="271" t="s">
        <v>123</v>
      </c>
      <c r="B27" s="272">
        <f t="shared" si="0"/>
        <v>9600197</v>
      </c>
      <c r="C27" s="272">
        <v>905042</v>
      </c>
      <c r="D27" s="272">
        <v>8695155</v>
      </c>
    </row>
    <row r="28" spans="1:4" ht="14.1" customHeight="1" x14ac:dyDescent="0.2">
      <c r="A28" s="15" t="s">
        <v>124</v>
      </c>
      <c r="B28" s="16">
        <f t="shared" si="0"/>
        <v>10728934</v>
      </c>
      <c r="C28" s="16">
        <v>801006</v>
      </c>
      <c r="D28" s="16">
        <v>9927928</v>
      </c>
    </row>
    <row r="29" spans="1:4" ht="14.1" customHeight="1" x14ac:dyDescent="0.2">
      <c r="A29" s="271" t="s">
        <v>125</v>
      </c>
      <c r="B29" s="272">
        <f t="shared" si="0"/>
        <v>109253949</v>
      </c>
      <c r="C29" s="272">
        <v>4049741</v>
      </c>
      <c r="D29" s="272">
        <v>105204208</v>
      </c>
    </row>
    <row r="30" spans="1:4" ht="14.1" customHeight="1" x14ac:dyDescent="0.2">
      <c r="A30" s="15" t="s">
        <v>126</v>
      </c>
      <c r="B30" s="16">
        <f t="shared" si="0"/>
        <v>7775243</v>
      </c>
      <c r="C30" s="16">
        <v>325570</v>
      </c>
      <c r="D30" s="16">
        <v>7449673</v>
      </c>
    </row>
    <row r="31" spans="1:4" ht="14.1" customHeight="1" x14ac:dyDescent="0.2">
      <c r="A31" s="271" t="s">
        <v>127</v>
      </c>
      <c r="B31" s="272">
        <f t="shared" si="0"/>
        <v>18833549</v>
      </c>
      <c r="C31" s="272">
        <v>435863</v>
      </c>
      <c r="D31" s="272">
        <v>18397686</v>
      </c>
    </row>
    <row r="32" spans="1:4" ht="14.1" customHeight="1" x14ac:dyDescent="0.2">
      <c r="A32" s="15" t="s">
        <v>128</v>
      </c>
      <c r="B32" s="16">
        <f t="shared" si="0"/>
        <v>18021809</v>
      </c>
      <c r="C32" s="16">
        <v>1130047</v>
      </c>
      <c r="D32" s="16">
        <v>16891762</v>
      </c>
    </row>
    <row r="33" spans="1:4" ht="14.1" customHeight="1" x14ac:dyDescent="0.2">
      <c r="A33" s="271" t="s">
        <v>129</v>
      </c>
      <c r="B33" s="272">
        <f t="shared" si="0"/>
        <v>15370339</v>
      </c>
      <c r="C33" s="272">
        <v>876105</v>
      </c>
      <c r="D33" s="272">
        <v>14494234</v>
      </c>
    </row>
    <row r="34" spans="1:4" ht="14.1" customHeight="1" x14ac:dyDescent="0.2">
      <c r="A34" s="15" t="s">
        <v>130</v>
      </c>
      <c r="B34" s="16">
        <f t="shared" si="0"/>
        <v>22043377</v>
      </c>
      <c r="C34" s="16">
        <v>852479</v>
      </c>
      <c r="D34" s="16">
        <v>21190898</v>
      </c>
    </row>
    <row r="35" spans="1:4" ht="14.1" customHeight="1" x14ac:dyDescent="0.2">
      <c r="A35" s="271" t="s">
        <v>131</v>
      </c>
      <c r="B35" s="272">
        <f t="shared" si="0"/>
        <v>92524435</v>
      </c>
      <c r="C35" s="272">
        <v>1242103</v>
      </c>
      <c r="D35" s="272">
        <v>91282332</v>
      </c>
    </row>
    <row r="36" spans="1:4" ht="14.1" customHeight="1" x14ac:dyDescent="0.2">
      <c r="A36" s="15" t="s">
        <v>132</v>
      </c>
      <c r="B36" s="16">
        <f t="shared" si="0"/>
        <v>12644769</v>
      </c>
      <c r="C36" s="16">
        <v>748613</v>
      </c>
      <c r="D36" s="16">
        <v>11896156</v>
      </c>
    </row>
    <row r="37" spans="1:4" ht="14.1" customHeight="1" x14ac:dyDescent="0.2">
      <c r="A37" s="271" t="s">
        <v>133</v>
      </c>
      <c r="B37" s="272">
        <f t="shared" si="0"/>
        <v>29359483</v>
      </c>
      <c r="C37" s="272">
        <v>2149245</v>
      </c>
      <c r="D37" s="272">
        <v>27210238</v>
      </c>
    </row>
    <row r="38" spans="1:4" ht="14.1" customHeight="1" x14ac:dyDescent="0.2">
      <c r="A38" s="15" t="s">
        <v>134</v>
      </c>
      <c r="B38" s="16">
        <f t="shared" si="0"/>
        <v>61412241</v>
      </c>
      <c r="C38" s="16">
        <v>4469862</v>
      </c>
      <c r="D38" s="16">
        <v>56942379</v>
      </c>
    </row>
    <row r="39" spans="1:4" ht="14.1" customHeight="1" x14ac:dyDescent="0.2">
      <c r="A39" s="271" t="s">
        <v>135</v>
      </c>
      <c r="B39" s="272">
        <f t="shared" si="0"/>
        <v>13802141</v>
      </c>
      <c r="C39" s="272">
        <v>743287</v>
      </c>
      <c r="D39" s="272">
        <v>13058854</v>
      </c>
    </row>
    <row r="40" spans="1:4" ht="14.1" customHeight="1" x14ac:dyDescent="0.2">
      <c r="A40" s="15" t="s">
        <v>136</v>
      </c>
      <c r="B40" s="16">
        <f t="shared" si="0"/>
        <v>65247779</v>
      </c>
      <c r="C40" s="16">
        <v>3410913</v>
      </c>
      <c r="D40" s="16">
        <v>61836866</v>
      </c>
    </row>
    <row r="41" spans="1:4" ht="14.1" customHeight="1" x14ac:dyDescent="0.2">
      <c r="A41" s="271" t="s">
        <v>137</v>
      </c>
      <c r="B41" s="272">
        <f t="shared" si="0"/>
        <v>38889460</v>
      </c>
      <c r="C41" s="272">
        <v>2593995</v>
      </c>
      <c r="D41" s="272">
        <v>36295465</v>
      </c>
    </row>
    <row r="42" spans="1:4" ht="14.1" customHeight="1" x14ac:dyDescent="0.2">
      <c r="A42" s="15" t="s">
        <v>138</v>
      </c>
      <c r="B42" s="16">
        <f t="shared" si="0"/>
        <v>8857069</v>
      </c>
      <c r="C42" s="16">
        <v>1035367</v>
      </c>
      <c r="D42" s="16">
        <v>7821702</v>
      </c>
    </row>
    <row r="43" spans="1:4" ht="14.1" customHeight="1" x14ac:dyDescent="0.2">
      <c r="A43" s="271" t="s">
        <v>139</v>
      </c>
      <c r="B43" s="272">
        <f t="shared" si="0"/>
        <v>7239208</v>
      </c>
      <c r="C43" s="272">
        <v>0</v>
      </c>
      <c r="D43" s="272">
        <v>7239208</v>
      </c>
    </row>
    <row r="44" spans="1:4" ht="14.1" customHeight="1" x14ac:dyDescent="0.2">
      <c r="A44" s="15" t="s">
        <v>140</v>
      </c>
      <c r="B44" s="16">
        <f t="shared" si="0"/>
        <v>3912431</v>
      </c>
      <c r="C44" s="16">
        <v>390766</v>
      </c>
      <c r="D44" s="16">
        <v>3521665</v>
      </c>
    </row>
    <row r="45" spans="1:4" ht="14.1" customHeight="1" x14ac:dyDescent="0.2">
      <c r="A45" s="271" t="s">
        <v>141</v>
      </c>
      <c r="B45" s="272">
        <f t="shared" si="0"/>
        <v>9154909</v>
      </c>
      <c r="C45" s="272">
        <v>0</v>
      </c>
      <c r="D45" s="272">
        <v>9154909</v>
      </c>
    </row>
    <row r="46" spans="1:4" ht="14.1" customHeight="1" x14ac:dyDescent="0.2">
      <c r="A46" s="15" t="s">
        <v>142</v>
      </c>
      <c r="B46" s="16">
        <f t="shared" si="0"/>
        <v>193907758</v>
      </c>
      <c r="C46" s="16">
        <v>7983663</v>
      </c>
      <c r="D46" s="16">
        <v>185924095</v>
      </c>
    </row>
    <row r="47" spans="1:4" ht="5.0999999999999996" customHeight="1" x14ac:dyDescent="0.2">
      <c r="A47"/>
      <c r="B47"/>
      <c r="C47"/>
      <c r="D47"/>
    </row>
    <row r="48" spans="1:4" ht="14.1" customHeight="1" x14ac:dyDescent="0.2">
      <c r="A48" s="274" t="s">
        <v>143</v>
      </c>
      <c r="B48" s="275">
        <f>SUM(B11:B47)</f>
        <v>1102281955</v>
      </c>
      <c r="C48" s="275">
        <f>SUM(C11:C47)</f>
        <v>53951474</v>
      </c>
      <c r="D48" s="275">
        <f>SUM(D11:D47)</f>
        <v>1048330481</v>
      </c>
    </row>
    <row r="49" spans="1:6" s="164" customFormat="1" ht="49.5" customHeight="1" x14ac:dyDescent="0.2">
      <c r="A49" s="372"/>
      <c r="B49" s="372"/>
      <c r="C49" s="372"/>
      <c r="D49" s="372"/>
      <c r="E49" s="19"/>
      <c r="F49" s="19"/>
    </row>
    <row r="50" spans="1:6" s="223" customFormat="1" ht="18" customHeight="1" x14ac:dyDescent="0.2">
      <c r="A50" s="751" t="s">
        <v>603</v>
      </c>
      <c r="B50" s="751"/>
      <c r="C50" s="751"/>
      <c r="D50" s="751"/>
      <c r="E50" s="751"/>
      <c r="F50" s="751"/>
    </row>
    <row r="51" spans="1:6" s="478" customFormat="1" ht="21.75" customHeight="1" x14ac:dyDescent="0.2">
      <c r="A51" s="752"/>
      <c r="B51" s="752"/>
      <c r="C51" s="752"/>
      <c r="D51" s="752"/>
      <c r="E51" s="752"/>
      <c r="F51" s="752"/>
    </row>
    <row r="52" spans="1:6" s="478" customFormat="1" ht="21" customHeight="1" x14ac:dyDescent="0.2">
      <c r="A52" s="752"/>
      <c r="B52" s="752"/>
      <c r="C52" s="752"/>
      <c r="D52" s="752"/>
      <c r="E52" s="752"/>
      <c r="F52" s="752"/>
    </row>
    <row r="53" spans="1:6" ht="14.45" customHeight="1" x14ac:dyDescent="0.2"/>
    <row r="54" spans="1:6" ht="14.45" customHeight="1" x14ac:dyDescent="0.2"/>
    <row r="55" spans="1:6" ht="14.45" customHeight="1" x14ac:dyDescent="0.2"/>
    <row r="56" spans="1:6" ht="14.45" customHeight="1" x14ac:dyDescent="0.2"/>
  </sheetData>
  <mergeCells count="6">
    <mergeCell ref="A50:F52"/>
    <mergeCell ref="A2:F2"/>
    <mergeCell ref="A3:F3"/>
    <mergeCell ref="B8:B9"/>
    <mergeCell ref="C8:C9"/>
    <mergeCell ref="D8:D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&amp;C&amp;"Arial,Regular"&amp;10 &amp;A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B58"/>
  <sheetViews>
    <sheetView showGridLines="0" showZeros="0" workbookViewId="0"/>
  </sheetViews>
  <sheetFormatPr defaultColWidth="15.83203125" defaultRowHeight="12" x14ac:dyDescent="0.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54" ht="6.95" customHeight="1" x14ac:dyDescent="0.2">
      <c r="A1" s="3"/>
    </row>
    <row r="2" spans="1:54" ht="15.95" customHeight="1" x14ac:dyDescent="0.2">
      <c r="A2" s="33"/>
      <c r="B2" s="193" t="str">
        <f>IF(Lang=1,BA2,BB2)</f>
        <v>LOCAL TAXATION AND ASSESSMENT PER RESIDENT PUPIL</v>
      </c>
      <c r="C2" s="212"/>
      <c r="D2" s="212"/>
      <c r="E2" s="213"/>
      <c r="F2" s="213"/>
      <c r="BA2" s="456" t="s">
        <v>191</v>
      </c>
      <c r="BB2" s="456" t="s">
        <v>474</v>
      </c>
    </row>
    <row r="3" spans="1:54" ht="15.95" customHeight="1" x14ac:dyDescent="0.2">
      <c r="A3" s="37"/>
      <c r="B3" s="195" t="str">
        <f>TAXYEAR</f>
        <v>FOR THE 2018 TAXATION YEAR  (2018 IS A REASSESSMENT YEAR)</v>
      </c>
      <c r="C3" s="214"/>
      <c r="D3" s="214"/>
      <c r="E3" s="215"/>
      <c r="F3" s="215"/>
    </row>
    <row r="4" spans="1:54" ht="15.95" customHeight="1" x14ac:dyDescent="0.2">
      <c r="B4" s="4"/>
      <c r="C4" s="4"/>
      <c r="D4" s="4"/>
      <c r="E4" s="4"/>
      <c r="F4" s="4"/>
    </row>
    <row r="5" spans="1:54" ht="15.95" customHeight="1" x14ac:dyDescent="0.2">
      <c r="B5" s="4"/>
      <c r="C5" s="4"/>
      <c r="D5" s="4"/>
      <c r="E5" s="4"/>
      <c r="F5" s="4"/>
    </row>
    <row r="6" spans="1:54" ht="15.95" customHeight="1" x14ac:dyDescent="0.2">
      <c r="B6" s="4"/>
      <c r="C6" s="4"/>
      <c r="D6" s="4"/>
      <c r="E6" s="4"/>
      <c r="F6" s="373"/>
    </row>
    <row r="7" spans="1:54" ht="15.95" customHeight="1" x14ac:dyDescent="0.2">
      <c r="B7" s="757" t="s">
        <v>476</v>
      </c>
      <c r="C7" s="481"/>
      <c r="D7" s="323"/>
      <c r="E7" s="4"/>
      <c r="F7" s="734" t="s">
        <v>475</v>
      </c>
    </row>
    <row r="8" spans="1:54" ht="15.95" customHeight="1" x14ac:dyDescent="0.2">
      <c r="A8" s="479"/>
      <c r="B8" s="758"/>
      <c r="C8" s="477"/>
      <c r="D8" s="324"/>
      <c r="E8" s="4"/>
      <c r="F8" s="735"/>
    </row>
    <row r="9" spans="1:54" ht="15.95" customHeight="1" x14ac:dyDescent="0.2">
      <c r="A9" s="480" t="s">
        <v>37</v>
      </c>
      <c r="B9" s="759"/>
      <c r="C9" s="325" t="s">
        <v>61</v>
      </c>
      <c r="D9" s="326" t="s">
        <v>25</v>
      </c>
      <c r="E9" s="4"/>
      <c r="F9" s="736"/>
    </row>
    <row r="10" spans="1:54" ht="5.0999999999999996" customHeight="1" x14ac:dyDescent="0.2">
      <c r="A10" s="14"/>
      <c r="B10" s="182"/>
      <c r="C10" s="182"/>
      <c r="D10" s="182"/>
      <c r="E10" s="182"/>
      <c r="F10" s="182"/>
    </row>
    <row r="11" spans="1:54" ht="14.1" customHeight="1" x14ac:dyDescent="0.2">
      <c r="A11" s="271" t="s">
        <v>108</v>
      </c>
      <c r="B11" s="272">
        <f>'- 45 -'!C11</f>
        <v>1525667.0794999998</v>
      </c>
      <c r="C11" s="272">
        <v>8957665</v>
      </c>
      <c r="D11" s="272">
        <f t="shared" ref="D11:D46" si="0">SUM(B11,C11)</f>
        <v>10483332.079499999</v>
      </c>
      <c r="F11" s="272">
        <f>+Data!S11</f>
        <v>443623</v>
      </c>
    </row>
    <row r="12" spans="1:54" ht="14.1" customHeight="1" x14ac:dyDescent="0.2">
      <c r="A12" s="15" t="s">
        <v>109</v>
      </c>
      <c r="B12" s="16">
        <f>'- 45 -'!C12</f>
        <v>2093448.6754999999</v>
      </c>
      <c r="C12" s="16">
        <v>14421496</v>
      </c>
      <c r="D12" s="16">
        <f t="shared" si="0"/>
        <v>16514944.6755</v>
      </c>
      <c r="F12" s="16">
        <f>+Data!S12</f>
        <v>488257</v>
      </c>
    </row>
    <row r="13" spans="1:54" ht="14.1" customHeight="1" x14ac:dyDescent="0.2">
      <c r="A13" s="271" t="s">
        <v>110</v>
      </c>
      <c r="B13" s="272">
        <f>'- 45 -'!C13</f>
        <v>9222162.8819999993</v>
      </c>
      <c r="C13" s="272">
        <v>47696704</v>
      </c>
      <c r="D13" s="272">
        <f t="shared" si="0"/>
        <v>56918866.881999999</v>
      </c>
      <c r="F13" s="272">
        <f>+Data!S13</f>
        <v>373941</v>
      </c>
    </row>
    <row r="14" spans="1:54" ht="14.1" customHeight="1" x14ac:dyDescent="0.2">
      <c r="A14" s="15" t="s">
        <v>319</v>
      </c>
      <c r="B14" s="16">
        <f>'- 45 -'!C14</f>
        <v>0</v>
      </c>
      <c r="C14" s="16">
        <v>0</v>
      </c>
      <c r="D14" s="16">
        <f t="shared" si="0"/>
        <v>0</v>
      </c>
      <c r="F14" s="16">
        <f>+Data!S14</f>
        <v>469974</v>
      </c>
    </row>
    <row r="15" spans="1:54" ht="14.1" customHeight="1" x14ac:dyDescent="0.2">
      <c r="A15" s="271" t="s">
        <v>111</v>
      </c>
      <c r="B15" s="272">
        <f>'- 45 -'!C15</f>
        <v>1230273.6697</v>
      </c>
      <c r="C15" s="272">
        <v>10963269</v>
      </c>
      <c r="D15" s="272">
        <f t="shared" si="0"/>
        <v>12193542.6697</v>
      </c>
      <c r="F15" s="272">
        <f>+Data!S15</f>
        <v>716133</v>
      </c>
    </row>
    <row r="16" spans="1:54" ht="14.1" customHeight="1" x14ac:dyDescent="0.2">
      <c r="A16" s="15" t="s">
        <v>112</v>
      </c>
      <c r="B16" s="16">
        <f>'- 45 -'!C16</f>
        <v>336829.15219999995</v>
      </c>
      <c r="C16" s="16">
        <v>4389563</v>
      </c>
      <c r="D16" s="16">
        <f t="shared" si="0"/>
        <v>4726392.1522000004</v>
      </c>
      <c r="F16" s="16">
        <f>+Data!S16</f>
        <v>210306</v>
      </c>
    </row>
    <row r="17" spans="1:6" ht="14.1" customHeight="1" x14ac:dyDescent="0.2">
      <c r="A17" s="271" t="s">
        <v>113</v>
      </c>
      <c r="B17" s="272">
        <f>'- 45 -'!C17</f>
        <v>5754245.8883999996</v>
      </c>
      <c r="C17" s="272">
        <v>9289171</v>
      </c>
      <c r="D17" s="272">
        <f t="shared" si="0"/>
        <v>15043416.8884</v>
      </c>
      <c r="F17" s="272">
        <f>+Data!S17</f>
        <v>911122</v>
      </c>
    </row>
    <row r="18" spans="1:6" ht="14.1" customHeight="1" x14ac:dyDescent="0.2">
      <c r="A18" s="15" t="s">
        <v>114</v>
      </c>
      <c r="B18" s="16">
        <f>'- 45 -'!C18</f>
        <v>765350.24289999995</v>
      </c>
      <c r="C18" s="16">
        <v>3262238</v>
      </c>
      <c r="D18" s="16">
        <f t="shared" si="0"/>
        <v>4027588.2429</v>
      </c>
      <c r="F18" s="16">
        <f>+Data!S18</f>
        <v>111404</v>
      </c>
    </row>
    <row r="19" spans="1:6" ht="14.1" customHeight="1" x14ac:dyDescent="0.2">
      <c r="A19" s="271" t="s">
        <v>115</v>
      </c>
      <c r="B19" s="272">
        <f>'- 45 -'!C19</f>
        <v>3237159.3635999998</v>
      </c>
      <c r="C19" s="272">
        <v>19293640</v>
      </c>
      <c r="D19" s="272">
        <f t="shared" si="0"/>
        <v>22530799.363600001</v>
      </c>
      <c r="F19" s="272">
        <f>+Data!S19</f>
        <v>292594</v>
      </c>
    </row>
    <row r="20" spans="1:6" ht="14.1" customHeight="1" x14ac:dyDescent="0.2">
      <c r="A20" s="15" t="s">
        <v>116</v>
      </c>
      <c r="B20" s="16">
        <f>'- 45 -'!C20</f>
        <v>4314558.5214999998</v>
      </c>
      <c r="C20" s="16">
        <v>33373872</v>
      </c>
      <c r="D20" s="16">
        <f t="shared" si="0"/>
        <v>37688430.521499999</v>
      </c>
      <c r="F20" s="16">
        <f>+Data!S20</f>
        <v>270159</v>
      </c>
    </row>
    <row r="21" spans="1:6" ht="14.1" customHeight="1" x14ac:dyDescent="0.2">
      <c r="A21" s="271" t="s">
        <v>117</v>
      </c>
      <c r="B21" s="272">
        <f>'- 45 -'!C21</f>
        <v>2984026.0887999996</v>
      </c>
      <c r="C21" s="272">
        <v>19032594</v>
      </c>
      <c r="D21" s="272">
        <f t="shared" si="0"/>
        <v>22016620.088799998</v>
      </c>
      <c r="F21" s="272">
        <f>+Data!S21</f>
        <v>491652</v>
      </c>
    </row>
    <row r="22" spans="1:6" ht="14.1" customHeight="1" x14ac:dyDescent="0.2">
      <c r="A22" s="15" t="s">
        <v>118</v>
      </c>
      <c r="B22" s="16">
        <f>'- 45 -'!C22</f>
        <v>651223.84419999993</v>
      </c>
      <c r="C22" s="16">
        <v>4556896</v>
      </c>
      <c r="D22" s="16">
        <f t="shared" si="0"/>
        <v>5208119.8442000002</v>
      </c>
      <c r="F22" s="16">
        <f>+Data!S22</f>
        <v>172077</v>
      </c>
    </row>
    <row r="23" spans="1:6" ht="14.1" customHeight="1" x14ac:dyDescent="0.2">
      <c r="A23" s="271" t="s">
        <v>119</v>
      </c>
      <c r="B23" s="272">
        <f>'- 45 -'!C23</f>
        <v>352767.53939999995</v>
      </c>
      <c r="C23" s="272">
        <v>4814044</v>
      </c>
      <c r="D23" s="272">
        <f t="shared" si="0"/>
        <v>5166811.5394000001</v>
      </c>
      <c r="F23" s="272">
        <f>+Data!S23</f>
        <v>329425</v>
      </c>
    </row>
    <row r="24" spans="1:6" ht="14.1" customHeight="1" x14ac:dyDescent="0.2">
      <c r="A24" s="15" t="s">
        <v>120</v>
      </c>
      <c r="B24" s="16">
        <f>'- 45 -'!C24</f>
        <v>2568733.4803999998</v>
      </c>
      <c r="C24" s="16">
        <v>30189842</v>
      </c>
      <c r="D24" s="16">
        <f t="shared" si="0"/>
        <v>32758575.4804</v>
      </c>
      <c r="F24" s="16">
        <f>+Data!S24</f>
        <v>525961</v>
      </c>
    </row>
    <row r="25" spans="1:6" ht="14.1" customHeight="1" x14ac:dyDescent="0.2">
      <c r="A25" s="271" t="s">
        <v>121</v>
      </c>
      <c r="B25" s="272">
        <f>'- 45 -'!C25</f>
        <v>14901202.729899999</v>
      </c>
      <c r="C25" s="272">
        <v>107116492</v>
      </c>
      <c r="D25" s="272">
        <f t="shared" si="0"/>
        <v>122017694.7299</v>
      </c>
      <c r="F25" s="272">
        <f>+Data!S25</f>
        <v>494398</v>
      </c>
    </row>
    <row r="26" spans="1:6" ht="14.1" customHeight="1" x14ac:dyDescent="0.2">
      <c r="A26" s="15" t="s">
        <v>122</v>
      </c>
      <c r="B26" s="16">
        <f>'- 45 -'!C26</f>
        <v>1491237.6971999998</v>
      </c>
      <c r="C26" s="16">
        <v>16537582</v>
      </c>
      <c r="D26" s="16">
        <f t="shared" si="0"/>
        <v>18028819.6972</v>
      </c>
      <c r="F26" s="16">
        <f>+Data!S26</f>
        <v>380667</v>
      </c>
    </row>
    <row r="27" spans="1:6" ht="14.1" customHeight="1" x14ac:dyDescent="0.2">
      <c r="A27" s="271" t="s">
        <v>123</v>
      </c>
      <c r="B27" s="272">
        <f>'- 45 -'!C27</f>
        <v>1295818.548</v>
      </c>
      <c r="C27" s="272">
        <v>8695155</v>
      </c>
      <c r="D27" s="272">
        <f t="shared" si="0"/>
        <v>9990973.5480000004</v>
      </c>
      <c r="F27" s="272">
        <f>+Data!S27</f>
        <v>163924</v>
      </c>
    </row>
    <row r="28" spans="1:6" ht="14.1" customHeight="1" x14ac:dyDescent="0.2">
      <c r="A28" s="15" t="s">
        <v>124</v>
      </c>
      <c r="B28" s="16">
        <f>'- 45 -'!C28</f>
        <v>1922271.8272999998</v>
      </c>
      <c r="C28" s="16">
        <v>9927928</v>
      </c>
      <c r="D28" s="16">
        <f t="shared" si="0"/>
        <v>11850199.827299999</v>
      </c>
      <c r="F28" s="16">
        <f>+Data!S28</f>
        <v>615540</v>
      </c>
    </row>
    <row r="29" spans="1:6" ht="14.1" customHeight="1" x14ac:dyDescent="0.2">
      <c r="A29" s="271" t="s">
        <v>125</v>
      </c>
      <c r="B29" s="272">
        <f>'- 45 -'!C29</f>
        <v>16726628.552899998</v>
      </c>
      <c r="C29" s="272">
        <v>105204208</v>
      </c>
      <c r="D29" s="272">
        <f t="shared" si="0"/>
        <v>121930836.5529</v>
      </c>
      <c r="F29" s="272">
        <f>+Data!S29</f>
        <v>630272</v>
      </c>
    </row>
    <row r="30" spans="1:6" ht="14.1" customHeight="1" x14ac:dyDescent="0.2">
      <c r="A30" s="15" t="s">
        <v>126</v>
      </c>
      <c r="B30" s="16">
        <f>'- 45 -'!C30</f>
        <v>1063724.5773999998</v>
      </c>
      <c r="C30" s="16">
        <v>7449673</v>
      </c>
      <c r="D30" s="16">
        <f t="shared" si="0"/>
        <v>8513397.5773999989</v>
      </c>
      <c r="F30" s="16">
        <f>+Data!S30</f>
        <v>543183</v>
      </c>
    </row>
    <row r="31" spans="1:6" ht="14.1" customHeight="1" x14ac:dyDescent="0.2">
      <c r="A31" s="271" t="s">
        <v>127</v>
      </c>
      <c r="B31" s="272">
        <f>'- 45 -'!C31</f>
        <v>3502747.2389999996</v>
      </c>
      <c r="C31" s="272">
        <v>18397686</v>
      </c>
      <c r="D31" s="272">
        <f t="shared" si="0"/>
        <v>21900433.239</v>
      </c>
      <c r="F31" s="272">
        <f>+Data!S31</f>
        <v>426810</v>
      </c>
    </row>
    <row r="32" spans="1:6" ht="14.1" customHeight="1" x14ac:dyDescent="0.2">
      <c r="A32" s="15" t="s">
        <v>128</v>
      </c>
      <c r="B32" s="16">
        <f>'- 45 -'!C32</f>
        <v>1551759.2322999998</v>
      </c>
      <c r="C32" s="16">
        <v>16891762</v>
      </c>
      <c r="D32" s="16">
        <f t="shared" si="0"/>
        <v>18443521.232299998</v>
      </c>
      <c r="F32" s="16">
        <f>+Data!S32</f>
        <v>648173</v>
      </c>
    </row>
    <row r="33" spans="1:6" ht="14.1" customHeight="1" x14ac:dyDescent="0.2">
      <c r="A33" s="271" t="s">
        <v>129</v>
      </c>
      <c r="B33" s="272">
        <f>'- 45 -'!C33</f>
        <v>1792196.2943999998</v>
      </c>
      <c r="C33" s="272">
        <v>14494234</v>
      </c>
      <c r="D33" s="272">
        <f t="shared" si="0"/>
        <v>16286430.294399999</v>
      </c>
      <c r="F33" s="272">
        <f>+Data!S33</f>
        <v>665193</v>
      </c>
    </row>
    <row r="34" spans="1:6" ht="14.1" customHeight="1" x14ac:dyDescent="0.2">
      <c r="A34" s="15" t="s">
        <v>130</v>
      </c>
      <c r="B34" s="16">
        <f>'- 45 -'!C34</f>
        <v>2912402.0233999998</v>
      </c>
      <c r="C34" s="16">
        <v>21190898</v>
      </c>
      <c r="D34" s="16">
        <f t="shared" si="0"/>
        <v>24103300.023400001</v>
      </c>
      <c r="F34" s="16">
        <f>+Data!S34</f>
        <v>669242</v>
      </c>
    </row>
    <row r="35" spans="1:6" ht="14.1" customHeight="1" x14ac:dyDescent="0.2">
      <c r="A35" s="271" t="s">
        <v>131</v>
      </c>
      <c r="B35" s="272">
        <f>'- 45 -'!C35</f>
        <v>11390280.541099999</v>
      </c>
      <c r="C35" s="272">
        <v>91282332</v>
      </c>
      <c r="D35" s="272">
        <f t="shared" si="0"/>
        <v>102672612.5411</v>
      </c>
      <c r="F35" s="272">
        <f>+Data!S35</f>
        <v>428612</v>
      </c>
    </row>
    <row r="36" spans="1:6" ht="14.1" customHeight="1" x14ac:dyDescent="0.2">
      <c r="A36" s="15" t="s">
        <v>132</v>
      </c>
      <c r="B36" s="16">
        <f>'- 45 -'!C36</f>
        <v>1778191.1947999999</v>
      </c>
      <c r="C36" s="16">
        <v>11896156</v>
      </c>
      <c r="D36" s="16">
        <f t="shared" si="0"/>
        <v>13674347.194800001</v>
      </c>
      <c r="F36" s="16">
        <f>+Data!S36</f>
        <v>643784</v>
      </c>
    </row>
    <row r="37" spans="1:6" ht="14.1" customHeight="1" x14ac:dyDescent="0.2">
      <c r="A37" s="271" t="s">
        <v>133</v>
      </c>
      <c r="B37" s="272">
        <f>'- 45 -'!C37</f>
        <v>1967035.0362999998</v>
      </c>
      <c r="C37" s="272">
        <v>27210238</v>
      </c>
      <c r="D37" s="272">
        <f t="shared" si="0"/>
        <v>29177273.0363</v>
      </c>
      <c r="F37" s="272">
        <f>+Data!S37</f>
        <v>335946</v>
      </c>
    </row>
    <row r="38" spans="1:6" ht="14.1" customHeight="1" x14ac:dyDescent="0.2">
      <c r="A38" s="15" t="s">
        <v>134</v>
      </c>
      <c r="B38" s="16">
        <f>'- 45 -'!C38</f>
        <v>4126823.9657999994</v>
      </c>
      <c r="C38" s="16">
        <v>56942379</v>
      </c>
      <c r="D38" s="16">
        <f t="shared" si="0"/>
        <v>61069202.965800002</v>
      </c>
      <c r="F38" s="16">
        <f>+Data!S38</f>
        <v>327972</v>
      </c>
    </row>
    <row r="39" spans="1:6" ht="14.1" customHeight="1" x14ac:dyDescent="0.2">
      <c r="A39" s="271" t="s">
        <v>135</v>
      </c>
      <c r="B39" s="272">
        <f>'- 45 -'!C39</f>
        <v>3538923.8880999996</v>
      </c>
      <c r="C39" s="272">
        <v>13058854</v>
      </c>
      <c r="D39" s="272">
        <f t="shared" si="0"/>
        <v>16597777.8881</v>
      </c>
      <c r="F39" s="272">
        <f>+Data!S39</f>
        <v>816595</v>
      </c>
    </row>
    <row r="40" spans="1:6" ht="14.1" customHeight="1" x14ac:dyDescent="0.2">
      <c r="A40" s="15" t="s">
        <v>136</v>
      </c>
      <c r="B40" s="16">
        <f>'- 45 -'!C40</f>
        <v>17066860.2053</v>
      </c>
      <c r="C40" s="16">
        <v>61836866</v>
      </c>
      <c r="D40" s="16">
        <f t="shared" si="0"/>
        <v>78903726.205300003</v>
      </c>
      <c r="F40" s="16">
        <f>+Data!S40</f>
        <v>610145</v>
      </c>
    </row>
    <row r="41" spans="1:6" ht="14.1" customHeight="1" x14ac:dyDescent="0.2">
      <c r="A41" s="271" t="s">
        <v>137</v>
      </c>
      <c r="B41" s="272">
        <f>'- 45 -'!C41</f>
        <v>4514707.5230999999</v>
      </c>
      <c r="C41" s="272">
        <v>36295465</v>
      </c>
      <c r="D41" s="272">
        <f t="shared" si="0"/>
        <v>40810172.523100004</v>
      </c>
      <c r="F41" s="272">
        <f>+Data!S41</f>
        <v>555919</v>
      </c>
    </row>
    <row r="42" spans="1:6" ht="14.1" customHeight="1" x14ac:dyDescent="0.2">
      <c r="A42" s="15" t="s">
        <v>138</v>
      </c>
      <c r="B42" s="16">
        <f>'- 45 -'!C42</f>
        <v>842288.6020999999</v>
      </c>
      <c r="C42" s="16">
        <v>7821702</v>
      </c>
      <c r="D42" s="16">
        <f t="shared" si="0"/>
        <v>8663990.6020999998</v>
      </c>
      <c r="F42" s="16">
        <f>+Data!S42</f>
        <v>421447</v>
      </c>
    </row>
    <row r="43" spans="1:6" ht="14.1" customHeight="1" x14ac:dyDescent="0.2">
      <c r="A43" s="271" t="s">
        <v>139</v>
      </c>
      <c r="B43" s="272">
        <f>'- 45 -'!C43</f>
        <v>678490.35099999991</v>
      </c>
      <c r="C43" s="272">
        <v>7239208</v>
      </c>
      <c r="D43" s="272">
        <f t="shared" si="0"/>
        <v>7917698.3509999998</v>
      </c>
      <c r="F43" s="272">
        <f>+Data!S43</f>
        <v>644926</v>
      </c>
    </row>
    <row r="44" spans="1:6" ht="14.1" customHeight="1" x14ac:dyDescent="0.2">
      <c r="A44" s="15" t="s">
        <v>140</v>
      </c>
      <c r="B44" s="16">
        <f>'- 45 -'!C44</f>
        <v>137678.15609999999</v>
      </c>
      <c r="C44" s="16">
        <v>3521665</v>
      </c>
      <c r="D44" s="16">
        <f t="shared" si="0"/>
        <v>3659343.1560999998</v>
      </c>
      <c r="F44" s="16">
        <f>+Data!S44</f>
        <v>312589</v>
      </c>
    </row>
    <row r="45" spans="1:6" ht="14.1" customHeight="1" x14ac:dyDescent="0.2">
      <c r="A45" s="271" t="s">
        <v>141</v>
      </c>
      <c r="B45" s="272">
        <f>'- 45 -'!C45</f>
        <v>1084414.7995</v>
      </c>
      <c r="C45" s="272">
        <v>9154909</v>
      </c>
      <c r="D45" s="272">
        <f t="shared" si="0"/>
        <v>10239323.7995</v>
      </c>
      <c r="F45" s="272">
        <f>+Data!S45</f>
        <v>354882</v>
      </c>
    </row>
    <row r="46" spans="1:6" ht="14.1" customHeight="1" x14ac:dyDescent="0.2">
      <c r="A46" s="15" t="s">
        <v>142</v>
      </c>
      <c r="B46" s="16">
        <f>'- 45 -'!C46</f>
        <v>51073298.423699997</v>
      </c>
      <c r="C46" s="16">
        <v>185924095</v>
      </c>
      <c r="D46" s="16">
        <f t="shared" si="0"/>
        <v>236997393.4237</v>
      </c>
      <c r="F46" s="16">
        <f>+Data!S46</f>
        <v>438125</v>
      </c>
    </row>
    <row r="47" spans="1:6" ht="5.0999999999999996" customHeight="1" x14ac:dyDescent="0.2">
      <c r="A47"/>
      <c r="B47"/>
      <c r="C47"/>
      <c r="D47"/>
      <c r="F47"/>
    </row>
    <row r="48" spans="1:6" ht="14.1" customHeight="1" x14ac:dyDescent="0.2">
      <c r="A48" s="274" t="s">
        <v>143</v>
      </c>
      <c r="B48" s="275">
        <f>SUM(B11:B46)</f>
        <v>180395427.83679998</v>
      </c>
      <c r="C48" s="275">
        <f>SUM(C11:C46)</f>
        <v>1048330481</v>
      </c>
      <c r="D48" s="275">
        <f>SUM(D11:D46)</f>
        <v>1228725908.8368001</v>
      </c>
      <c r="F48" s="275">
        <f>+Data!S48</f>
        <v>454967.648580771</v>
      </c>
    </row>
    <row r="49" spans="1:6" ht="50.1" customHeight="1" x14ac:dyDescent="0.2">
      <c r="A49" s="216" t="s">
        <v>1</v>
      </c>
      <c r="B49" s="19"/>
      <c r="C49" s="19"/>
      <c r="D49" s="19"/>
      <c r="E49" s="19"/>
      <c r="F49" s="19"/>
    </row>
    <row r="50" spans="1:6" ht="15" customHeight="1" x14ac:dyDescent="0.2">
      <c r="A50" s="751" t="s">
        <v>477</v>
      </c>
      <c r="B50" s="751"/>
      <c r="C50" s="751"/>
      <c r="D50" s="751"/>
      <c r="E50" s="751"/>
      <c r="F50" s="751"/>
    </row>
    <row r="51" spans="1:6" ht="12" customHeight="1" x14ac:dyDescent="0.2">
      <c r="A51" s="752"/>
      <c r="B51" s="752"/>
      <c r="C51" s="752"/>
      <c r="D51" s="752"/>
      <c r="E51" s="752"/>
      <c r="F51" s="752"/>
    </row>
    <row r="52" spans="1:6" ht="12" customHeight="1" x14ac:dyDescent="0.2">
      <c r="A52" s="752"/>
      <c r="B52" s="752"/>
      <c r="C52" s="752"/>
      <c r="D52" s="752"/>
      <c r="E52" s="752"/>
      <c r="F52" s="752"/>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3">
    <mergeCell ref="F7:F9"/>
    <mergeCell ref="B7:B9"/>
    <mergeCell ref="A50:F52"/>
  </mergeCells>
  <phoneticPr fontId="0" type="noConversion"/>
  <printOptions horizontalCentered="1"/>
  <pageMargins left="0.51181102362204722" right="0.51181102362204722" top="0.59055118110236227" bottom="0" header="0.31496062992125984" footer="0"/>
  <pageSetup scale="86" orientation="portrait"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63"/>
  <sheetViews>
    <sheetView showGridLines="0" showZeros="0" workbookViewId="0"/>
  </sheetViews>
  <sheetFormatPr defaultColWidth="19.83203125" defaultRowHeight="12" x14ac:dyDescent="0.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2018/2019 BUDGET</v>
      </c>
      <c r="C2" s="235"/>
      <c r="D2" s="236"/>
      <c r="E2" s="232"/>
      <c r="F2" s="232"/>
      <c r="G2" s="185" t="s">
        <v>92</v>
      </c>
    </row>
    <row r="3" spans="1:7" ht="15.95" customHeight="1" x14ac:dyDescent="0.2">
      <c r="A3" s="180"/>
      <c r="B3" s="3"/>
      <c r="C3" s="3"/>
      <c r="D3" s="3"/>
      <c r="E3" s="3"/>
      <c r="F3" s="3"/>
      <c r="G3" s="3"/>
    </row>
    <row r="4" spans="1:7" ht="15.95" customHeight="1" x14ac:dyDescent="0.2">
      <c r="B4" s="760" t="s">
        <v>34</v>
      </c>
      <c r="C4" s="761"/>
      <c r="D4" s="761"/>
      <c r="E4" s="761"/>
      <c r="F4" s="761"/>
      <c r="G4" s="762"/>
    </row>
    <row r="5" spans="1:7" ht="15.95" customHeight="1" x14ac:dyDescent="0.2">
      <c r="B5" s="763" t="s">
        <v>106</v>
      </c>
      <c r="C5" s="764"/>
      <c r="D5" s="764"/>
      <c r="E5" s="764"/>
      <c r="F5" s="764"/>
      <c r="G5" s="765"/>
    </row>
    <row r="6" spans="1:7" ht="15.95" customHeight="1" x14ac:dyDescent="0.2">
      <c r="B6" s="607" t="s">
        <v>46</v>
      </c>
      <c r="C6" s="608"/>
      <c r="D6" s="608"/>
      <c r="E6" s="608"/>
      <c r="F6" s="608"/>
      <c r="G6" s="609"/>
    </row>
    <row r="7" spans="1:7" ht="15.95" customHeight="1" x14ac:dyDescent="0.2">
      <c r="B7" s="186"/>
      <c r="C7" s="693" t="s">
        <v>479</v>
      </c>
      <c r="D7" s="24"/>
      <c r="E7" s="24"/>
      <c r="F7" s="24"/>
      <c r="G7" s="24"/>
    </row>
    <row r="8" spans="1:7" ht="15.95" customHeight="1" x14ac:dyDescent="0.2">
      <c r="A8" s="82"/>
      <c r="B8" s="766" t="s">
        <v>478</v>
      </c>
      <c r="C8" s="768"/>
      <c r="D8" s="768" t="s">
        <v>480</v>
      </c>
      <c r="E8" s="768" t="s">
        <v>481</v>
      </c>
      <c r="F8" s="768" t="s">
        <v>482</v>
      </c>
      <c r="G8" s="768" t="s">
        <v>483</v>
      </c>
    </row>
    <row r="9" spans="1:7" ht="15.95" customHeight="1" x14ac:dyDescent="0.2">
      <c r="A9" s="27" t="s">
        <v>37</v>
      </c>
      <c r="B9" s="767"/>
      <c r="C9" s="769"/>
      <c r="D9" s="769"/>
      <c r="E9" s="769"/>
      <c r="F9" s="769"/>
      <c r="G9" s="769"/>
    </row>
    <row r="10" spans="1:7" ht="5.0999999999999996" customHeight="1" x14ac:dyDescent="0.2">
      <c r="A10" s="29"/>
      <c r="E10" s="3"/>
      <c r="F10" s="3"/>
      <c r="G10" s="3"/>
    </row>
    <row r="11" spans="1:7" ht="14.1" customHeight="1" x14ac:dyDescent="0.2">
      <c r="A11" s="271" t="s">
        <v>108</v>
      </c>
      <c r="B11" s="272">
        <v>3436226</v>
      </c>
      <c r="C11" s="272">
        <v>100456</v>
      </c>
      <c r="D11" s="272">
        <v>194773</v>
      </c>
      <c r="E11" s="272">
        <v>106992</v>
      </c>
      <c r="F11" s="272">
        <v>110558</v>
      </c>
      <c r="G11" s="272">
        <v>164054</v>
      </c>
    </row>
    <row r="12" spans="1:7" ht="14.1" customHeight="1" x14ac:dyDescent="0.2">
      <c r="A12" s="15" t="s">
        <v>109</v>
      </c>
      <c r="B12" s="16">
        <v>3807945</v>
      </c>
      <c r="C12" s="16">
        <v>0</v>
      </c>
      <c r="D12" s="16">
        <v>390856</v>
      </c>
      <c r="E12" s="16">
        <v>118566</v>
      </c>
      <c r="F12" s="16">
        <v>122518</v>
      </c>
      <c r="G12" s="16">
        <v>181801</v>
      </c>
    </row>
    <row r="13" spans="1:7" ht="14.1" customHeight="1" x14ac:dyDescent="0.2">
      <c r="A13" s="271" t="s">
        <v>110</v>
      </c>
      <c r="B13" s="272">
        <v>16199900</v>
      </c>
      <c r="C13" s="272">
        <v>0</v>
      </c>
      <c r="D13" s="272">
        <v>128600</v>
      </c>
      <c r="E13" s="272">
        <v>504400</v>
      </c>
      <c r="F13" s="272">
        <v>521200</v>
      </c>
      <c r="G13" s="272">
        <v>773400</v>
      </c>
    </row>
    <row r="14" spans="1:7" ht="14.1" customHeight="1" x14ac:dyDescent="0.2">
      <c r="A14" s="15" t="s">
        <v>319</v>
      </c>
      <c r="B14" s="16">
        <v>10253182</v>
      </c>
      <c r="C14" s="16">
        <v>37867</v>
      </c>
      <c r="D14" s="16">
        <v>762331</v>
      </c>
      <c r="E14" s="16">
        <v>319248</v>
      </c>
      <c r="F14" s="16">
        <v>329890</v>
      </c>
      <c r="G14" s="16">
        <v>489514</v>
      </c>
    </row>
    <row r="15" spans="1:7" ht="14.1" customHeight="1" x14ac:dyDescent="0.2">
      <c r="A15" s="271" t="s">
        <v>111</v>
      </c>
      <c r="B15" s="272">
        <v>2626116</v>
      </c>
      <c r="C15" s="272">
        <v>0</v>
      </c>
      <c r="D15" s="272">
        <v>254236</v>
      </c>
      <c r="E15" s="272">
        <v>81768</v>
      </c>
      <c r="F15" s="272">
        <v>84494</v>
      </c>
      <c r="G15" s="272">
        <v>125378</v>
      </c>
    </row>
    <row r="16" spans="1:7" ht="14.1" customHeight="1" x14ac:dyDescent="0.2">
      <c r="A16" s="15" t="s">
        <v>112</v>
      </c>
      <c r="B16" s="16">
        <v>1716764</v>
      </c>
      <c r="C16" s="16">
        <v>50810</v>
      </c>
      <c r="D16" s="16">
        <v>0</v>
      </c>
      <c r="E16" s="16">
        <v>53454</v>
      </c>
      <c r="F16" s="16">
        <v>55236</v>
      </c>
      <c r="G16" s="16">
        <v>81963</v>
      </c>
    </row>
    <row r="17" spans="1:7" ht="14.1" customHeight="1" x14ac:dyDescent="0.2">
      <c r="A17" s="271" t="s">
        <v>113</v>
      </c>
      <c r="B17" s="272">
        <v>2545182</v>
      </c>
      <c r="C17" s="272">
        <v>54071</v>
      </c>
      <c r="D17" s="272">
        <v>276262</v>
      </c>
      <c r="E17" s="272">
        <v>79248</v>
      </c>
      <c r="F17" s="272">
        <v>81890</v>
      </c>
      <c r="G17" s="272">
        <v>121514</v>
      </c>
    </row>
    <row r="18" spans="1:7" ht="14.1" customHeight="1" x14ac:dyDescent="0.2">
      <c r="A18" s="15" t="s">
        <v>114</v>
      </c>
      <c r="B18" s="16">
        <v>4260404</v>
      </c>
      <c r="C18" s="16">
        <v>0</v>
      </c>
      <c r="D18" s="16">
        <v>980677</v>
      </c>
      <c r="E18" s="16">
        <v>132654</v>
      </c>
      <c r="F18" s="16">
        <v>137076</v>
      </c>
      <c r="G18" s="16">
        <v>203403</v>
      </c>
    </row>
    <row r="19" spans="1:7" ht="14.1" customHeight="1" x14ac:dyDescent="0.2">
      <c r="A19" s="271" t="s">
        <v>115</v>
      </c>
      <c r="B19" s="272">
        <v>8452015</v>
      </c>
      <c r="C19" s="272">
        <v>0</v>
      </c>
      <c r="D19" s="272">
        <v>201327</v>
      </c>
      <c r="E19" s="272">
        <v>263166</v>
      </c>
      <c r="F19" s="272">
        <v>271938</v>
      </c>
      <c r="G19" s="272">
        <v>403521</v>
      </c>
    </row>
    <row r="20" spans="1:7" ht="14.1" customHeight="1" x14ac:dyDescent="0.2">
      <c r="A20" s="15" t="s">
        <v>116</v>
      </c>
      <c r="B20" s="16">
        <v>15016340</v>
      </c>
      <c r="C20" s="16">
        <v>0</v>
      </c>
      <c r="D20" s="16">
        <v>241085</v>
      </c>
      <c r="E20" s="16">
        <v>467556</v>
      </c>
      <c r="F20" s="16">
        <v>483141</v>
      </c>
      <c r="G20" s="16">
        <v>716919</v>
      </c>
    </row>
    <row r="21" spans="1:7" ht="14.1" customHeight="1" x14ac:dyDescent="0.2">
      <c r="A21" s="271" t="s">
        <v>117</v>
      </c>
      <c r="B21" s="272">
        <v>5358602</v>
      </c>
      <c r="C21" s="272">
        <v>31376</v>
      </c>
      <c r="D21" s="272">
        <v>468888</v>
      </c>
      <c r="E21" s="272">
        <v>166848</v>
      </c>
      <c r="F21" s="272">
        <v>172410</v>
      </c>
      <c r="G21" s="272">
        <v>255834</v>
      </c>
    </row>
    <row r="22" spans="1:7" ht="14.1" customHeight="1" x14ac:dyDescent="0.2">
      <c r="A22" s="15" t="s">
        <v>118</v>
      </c>
      <c r="B22" s="16">
        <v>2819972</v>
      </c>
      <c r="C22" s="16">
        <v>0</v>
      </c>
      <c r="D22" s="16">
        <v>28043</v>
      </c>
      <c r="E22" s="16">
        <v>87804</v>
      </c>
      <c r="F22" s="16">
        <v>90731</v>
      </c>
      <c r="G22" s="16">
        <v>134633</v>
      </c>
    </row>
    <row r="23" spans="1:7" ht="14.1" customHeight="1" x14ac:dyDescent="0.2">
      <c r="A23" s="271" t="s">
        <v>119</v>
      </c>
      <c r="B23" s="272">
        <v>1840285</v>
      </c>
      <c r="C23" s="272">
        <v>10804</v>
      </c>
      <c r="D23" s="272">
        <v>358507</v>
      </c>
      <c r="E23" s="272">
        <v>57300</v>
      </c>
      <c r="F23" s="272">
        <v>59210</v>
      </c>
      <c r="G23" s="272">
        <v>87860</v>
      </c>
    </row>
    <row r="24" spans="1:7" ht="14.1" customHeight="1" x14ac:dyDescent="0.2">
      <c r="A24" s="15" t="s">
        <v>120</v>
      </c>
      <c r="B24" s="16">
        <v>7350156</v>
      </c>
      <c r="C24" s="16">
        <v>0</v>
      </c>
      <c r="D24" s="16">
        <v>353690</v>
      </c>
      <c r="E24" s="16">
        <v>228858</v>
      </c>
      <c r="F24" s="16">
        <v>236487</v>
      </c>
      <c r="G24" s="16">
        <v>350916</v>
      </c>
    </row>
    <row r="25" spans="1:7" ht="14.1" customHeight="1" x14ac:dyDescent="0.2">
      <c r="A25" s="271" t="s">
        <v>121</v>
      </c>
      <c r="B25" s="272">
        <v>27620076</v>
      </c>
      <c r="C25" s="272">
        <v>37707</v>
      </c>
      <c r="D25" s="272">
        <v>0</v>
      </c>
      <c r="E25" s="272">
        <v>859992</v>
      </c>
      <c r="F25" s="272">
        <v>888658</v>
      </c>
      <c r="G25" s="272">
        <v>1318654</v>
      </c>
    </row>
    <row r="26" spans="1:7" ht="14.1" customHeight="1" x14ac:dyDescent="0.2">
      <c r="A26" s="15" t="s">
        <v>122</v>
      </c>
      <c r="B26" s="16">
        <v>5485591</v>
      </c>
      <c r="C26" s="16">
        <v>3022</v>
      </c>
      <c r="D26" s="16">
        <v>540476</v>
      </c>
      <c r="E26" s="16">
        <v>170802</v>
      </c>
      <c r="F26" s="16">
        <v>176495</v>
      </c>
      <c r="G26" s="16">
        <v>261896</v>
      </c>
    </row>
    <row r="27" spans="1:7" ht="14.1" customHeight="1" x14ac:dyDescent="0.2">
      <c r="A27" s="271" t="s">
        <v>123</v>
      </c>
      <c r="B27" s="272">
        <v>5749975</v>
      </c>
      <c r="C27" s="272">
        <v>0</v>
      </c>
      <c r="D27" s="272">
        <v>0</v>
      </c>
      <c r="E27" s="272">
        <v>179034</v>
      </c>
      <c r="F27" s="272">
        <v>185002</v>
      </c>
      <c r="G27" s="272">
        <v>274519</v>
      </c>
    </row>
    <row r="28" spans="1:7" ht="14.1" customHeight="1" x14ac:dyDescent="0.2">
      <c r="A28" s="15" t="s">
        <v>124</v>
      </c>
      <c r="B28" s="16">
        <v>2818238</v>
      </c>
      <c r="C28" s="16">
        <v>60273</v>
      </c>
      <c r="D28" s="16">
        <v>509437</v>
      </c>
      <c r="E28" s="16">
        <v>87750</v>
      </c>
      <c r="F28" s="16">
        <v>90675</v>
      </c>
      <c r="G28" s="16">
        <v>134550</v>
      </c>
    </row>
    <row r="29" spans="1:7" ht="14.1" customHeight="1" x14ac:dyDescent="0.2">
      <c r="A29" s="271" t="s">
        <v>125</v>
      </c>
      <c r="B29" s="272">
        <v>25410771</v>
      </c>
      <c r="C29" s="272">
        <v>44644</v>
      </c>
      <c r="D29" s="272">
        <v>0</v>
      </c>
      <c r="E29" s="272">
        <v>791202</v>
      </c>
      <c r="F29" s="272">
        <v>817575</v>
      </c>
      <c r="G29" s="272">
        <v>1213176</v>
      </c>
    </row>
    <row r="30" spans="1:7" ht="14.1" customHeight="1" x14ac:dyDescent="0.2">
      <c r="A30" s="15" t="s">
        <v>126</v>
      </c>
      <c r="B30" s="16">
        <v>1940874</v>
      </c>
      <c r="C30" s="16">
        <v>55782</v>
      </c>
      <c r="D30" s="16">
        <v>326744</v>
      </c>
      <c r="E30" s="16">
        <v>60432</v>
      </c>
      <c r="F30" s="16">
        <v>62446</v>
      </c>
      <c r="G30" s="16">
        <v>92662</v>
      </c>
    </row>
    <row r="31" spans="1:7" ht="14.1" customHeight="1" x14ac:dyDescent="0.2">
      <c r="A31" s="271" t="s">
        <v>127</v>
      </c>
      <c r="B31" s="272">
        <v>5993741</v>
      </c>
      <c r="C31" s="272">
        <v>0</v>
      </c>
      <c r="D31" s="272">
        <v>199924</v>
      </c>
      <c r="E31" s="272">
        <v>186624</v>
      </c>
      <c r="F31" s="272">
        <v>192845</v>
      </c>
      <c r="G31" s="272">
        <v>286157</v>
      </c>
    </row>
    <row r="32" spans="1:7" ht="14.1" customHeight="1" x14ac:dyDescent="0.2">
      <c r="A32" s="15" t="s">
        <v>128</v>
      </c>
      <c r="B32" s="16">
        <v>4209146</v>
      </c>
      <c r="C32" s="16">
        <v>0</v>
      </c>
      <c r="D32" s="16">
        <v>624364</v>
      </c>
      <c r="E32" s="16">
        <v>131058</v>
      </c>
      <c r="F32" s="16">
        <v>135427</v>
      </c>
      <c r="G32" s="16">
        <v>200956</v>
      </c>
    </row>
    <row r="33" spans="1:7" ht="14.1" customHeight="1" x14ac:dyDescent="0.2">
      <c r="A33" s="271" t="s">
        <v>129</v>
      </c>
      <c r="B33" s="272">
        <v>3965381</v>
      </c>
      <c r="C33" s="272">
        <v>32630</v>
      </c>
      <c r="D33" s="272">
        <v>816779</v>
      </c>
      <c r="E33" s="272">
        <v>123468</v>
      </c>
      <c r="F33" s="272">
        <v>127584</v>
      </c>
      <c r="G33" s="272">
        <v>189318</v>
      </c>
    </row>
    <row r="34" spans="1:7" ht="14.1" customHeight="1" x14ac:dyDescent="0.2">
      <c r="A34" s="15" t="s">
        <v>130</v>
      </c>
      <c r="B34" s="16">
        <v>4048242</v>
      </c>
      <c r="C34" s="16">
        <v>85720</v>
      </c>
      <c r="D34" s="16">
        <v>601017</v>
      </c>
      <c r="E34" s="16">
        <v>126048</v>
      </c>
      <c r="F34" s="16">
        <v>130250</v>
      </c>
      <c r="G34" s="16">
        <v>193274</v>
      </c>
    </row>
    <row r="35" spans="1:7" ht="14.1" customHeight="1" x14ac:dyDescent="0.2">
      <c r="A35" s="271" t="s">
        <v>131</v>
      </c>
      <c r="B35" s="272">
        <v>30279915</v>
      </c>
      <c r="C35" s="272">
        <v>0</v>
      </c>
      <c r="D35" s="272">
        <v>0</v>
      </c>
      <c r="E35" s="272">
        <v>942810</v>
      </c>
      <c r="F35" s="272">
        <v>974237</v>
      </c>
      <c r="G35" s="272">
        <v>1445642</v>
      </c>
    </row>
    <row r="36" spans="1:7" ht="14.1" customHeight="1" x14ac:dyDescent="0.2">
      <c r="A36" s="15" t="s">
        <v>132</v>
      </c>
      <c r="B36" s="16">
        <v>3038108</v>
      </c>
      <c r="C36" s="16">
        <v>66450</v>
      </c>
      <c r="D36" s="16">
        <v>468252</v>
      </c>
      <c r="E36" s="16">
        <v>94596</v>
      </c>
      <c r="F36" s="16">
        <v>97749</v>
      </c>
      <c r="G36" s="16">
        <v>145047</v>
      </c>
    </row>
    <row r="37" spans="1:7" ht="14.1" customHeight="1" x14ac:dyDescent="0.2">
      <c r="A37" s="271" t="s">
        <v>133</v>
      </c>
      <c r="B37" s="272">
        <v>8070469</v>
      </c>
      <c r="C37" s="272">
        <v>0</v>
      </c>
      <c r="D37" s="272">
        <v>454001</v>
      </c>
      <c r="E37" s="272">
        <v>251286</v>
      </c>
      <c r="F37" s="272">
        <v>259662</v>
      </c>
      <c r="G37" s="272">
        <v>385305</v>
      </c>
    </row>
    <row r="38" spans="1:7" ht="14.1" customHeight="1" x14ac:dyDescent="0.2">
      <c r="A38" s="15" t="s">
        <v>134</v>
      </c>
      <c r="B38" s="16">
        <v>21136685</v>
      </c>
      <c r="C38" s="16">
        <v>0</v>
      </c>
      <c r="D38" s="16">
        <v>0</v>
      </c>
      <c r="E38" s="16">
        <v>658122</v>
      </c>
      <c r="F38" s="16">
        <v>680059</v>
      </c>
      <c r="G38" s="16">
        <v>1009120</v>
      </c>
    </row>
    <row r="39" spans="1:7" ht="14.1" customHeight="1" x14ac:dyDescent="0.2">
      <c r="A39" s="271" t="s">
        <v>135</v>
      </c>
      <c r="B39" s="272">
        <v>2915551</v>
      </c>
      <c r="C39" s="272">
        <v>0</v>
      </c>
      <c r="D39" s="272">
        <v>535875</v>
      </c>
      <c r="E39" s="272">
        <v>90780</v>
      </c>
      <c r="F39" s="272">
        <v>93806</v>
      </c>
      <c r="G39" s="272">
        <v>139196</v>
      </c>
    </row>
    <row r="40" spans="1:7" ht="14.1" customHeight="1" x14ac:dyDescent="0.2">
      <c r="A40" s="15" t="s">
        <v>136</v>
      </c>
      <c r="B40" s="16">
        <v>15364549</v>
      </c>
      <c r="C40" s="16">
        <v>0</v>
      </c>
      <c r="D40" s="16">
        <v>0</v>
      </c>
      <c r="E40" s="16">
        <v>478398</v>
      </c>
      <c r="F40" s="16">
        <v>494345</v>
      </c>
      <c r="G40" s="16">
        <v>733544</v>
      </c>
    </row>
    <row r="41" spans="1:7" ht="14.1" customHeight="1" x14ac:dyDescent="0.2">
      <c r="A41" s="271" t="s">
        <v>137</v>
      </c>
      <c r="B41" s="272">
        <v>8480218</v>
      </c>
      <c r="C41" s="272">
        <v>0</v>
      </c>
      <c r="D41" s="272">
        <v>477741</v>
      </c>
      <c r="E41" s="272">
        <v>264120</v>
      </c>
      <c r="F41" s="272">
        <v>272924</v>
      </c>
      <c r="G41" s="272">
        <v>404984</v>
      </c>
    </row>
    <row r="42" spans="1:7" ht="14.1" customHeight="1" x14ac:dyDescent="0.2">
      <c r="A42" s="15" t="s">
        <v>138</v>
      </c>
      <c r="B42" s="16">
        <v>2639027</v>
      </c>
      <c r="C42" s="16">
        <v>14660</v>
      </c>
      <c r="D42" s="16">
        <v>267110</v>
      </c>
      <c r="E42" s="16">
        <v>82170</v>
      </c>
      <c r="F42" s="16">
        <v>84909</v>
      </c>
      <c r="G42" s="16">
        <v>125994</v>
      </c>
    </row>
    <row r="43" spans="1:7" ht="14.1" customHeight="1" x14ac:dyDescent="0.2">
      <c r="A43" s="271" t="s">
        <v>139</v>
      </c>
      <c r="B43" s="272">
        <v>1867263</v>
      </c>
      <c r="C43" s="272">
        <v>39806</v>
      </c>
      <c r="D43" s="272">
        <v>245669</v>
      </c>
      <c r="E43" s="272">
        <v>58140</v>
      </c>
      <c r="F43" s="272">
        <v>60078</v>
      </c>
      <c r="G43" s="272">
        <v>89148</v>
      </c>
    </row>
    <row r="44" spans="1:7" ht="14.1" customHeight="1" x14ac:dyDescent="0.2">
      <c r="A44" s="15" t="s">
        <v>140</v>
      </c>
      <c r="B44" s="16">
        <v>1336953</v>
      </c>
      <c r="C44" s="16">
        <v>50592</v>
      </c>
      <c r="D44" s="16">
        <v>295992</v>
      </c>
      <c r="E44" s="16">
        <v>41628</v>
      </c>
      <c r="F44" s="16">
        <v>43016</v>
      </c>
      <c r="G44" s="16">
        <v>63830</v>
      </c>
    </row>
    <row r="45" spans="1:7" ht="14.1" customHeight="1" x14ac:dyDescent="0.2">
      <c r="A45" s="271" t="s">
        <v>141</v>
      </c>
      <c r="B45" s="272">
        <v>3278598</v>
      </c>
      <c r="C45" s="272">
        <v>0</v>
      </c>
      <c r="D45" s="272">
        <v>0</v>
      </c>
      <c r="E45" s="272">
        <v>102084</v>
      </c>
      <c r="F45" s="272">
        <v>105487</v>
      </c>
      <c r="G45" s="272">
        <v>156529</v>
      </c>
    </row>
    <row r="46" spans="1:7" ht="14.1" customHeight="1" x14ac:dyDescent="0.2">
      <c r="A46" s="15" t="s">
        <v>142</v>
      </c>
      <c r="B46" s="16">
        <v>57021833</v>
      </c>
      <c r="C46" s="16">
        <v>25759</v>
      </c>
      <c r="D46" s="16">
        <v>0</v>
      </c>
      <c r="E46" s="16">
        <v>1775460</v>
      </c>
      <c r="F46" s="16">
        <v>1834642</v>
      </c>
      <c r="G46" s="16">
        <v>2722372</v>
      </c>
    </row>
    <row r="47" spans="1:7" ht="5.0999999999999996" customHeight="1" x14ac:dyDescent="0.2">
      <c r="A47"/>
      <c r="B47"/>
      <c r="C47"/>
      <c r="D47"/>
      <c r="E47"/>
      <c r="F47"/>
      <c r="G47"/>
    </row>
    <row r="48" spans="1:7" ht="14.1" customHeight="1" x14ac:dyDescent="0.2">
      <c r="A48" s="274" t="s">
        <v>143</v>
      </c>
      <c r="B48" s="275">
        <f t="shared" ref="B48:G48" si="0">SUM(B11:B46)</f>
        <v>328354293</v>
      </c>
      <c r="C48" s="275">
        <f t="shared" si="0"/>
        <v>802429</v>
      </c>
      <c r="D48" s="275">
        <f t="shared" si="0"/>
        <v>11002656</v>
      </c>
      <c r="E48" s="275">
        <f t="shared" si="0"/>
        <v>10223866</v>
      </c>
      <c r="F48" s="275">
        <f t="shared" si="0"/>
        <v>10564650</v>
      </c>
      <c r="G48" s="275">
        <f t="shared" si="0"/>
        <v>15676583</v>
      </c>
    </row>
    <row r="49" spans="1:7" ht="5.0999999999999996" customHeight="1" x14ac:dyDescent="0.2">
      <c r="A49" s="17" t="s">
        <v>1</v>
      </c>
      <c r="B49" s="18"/>
      <c r="C49" s="18"/>
      <c r="D49" s="18"/>
      <c r="E49" s="18"/>
      <c r="F49" s="18"/>
      <c r="G49" s="18"/>
    </row>
    <row r="50" spans="1:7" ht="14.45" customHeight="1" x14ac:dyDescent="0.2">
      <c r="A50" s="15" t="s">
        <v>144</v>
      </c>
      <c r="B50" s="16">
        <v>192010</v>
      </c>
      <c r="C50" s="16">
        <v>57990</v>
      </c>
      <c r="D50" s="16">
        <v>0</v>
      </c>
      <c r="E50" s="16">
        <v>9240</v>
      </c>
      <c r="F50" s="16">
        <v>9548</v>
      </c>
      <c r="G50" s="16">
        <v>14168</v>
      </c>
    </row>
    <row r="51" spans="1:7" ht="14.1" customHeight="1" x14ac:dyDescent="0.2">
      <c r="A51" s="360" t="s">
        <v>514</v>
      </c>
      <c r="B51" s="272">
        <v>0</v>
      </c>
      <c r="C51" s="272">
        <v>0</v>
      </c>
      <c r="D51" s="272">
        <v>0</v>
      </c>
      <c r="E51" s="272">
        <v>0</v>
      </c>
      <c r="F51" s="272">
        <v>0</v>
      </c>
      <c r="G51" s="272">
        <v>0</v>
      </c>
    </row>
    <row r="52" spans="1:7" ht="50.1" customHeight="1" x14ac:dyDescent="0.2">
      <c r="A52" s="19"/>
      <c r="B52" s="19"/>
      <c r="C52" s="19"/>
      <c r="D52" s="19"/>
      <c r="E52" s="19"/>
      <c r="F52" s="19"/>
      <c r="G52" s="19"/>
    </row>
    <row r="53" spans="1:7" ht="15" customHeight="1" x14ac:dyDescent="0.2">
      <c r="A53" s="131" t="s">
        <v>587</v>
      </c>
      <c r="D53" s="31"/>
      <c r="E53" s="31"/>
      <c r="F53" s="31"/>
      <c r="G53" s="31"/>
    </row>
    <row r="54" spans="1:7" ht="12" customHeight="1" x14ac:dyDescent="0.2">
      <c r="A54" s="31" t="s">
        <v>321</v>
      </c>
      <c r="D54" s="31"/>
      <c r="E54" s="31"/>
      <c r="F54" s="31"/>
      <c r="G54" s="31"/>
    </row>
    <row r="55" spans="1:7" ht="14.45" customHeight="1" x14ac:dyDescent="0.2">
      <c r="A55" s="31"/>
      <c r="D55" s="31"/>
      <c r="E55" s="31"/>
      <c r="F55" s="31"/>
      <c r="G55" s="31"/>
    </row>
    <row r="56" spans="1:7" ht="14.45" customHeight="1" x14ac:dyDescent="0.2">
      <c r="D56" s="90"/>
      <c r="E56" s="90"/>
      <c r="F56" s="90"/>
      <c r="G56" s="90"/>
    </row>
    <row r="57" spans="1:7" ht="14.45" customHeight="1" x14ac:dyDescent="0.2"/>
    <row r="58" spans="1:7" ht="14.45" customHeight="1" x14ac:dyDescent="0.2"/>
    <row r="59" spans="1:7" ht="14.45" customHeight="1" x14ac:dyDescent="0.2"/>
    <row r="63" spans="1:7" ht="15" customHeight="1" x14ac:dyDescent="0.2"/>
  </sheetData>
  <mergeCells count="9">
    <mergeCell ref="B4:G4"/>
    <mergeCell ref="B5:G5"/>
    <mergeCell ref="B6:G6"/>
    <mergeCell ref="B8:B9"/>
    <mergeCell ref="C7:C9"/>
    <mergeCell ref="D8:D9"/>
    <mergeCell ref="E8:E9"/>
    <mergeCell ref="F8:F9"/>
    <mergeCell ref="G8: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K59"/>
  <sheetViews>
    <sheetView showGridLines="0" showZeros="0" workbookViewId="0"/>
  </sheetViews>
  <sheetFormatPr defaultColWidth="19.83203125" defaultRowHeight="12" x14ac:dyDescent="0.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2018/2019 BUDGET</v>
      </c>
      <c r="C2" s="236"/>
      <c r="D2" s="232"/>
      <c r="E2" s="232"/>
      <c r="F2" s="237"/>
      <c r="G2" s="185" t="s">
        <v>93</v>
      </c>
    </row>
    <row r="3" spans="1:7" ht="15.95" customHeight="1" x14ac:dyDescent="0.2">
      <c r="A3" s="180"/>
      <c r="B3" s="180"/>
      <c r="C3" s="3"/>
      <c r="D3" s="3"/>
      <c r="E3" s="3"/>
      <c r="F3" s="3"/>
      <c r="G3" s="3"/>
    </row>
    <row r="4" spans="1:7" ht="15.95" customHeight="1" x14ac:dyDescent="0.2">
      <c r="B4" s="760" t="s">
        <v>34</v>
      </c>
      <c r="C4" s="761"/>
      <c r="D4" s="761"/>
      <c r="E4" s="761"/>
      <c r="F4" s="761"/>
      <c r="G4" s="762"/>
    </row>
    <row r="5" spans="1:7" ht="15.95" customHeight="1" x14ac:dyDescent="0.2">
      <c r="B5" s="763" t="s">
        <v>105</v>
      </c>
      <c r="C5" s="764"/>
      <c r="D5" s="764"/>
      <c r="E5" s="764"/>
      <c r="F5" s="764"/>
      <c r="G5" s="765"/>
    </row>
    <row r="6" spans="1:7" ht="15.95" customHeight="1" x14ac:dyDescent="0.2">
      <c r="B6" s="770" t="s">
        <v>46</v>
      </c>
      <c r="C6" s="771"/>
      <c r="D6" s="771"/>
      <c r="E6" s="771"/>
      <c r="F6" s="771"/>
      <c r="G6" s="772"/>
    </row>
    <row r="7" spans="1:7" ht="15.95" customHeight="1" x14ac:dyDescent="0.2">
      <c r="B7" s="186"/>
      <c r="C7" s="24"/>
      <c r="D7" s="24"/>
      <c r="E7" s="24"/>
      <c r="F7" s="24"/>
      <c r="G7" s="693" t="s">
        <v>486</v>
      </c>
    </row>
    <row r="8" spans="1:7" ht="15.95" customHeight="1" x14ac:dyDescent="0.2">
      <c r="A8" s="82"/>
      <c r="B8" s="766" t="s">
        <v>570</v>
      </c>
      <c r="C8" s="768" t="s">
        <v>411</v>
      </c>
      <c r="D8" s="768" t="s">
        <v>484</v>
      </c>
      <c r="E8" s="768" t="s">
        <v>485</v>
      </c>
      <c r="F8" s="238"/>
      <c r="G8" s="768"/>
    </row>
    <row r="9" spans="1:7" ht="15.95" customHeight="1" x14ac:dyDescent="0.2">
      <c r="A9" s="27" t="s">
        <v>37</v>
      </c>
      <c r="B9" s="767"/>
      <c r="C9" s="769"/>
      <c r="D9" s="769"/>
      <c r="E9" s="769"/>
      <c r="F9" s="94" t="s">
        <v>57</v>
      </c>
      <c r="G9" s="769"/>
    </row>
    <row r="10" spans="1:7" ht="5.0999999999999996" customHeight="1" x14ac:dyDescent="0.2">
      <c r="A10" s="29"/>
      <c r="B10" s="3"/>
      <c r="F10" s="3"/>
      <c r="G10" s="3"/>
    </row>
    <row r="11" spans="1:7" ht="14.1" customHeight="1" x14ac:dyDescent="0.2">
      <c r="A11" s="271" t="s">
        <v>108</v>
      </c>
      <c r="B11" s="272">
        <v>557824</v>
      </c>
      <c r="C11" s="272">
        <v>148006</v>
      </c>
      <c r="D11" s="272">
        <v>82027</v>
      </c>
      <c r="E11" s="272">
        <v>34000</v>
      </c>
      <c r="F11" s="272">
        <v>889200</v>
      </c>
      <c r="G11" s="272">
        <f>SUM('- 51 -'!$B11:G11,B11:F11)</f>
        <v>5824116</v>
      </c>
    </row>
    <row r="12" spans="1:7" ht="14.1" customHeight="1" x14ac:dyDescent="0.2">
      <c r="A12" s="15" t="s">
        <v>109</v>
      </c>
      <c r="B12" s="16">
        <v>665449</v>
      </c>
      <c r="C12" s="16">
        <v>164016</v>
      </c>
      <c r="D12" s="16">
        <v>90901</v>
      </c>
      <c r="E12" s="16">
        <v>41750</v>
      </c>
      <c r="F12" s="16">
        <v>1220085</v>
      </c>
      <c r="G12" s="16">
        <f>SUM('- 51 -'!$B12:G12,B12:F12)</f>
        <v>6803887</v>
      </c>
    </row>
    <row r="13" spans="1:7" ht="14.1" customHeight="1" x14ac:dyDescent="0.2">
      <c r="A13" s="271" t="s">
        <v>110</v>
      </c>
      <c r="B13" s="272">
        <v>2865600</v>
      </c>
      <c r="C13" s="272">
        <v>697800</v>
      </c>
      <c r="D13" s="272">
        <v>386700</v>
      </c>
      <c r="E13" s="272">
        <v>186000</v>
      </c>
      <c r="F13" s="272">
        <v>3005300</v>
      </c>
      <c r="G13" s="272">
        <f>SUM('- 51 -'!$B13:G13,B13:F13)</f>
        <v>25268900</v>
      </c>
    </row>
    <row r="14" spans="1:7" ht="14.1" customHeight="1" x14ac:dyDescent="0.2">
      <c r="A14" s="15" t="s">
        <v>319</v>
      </c>
      <c r="B14" s="16">
        <v>1691858</v>
      </c>
      <c r="C14" s="16">
        <v>441626</v>
      </c>
      <c r="D14" s="16">
        <v>207511</v>
      </c>
      <c r="E14" s="16">
        <v>88750</v>
      </c>
      <c r="F14" s="16">
        <v>2743695</v>
      </c>
      <c r="G14" s="16">
        <f>SUM('- 51 -'!$B14:G14,B14:F14)</f>
        <v>17365472</v>
      </c>
    </row>
    <row r="15" spans="1:7" ht="14.1" customHeight="1" x14ac:dyDescent="0.2">
      <c r="A15" s="271" t="s">
        <v>111</v>
      </c>
      <c r="B15" s="272">
        <v>458287</v>
      </c>
      <c r="C15" s="272">
        <v>113112</v>
      </c>
      <c r="D15" s="272">
        <v>53149</v>
      </c>
      <c r="E15" s="272">
        <v>34125</v>
      </c>
      <c r="F15" s="272">
        <v>847305</v>
      </c>
      <c r="G15" s="272">
        <f>SUM('- 51 -'!$B15:G15,B15:F15)</f>
        <v>4677970</v>
      </c>
    </row>
    <row r="16" spans="1:7" ht="14.1" customHeight="1" x14ac:dyDescent="0.2">
      <c r="A16" s="15" t="s">
        <v>112</v>
      </c>
      <c r="B16" s="16">
        <v>319296</v>
      </c>
      <c r="C16" s="16">
        <v>73945</v>
      </c>
      <c r="D16" s="16">
        <v>45436</v>
      </c>
      <c r="E16" s="16">
        <v>22875</v>
      </c>
      <c r="F16" s="16">
        <v>591660</v>
      </c>
      <c r="G16" s="16">
        <f>SUM('- 51 -'!$B16:G16,B16:F16)</f>
        <v>3011439</v>
      </c>
    </row>
    <row r="17" spans="1:7" ht="14.1" customHeight="1" x14ac:dyDescent="0.2">
      <c r="A17" s="271" t="s">
        <v>113</v>
      </c>
      <c r="B17" s="272">
        <v>420700</v>
      </c>
      <c r="C17" s="272">
        <v>109626</v>
      </c>
      <c r="D17" s="272">
        <v>60757</v>
      </c>
      <c r="E17" s="272">
        <v>25000</v>
      </c>
      <c r="F17" s="272">
        <v>846450</v>
      </c>
      <c r="G17" s="272">
        <f>SUM('- 51 -'!$B17:G17,B17:F17)</f>
        <v>4620700</v>
      </c>
    </row>
    <row r="18" spans="1:7" ht="14.1" customHeight="1" x14ac:dyDescent="0.2">
      <c r="A18" s="15" t="s">
        <v>114</v>
      </c>
      <c r="B18" s="16">
        <v>1337909</v>
      </c>
      <c r="C18" s="16">
        <v>183505</v>
      </c>
      <c r="D18" s="16">
        <v>86225</v>
      </c>
      <c r="E18" s="16">
        <v>27500</v>
      </c>
      <c r="F18" s="16">
        <v>4177530</v>
      </c>
      <c r="G18" s="16">
        <f>SUM('- 51 -'!$B18:G18,B18:F18)</f>
        <v>11526883</v>
      </c>
    </row>
    <row r="19" spans="1:7" ht="14.1" customHeight="1" x14ac:dyDescent="0.2">
      <c r="A19" s="271" t="s">
        <v>115</v>
      </c>
      <c r="B19" s="272">
        <v>1407564</v>
      </c>
      <c r="C19" s="272">
        <v>364046</v>
      </c>
      <c r="D19" s="272">
        <v>201761</v>
      </c>
      <c r="E19" s="272">
        <v>92000</v>
      </c>
      <c r="F19" s="272">
        <v>1686060</v>
      </c>
      <c r="G19" s="272">
        <f>SUM('- 51 -'!$B19:G19,B19:F19)</f>
        <v>13343398</v>
      </c>
    </row>
    <row r="20" spans="1:7" ht="14.1" customHeight="1" x14ac:dyDescent="0.2">
      <c r="A20" s="15" t="s">
        <v>116</v>
      </c>
      <c r="B20" s="16">
        <v>2571393</v>
      </c>
      <c r="C20" s="16">
        <v>646786</v>
      </c>
      <c r="D20" s="16">
        <v>303911</v>
      </c>
      <c r="E20" s="16">
        <v>144875</v>
      </c>
      <c r="F20" s="16">
        <v>2791575</v>
      </c>
      <c r="G20" s="16">
        <f>SUM('- 51 -'!$B20:G20,B20:F20)</f>
        <v>23383581</v>
      </c>
    </row>
    <row r="21" spans="1:7" ht="14.1" customHeight="1" x14ac:dyDescent="0.2">
      <c r="A21" s="271" t="s">
        <v>117</v>
      </c>
      <c r="B21" s="272">
        <v>893020</v>
      </c>
      <c r="C21" s="272">
        <v>230806</v>
      </c>
      <c r="D21" s="272">
        <v>108451</v>
      </c>
      <c r="E21" s="272">
        <v>53625</v>
      </c>
      <c r="F21" s="272">
        <v>1527030</v>
      </c>
      <c r="G21" s="272">
        <f>SUM('- 51 -'!$B21:G21,B21:F21)</f>
        <v>9266890</v>
      </c>
    </row>
    <row r="22" spans="1:7" ht="14.1" customHeight="1" x14ac:dyDescent="0.2">
      <c r="A22" s="15" t="s">
        <v>118</v>
      </c>
      <c r="B22" s="16">
        <v>502402</v>
      </c>
      <c r="C22" s="16">
        <v>121462</v>
      </c>
      <c r="D22" s="16">
        <v>74633</v>
      </c>
      <c r="E22" s="16">
        <v>31250</v>
      </c>
      <c r="F22" s="16">
        <v>919980</v>
      </c>
      <c r="G22" s="16">
        <f>SUM('- 51 -'!$B22:G22,B22:F22)</f>
        <v>4810910</v>
      </c>
    </row>
    <row r="23" spans="1:7" ht="14.1" customHeight="1" x14ac:dyDescent="0.2">
      <c r="A23" s="271" t="s">
        <v>119</v>
      </c>
      <c r="B23" s="272">
        <v>341365</v>
      </c>
      <c r="C23" s="272">
        <v>79265</v>
      </c>
      <c r="D23" s="272">
        <v>43930</v>
      </c>
      <c r="E23" s="272">
        <v>17875</v>
      </c>
      <c r="F23" s="272">
        <v>796860</v>
      </c>
      <c r="G23" s="272">
        <f>SUM('- 51 -'!$B23:G23,B23:F23)</f>
        <v>3693261</v>
      </c>
    </row>
    <row r="24" spans="1:7" ht="14.1" customHeight="1" x14ac:dyDescent="0.2">
      <c r="A24" s="15" t="s">
        <v>120</v>
      </c>
      <c r="B24" s="16">
        <v>1285645</v>
      </c>
      <c r="C24" s="16">
        <v>316587</v>
      </c>
      <c r="D24" s="16">
        <v>148758</v>
      </c>
      <c r="E24" s="16">
        <v>91625</v>
      </c>
      <c r="F24" s="16">
        <v>2008395</v>
      </c>
      <c r="G24" s="16">
        <f>SUM('- 51 -'!$B24:G24,B24:F24)</f>
        <v>12371117</v>
      </c>
    </row>
    <row r="25" spans="1:7" ht="14.1" customHeight="1" x14ac:dyDescent="0.2">
      <c r="A25" s="271" t="s">
        <v>121</v>
      </c>
      <c r="B25" s="272">
        <v>4960769</v>
      </c>
      <c r="C25" s="272">
        <v>1189656</v>
      </c>
      <c r="D25" s="272">
        <v>558995</v>
      </c>
      <c r="E25" s="272">
        <v>309250</v>
      </c>
      <c r="F25" s="272">
        <v>6480045</v>
      </c>
      <c r="G25" s="272">
        <f>SUM('- 51 -'!$B25:G25,B25:F25)</f>
        <v>44223802</v>
      </c>
    </row>
    <row r="26" spans="1:7" ht="14.1" customHeight="1" x14ac:dyDescent="0.2">
      <c r="A26" s="15" t="s">
        <v>122</v>
      </c>
      <c r="B26" s="16">
        <v>992822</v>
      </c>
      <c r="C26" s="16">
        <v>236276</v>
      </c>
      <c r="D26" s="16">
        <v>130948</v>
      </c>
      <c r="E26" s="16">
        <v>59013</v>
      </c>
      <c r="F26" s="16">
        <v>2259765</v>
      </c>
      <c r="G26" s="16">
        <f>SUM('- 51 -'!$B26:G26,B26:F26)</f>
        <v>10317106</v>
      </c>
    </row>
    <row r="27" spans="1:7" ht="14.1" customHeight="1" x14ac:dyDescent="0.2">
      <c r="A27" s="271" t="s">
        <v>123</v>
      </c>
      <c r="B27" s="272">
        <v>1103975</v>
      </c>
      <c r="C27" s="272">
        <v>247664</v>
      </c>
      <c r="D27" s="272">
        <v>152179</v>
      </c>
      <c r="E27" s="272">
        <v>63750</v>
      </c>
      <c r="F27" s="272">
        <v>1286775</v>
      </c>
      <c r="G27" s="272">
        <f>SUM('- 51 -'!$B27:G27,B27:F27)</f>
        <v>9242873</v>
      </c>
    </row>
    <row r="28" spans="1:7" ht="14.1" customHeight="1" x14ac:dyDescent="0.2">
      <c r="A28" s="15" t="s">
        <v>124</v>
      </c>
      <c r="B28" s="16">
        <v>475434</v>
      </c>
      <c r="C28" s="16">
        <v>121388</v>
      </c>
      <c r="D28" s="16">
        <v>67275</v>
      </c>
      <c r="E28" s="16">
        <v>31375</v>
      </c>
      <c r="F28" s="16">
        <v>1276515</v>
      </c>
      <c r="G28" s="16">
        <f>SUM('- 51 -'!$B28:G28,B28:F28)</f>
        <v>5672910</v>
      </c>
    </row>
    <row r="29" spans="1:7" ht="14.1" customHeight="1" x14ac:dyDescent="0.2">
      <c r="A29" s="271" t="s">
        <v>125</v>
      </c>
      <c r="B29" s="272">
        <v>4273412</v>
      </c>
      <c r="C29" s="272">
        <v>1094496</v>
      </c>
      <c r="D29" s="272">
        <v>514281</v>
      </c>
      <c r="E29" s="272">
        <v>294938</v>
      </c>
      <c r="F29" s="272">
        <v>5126580</v>
      </c>
      <c r="G29" s="272">
        <f>SUM('- 51 -'!$B29:G29,B29:F29)</f>
        <v>39581075</v>
      </c>
    </row>
    <row r="30" spans="1:7" ht="14.1" customHeight="1" x14ac:dyDescent="0.2">
      <c r="A30" s="15" t="s">
        <v>126</v>
      </c>
      <c r="B30" s="16">
        <v>332115</v>
      </c>
      <c r="C30" s="16">
        <v>83598</v>
      </c>
      <c r="D30" s="16">
        <v>46331</v>
      </c>
      <c r="E30" s="16">
        <v>19750</v>
      </c>
      <c r="F30" s="16">
        <v>789165</v>
      </c>
      <c r="G30" s="16">
        <f>SUM('- 51 -'!$B30:G30,B30:F30)</f>
        <v>3809899</v>
      </c>
    </row>
    <row r="31" spans="1:7" ht="14.1" customHeight="1" x14ac:dyDescent="0.2">
      <c r="A31" s="271" t="s">
        <v>127</v>
      </c>
      <c r="B31" s="272">
        <v>1087064</v>
      </c>
      <c r="C31" s="272">
        <v>258163</v>
      </c>
      <c r="D31" s="272">
        <v>121306</v>
      </c>
      <c r="E31" s="272">
        <v>71625</v>
      </c>
      <c r="F31" s="272">
        <v>1792935</v>
      </c>
      <c r="G31" s="272">
        <f>SUM('- 51 -'!$B31:G31,B31:F31)</f>
        <v>10190384</v>
      </c>
    </row>
    <row r="32" spans="1:7" ht="14.1" customHeight="1" x14ac:dyDescent="0.2">
      <c r="A32" s="15" t="s">
        <v>128</v>
      </c>
      <c r="B32" s="16">
        <v>700125</v>
      </c>
      <c r="C32" s="16">
        <v>181297</v>
      </c>
      <c r="D32" s="16">
        <v>85188</v>
      </c>
      <c r="E32" s="16">
        <v>35875</v>
      </c>
      <c r="F32" s="16">
        <v>1404765</v>
      </c>
      <c r="G32" s="16">
        <f>SUM('- 51 -'!$B32:G32,B32:F32)</f>
        <v>7708201</v>
      </c>
    </row>
    <row r="33" spans="1:7" ht="14.1" customHeight="1" x14ac:dyDescent="0.2">
      <c r="A33" s="271" t="s">
        <v>129</v>
      </c>
      <c r="B33" s="272">
        <v>639146</v>
      </c>
      <c r="C33" s="272">
        <v>170797</v>
      </c>
      <c r="D33" s="272">
        <v>94659</v>
      </c>
      <c r="E33" s="272">
        <v>41750</v>
      </c>
      <c r="F33" s="272">
        <v>1739925</v>
      </c>
      <c r="G33" s="272">
        <f>SUM('- 51 -'!$B33:G33,B33:F33)</f>
        <v>7941437</v>
      </c>
    </row>
    <row r="34" spans="1:7" ht="14.1" customHeight="1" x14ac:dyDescent="0.2">
      <c r="A34" s="15" t="s">
        <v>130</v>
      </c>
      <c r="B34" s="16">
        <v>669176</v>
      </c>
      <c r="C34" s="16">
        <v>174366</v>
      </c>
      <c r="D34" s="16">
        <v>81931</v>
      </c>
      <c r="E34" s="16">
        <v>42500</v>
      </c>
      <c r="F34" s="16">
        <v>1179900</v>
      </c>
      <c r="G34" s="16">
        <f>SUM('- 51 -'!$B34:G34,B34:F34)</f>
        <v>7332424</v>
      </c>
    </row>
    <row r="35" spans="1:7" ht="14.1" customHeight="1" x14ac:dyDescent="0.2">
      <c r="A35" s="271" t="s">
        <v>131</v>
      </c>
      <c r="B35" s="272">
        <v>5289718</v>
      </c>
      <c r="C35" s="272">
        <v>1304221</v>
      </c>
      <c r="D35" s="272">
        <v>612827</v>
      </c>
      <c r="E35" s="272">
        <v>344525</v>
      </c>
      <c r="F35" s="272">
        <v>6907545</v>
      </c>
      <c r="G35" s="272">
        <f>SUM('- 51 -'!$B35:G35,B35:F35)</f>
        <v>48101440</v>
      </c>
    </row>
    <row r="36" spans="1:7" ht="14.1" customHeight="1" x14ac:dyDescent="0.2">
      <c r="A36" s="15" t="s">
        <v>132</v>
      </c>
      <c r="B36" s="16">
        <v>506668</v>
      </c>
      <c r="C36" s="16">
        <v>130858</v>
      </c>
      <c r="D36" s="16">
        <v>72524</v>
      </c>
      <c r="E36" s="16">
        <v>27000</v>
      </c>
      <c r="F36" s="16">
        <v>1158525</v>
      </c>
      <c r="G36" s="16">
        <f>SUM('- 51 -'!$B36:G36,B36:F36)</f>
        <v>5805777</v>
      </c>
    </row>
    <row r="37" spans="1:7" ht="14.1" customHeight="1" x14ac:dyDescent="0.2">
      <c r="A37" s="271" t="s">
        <v>133</v>
      </c>
      <c r="B37" s="272">
        <v>1378763</v>
      </c>
      <c r="C37" s="272">
        <v>347612</v>
      </c>
      <c r="D37" s="272">
        <v>163336</v>
      </c>
      <c r="E37" s="272">
        <v>76500</v>
      </c>
      <c r="F37" s="272">
        <v>1706580</v>
      </c>
      <c r="G37" s="272">
        <f>SUM('- 51 -'!$B37:G37,B37:F37)</f>
        <v>13093514</v>
      </c>
    </row>
    <row r="38" spans="1:7" ht="14.1" customHeight="1" x14ac:dyDescent="0.2">
      <c r="A38" s="15" t="s">
        <v>134</v>
      </c>
      <c r="B38" s="16">
        <v>3764603</v>
      </c>
      <c r="C38" s="16">
        <v>910402</v>
      </c>
      <c r="D38" s="16">
        <v>427779</v>
      </c>
      <c r="E38" s="16">
        <v>263875</v>
      </c>
      <c r="F38" s="16">
        <v>3738060</v>
      </c>
      <c r="G38" s="16">
        <f>SUM('- 51 -'!$B38:G38,B38:F38)</f>
        <v>32588705</v>
      </c>
    </row>
    <row r="39" spans="1:7" ht="14.1" customHeight="1" x14ac:dyDescent="0.2">
      <c r="A39" s="271" t="s">
        <v>135</v>
      </c>
      <c r="B39" s="272">
        <v>472954</v>
      </c>
      <c r="C39" s="272">
        <v>125579</v>
      </c>
      <c r="D39" s="272">
        <v>69598</v>
      </c>
      <c r="E39" s="272">
        <v>27125</v>
      </c>
      <c r="F39" s="272">
        <v>1028565</v>
      </c>
      <c r="G39" s="272">
        <f>SUM('- 51 -'!$B39:G39,B39:F39)</f>
        <v>5499029</v>
      </c>
    </row>
    <row r="40" spans="1:7" ht="14.1" customHeight="1" x14ac:dyDescent="0.2">
      <c r="A40" s="15" t="s">
        <v>136</v>
      </c>
      <c r="B40" s="16">
        <v>2712745</v>
      </c>
      <c r="C40" s="16">
        <v>661784</v>
      </c>
      <c r="D40" s="16">
        <v>310959</v>
      </c>
      <c r="E40" s="16">
        <v>179750</v>
      </c>
      <c r="F40" s="16">
        <v>4111695</v>
      </c>
      <c r="G40" s="16">
        <f>SUM('- 51 -'!$B40:G40,B40:F40)</f>
        <v>25047769</v>
      </c>
    </row>
    <row r="41" spans="1:7" ht="14.1" customHeight="1" x14ac:dyDescent="0.2">
      <c r="A41" s="271" t="s">
        <v>137</v>
      </c>
      <c r="B41" s="272">
        <v>1428546</v>
      </c>
      <c r="C41" s="272">
        <v>365366</v>
      </c>
      <c r="D41" s="272">
        <v>171678</v>
      </c>
      <c r="E41" s="272">
        <v>85000</v>
      </c>
      <c r="F41" s="272">
        <v>2074230</v>
      </c>
      <c r="G41" s="272">
        <f>SUM('- 51 -'!$B41:G41,B41:F41)</f>
        <v>14024807</v>
      </c>
    </row>
    <row r="42" spans="1:7" ht="14.1" customHeight="1" x14ac:dyDescent="0.2">
      <c r="A42" s="15" t="s">
        <v>138</v>
      </c>
      <c r="B42" s="16">
        <v>461820</v>
      </c>
      <c r="C42" s="16">
        <v>113669</v>
      </c>
      <c r="D42" s="16">
        <v>69845</v>
      </c>
      <c r="E42" s="16">
        <v>27300</v>
      </c>
      <c r="F42" s="16">
        <v>1058490</v>
      </c>
      <c r="G42" s="16">
        <f>SUM('- 51 -'!$B42:G42,B42:F42)</f>
        <v>4944994</v>
      </c>
    </row>
    <row r="43" spans="1:7" ht="14.1" customHeight="1" x14ac:dyDescent="0.2">
      <c r="A43" s="271" t="s">
        <v>139</v>
      </c>
      <c r="B43" s="272">
        <v>306152</v>
      </c>
      <c r="C43" s="272">
        <v>80427</v>
      </c>
      <c r="D43" s="272">
        <v>44574</v>
      </c>
      <c r="E43" s="272">
        <v>18250</v>
      </c>
      <c r="F43" s="272">
        <v>585675</v>
      </c>
      <c r="G43" s="272">
        <f>SUM('- 51 -'!$B43:G43,B43:F43)</f>
        <v>3395182</v>
      </c>
    </row>
    <row r="44" spans="1:7" ht="14.1" customHeight="1" x14ac:dyDescent="0.2">
      <c r="A44" s="15" t="s">
        <v>140</v>
      </c>
      <c r="B44" s="16">
        <v>286278</v>
      </c>
      <c r="C44" s="16">
        <v>57585</v>
      </c>
      <c r="D44" s="16">
        <v>31915</v>
      </c>
      <c r="E44" s="16">
        <v>12750</v>
      </c>
      <c r="F44" s="16">
        <v>601065</v>
      </c>
      <c r="G44" s="16">
        <f>SUM('- 51 -'!$B44:G44,B44:F44)</f>
        <v>2821604</v>
      </c>
    </row>
    <row r="45" spans="1:7" ht="14.1" customHeight="1" x14ac:dyDescent="0.2">
      <c r="A45" s="271" t="s">
        <v>141</v>
      </c>
      <c r="B45" s="272">
        <v>541603</v>
      </c>
      <c r="C45" s="272">
        <v>141216</v>
      </c>
      <c r="D45" s="272">
        <v>78264</v>
      </c>
      <c r="E45" s="272">
        <v>32875</v>
      </c>
      <c r="F45" s="272">
        <v>600210</v>
      </c>
      <c r="G45" s="272">
        <f>SUM('- 51 -'!$B45:G45,B45:F45)</f>
        <v>5036866</v>
      </c>
    </row>
    <row r="46" spans="1:7" ht="14.1" customHeight="1" x14ac:dyDescent="0.2">
      <c r="A46" s="15" t="s">
        <v>142</v>
      </c>
      <c r="B46" s="16">
        <v>16424331</v>
      </c>
      <c r="C46" s="16">
        <v>2456053</v>
      </c>
      <c r="D46" s="16">
        <v>1154049</v>
      </c>
      <c r="E46" s="16">
        <v>736625</v>
      </c>
      <c r="F46" s="16">
        <v>14310135</v>
      </c>
      <c r="G46" s="16">
        <f>SUM('- 51 -'!$B46:G46,B46:F46)</f>
        <v>98461259</v>
      </c>
    </row>
    <row r="47" spans="1:7" ht="5.0999999999999996" customHeight="1" x14ac:dyDescent="0.2">
      <c r="A47"/>
      <c r="B47"/>
      <c r="C47"/>
      <c r="D47"/>
      <c r="E47"/>
      <c r="F47"/>
      <c r="G47"/>
    </row>
    <row r="48" spans="1:7" ht="14.1" customHeight="1" x14ac:dyDescent="0.2">
      <c r="A48" s="274" t="s">
        <v>143</v>
      </c>
      <c r="B48" s="275">
        <f t="shared" ref="B48:G48" si="0">SUM(B11:B46)</f>
        <v>64126531</v>
      </c>
      <c r="C48" s="275">
        <f t="shared" si="0"/>
        <v>14143061</v>
      </c>
      <c r="D48" s="275">
        <f t="shared" si="0"/>
        <v>6954591</v>
      </c>
      <c r="E48" s="275">
        <f t="shared" si="0"/>
        <v>3692651</v>
      </c>
      <c r="F48" s="275">
        <f t="shared" si="0"/>
        <v>85268270</v>
      </c>
      <c r="G48" s="275">
        <f t="shared" si="0"/>
        <v>550809581</v>
      </c>
    </row>
    <row r="49" spans="1:11" ht="5.0999999999999996" customHeight="1" x14ac:dyDescent="0.2">
      <c r="A49" s="17" t="s">
        <v>1</v>
      </c>
      <c r="B49" s="18"/>
      <c r="C49" s="18"/>
      <c r="D49" s="18"/>
      <c r="E49" s="18"/>
      <c r="F49" s="18"/>
      <c r="G49" s="18"/>
    </row>
    <row r="50" spans="1:11" ht="14.45" customHeight="1" x14ac:dyDescent="0.2">
      <c r="A50" s="15" t="s">
        <v>144</v>
      </c>
      <c r="B50" s="16">
        <v>48240</v>
      </c>
      <c r="C50" s="16">
        <v>12782</v>
      </c>
      <c r="D50" s="16">
        <v>7084</v>
      </c>
      <c r="E50" s="16">
        <v>3875</v>
      </c>
      <c r="F50" s="16">
        <v>231705</v>
      </c>
      <c r="G50" s="16">
        <f>SUM('- 51 -'!$B50:G50,B50:F50)</f>
        <v>586642</v>
      </c>
    </row>
    <row r="51" spans="1:11" ht="14.1" customHeight="1" x14ac:dyDescent="0.2">
      <c r="A51" s="360" t="s">
        <v>514</v>
      </c>
      <c r="B51" s="272">
        <v>0</v>
      </c>
      <c r="C51" s="272">
        <v>0</v>
      </c>
      <c r="D51" s="272">
        <v>0</v>
      </c>
      <c r="E51" s="272">
        <v>0</v>
      </c>
      <c r="F51" s="272">
        <v>0</v>
      </c>
      <c r="G51" s="272">
        <f>SUM('- 51 -'!$B51:G51,B51:F51)</f>
        <v>0</v>
      </c>
      <c r="H51" s="1">
        <v>0</v>
      </c>
    </row>
    <row r="52" spans="1:11" ht="50.1" customHeight="1" x14ac:dyDescent="0.2">
      <c r="A52" s="164"/>
      <c r="B52" s="164"/>
      <c r="C52" s="164"/>
      <c r="D52" s="164"/>
      <c r="E52" s="164"/>
      <c r="F52" s="164"/>
      <c r="G52" s="521"/>
      <c r="H52"/>
      <c r="I52"/>
      <c r="J52"/>
      <c r="K52"/>
    </row>
    <row r="53" spans="1:11" ht="15" customHeight="1" x14ac:dyDescent="0.2">
      <c r="A53" s="141" t="s">
        <v>569</v>
      </c>
      <c r="B53" s="141"/>
      <c r="C53" s="523"/>
      <c r="D53" s="141"/>
      <c r="E53" s="141"/>
      <c r="F53" s="141"/>
      <c r="G53" s="524"/>
      <c r="H53" s="428"/>
      <c r="I53" s="428"/>
      <c r="J53" s="428"/>
      <c r="K53" s="428"/>
    </row>
    <row r="54" spans="1:11" ht="14.45" customHeight="1" x14ac:dyDescent="0.2">
      <c r="A54" s="522"/>
      <c r="B54" s="522"/>
      <c r="C54" s="522"/>
      <c r="D54" s="522"/>
      <c r="E54" s="522"/>
      <c r="F54" s="522"/>
      <c r="G54" s="522"/>
      <c r="H54" s="428"/>
      <c r="I54" s="428"/>
      <c r="J54" s="428"/>
      <c r="K54" s="428"/>
    </row>
    <row r="55" spans="1:11" ht="14.45" customHeight="1" x14ac:dyDescent="0.2">
      <c r="A55" s="31"/>
      <c r="B55" s="31"/>
      <c r="D55" s="31"/>
      <c r="E55" s="31"/>
      <c r="F55" s="31"/>
      <c r="G55" s="31"/>
    </row>
    <row r="56" spans="1:11" ht="14.45" customHeight="1" x14ac:dyDescent="0.2">
      <c r="D56" s="90"/>
      <c r="E56" s="90"/>
      <c r="F56" s="90"/>
      <c r="G56" s="90"/>
    </row>
    <row r="57" spans="1:11" ht="14.45" customHeight="1" x14ac:dyDescent="0.2"/>
    <row r="58" spans="1:11" ht="14.45" customHeight="1" x14ac:dyDescent="0.2"/>
    <row r="59" spans="1:11" ht="14.45" customHeight="1" x14ac:dyDescent="0.2"/>
  </sheetData>
  <mergeCells count="8">
    <mergeCell ref="B4:G4"/>
    <mergeCell ref="B5:G5"/>
    <mergeCell ref="B6:G6"/>
    <mergeCell ref="B8:B9"/>
    <mergeCell ref="C8:C9"/>
    <mergeCell ref="D8:D9"/>
    <mergeCell ref="E8:E9"/>
    <mergeCell ref="G7: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8"/>
  <sheetViews>
    <sheetView showGridLines="0" showZeros="0" workbookViewId="0"/>
  </sheetViews>
  <sheetFormatPr defaultColWidth="19.83203125" defaultRowHeight="12" x14ac:dyDescent="0.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2018/2019 BUDGET</v>
      </c>
      <c r="C2" s="230"/>
      <c r="D2" s="232"/>
      <c r="E2" s="232"/>
      <c r="F2" s="185" t="s">
        <v>94</v>
      </c>
    </row>
    <row r="3" spans="1:6" ht="15.95" customHeight="1" x14ac:dyDescent="0.2">
      <c r="A3" s="180"/>
      <c r="B3" s="180"/>
      <c r="C3" s="3"/>
      <c r="D3" s="3"/>
      <c r="E3" s="3"/>
      <c r="F3" s="3"/>
    </row>
    <row r="4" spans="1:6" ht="15.95" customHeight="1" x14ac:dyDescent="0.2">
      <c r="B4" s="760" t="s">
        <v>34</v>
      </c>
      <c r="C4" s="761"/>
      <c r="D4" s="761"/>
      <c r="E4" s="761"/>
      <c r="F4" s="762"/>
    </row>
    <row r="5" spans="1:6" ht="15.95" customHeight="1" x14ac:dyDescent="0.2">
      <c r="B5" s="763" t="s">
        <v>105</v>
      </c>
      <c r="C5" s="764"/>
      <c r="D5" s="764"/>
      <c r="E5" s="764"/>
      <c r="F5" s="765"/>
    </row>
    <row r="6" spans="1:6" ht="15.95" customHeight="1" x14ac:dyDescent="0.2">
      <c r="B6" s="770" t="s">
        <v>47</v>
      </c>
      <c r="C6" s="771"/>
      <c r="D6" s="771"/>
      <c r="E6" s="771"/>
      <c r="F6" s="772"/>
    </row>
    <row r="7" spans="1:6" ht="15.95" customHeight="1" x14ac:dyDescent="0.2">
      <c r="B7" s="186"/>
      <c r="C7" s="186"/>
      <c r="D7" s="693" t="s">
        <v>489</v>
      </c>
      <c r="E7" s="693" t="s">
        <v>415</v>
      </c>
      <c r="F7" s="693" t="s">
        <v>604</v>
      </c>
    </row>
    <row r="8" spans="1:6" ht="15.95" customHeight="1" x14ac:dyDescent="0.2">
      <c r="A8" s="82"/>
      <c r="B8" s="766" t="s">
        <v>487</v>
      </c>
      <c r="C8" s="768" t="s">
        <v>488</v>
      </c>
      <c r="D8" s="768"/>
      <c r="E8" s="768"/>
      <c r="F8" s="768"/>
    </row>
    <row r="9" spans="1:6" ht="15.95" customHeight="1" x14ac:dyDescent="0.2">
      <c r="A9" s="27" t="s">
        <v>37</v>
      </c>
      <c r="B9" s="767"/>
      <c r="C9" s="769"/>
      <c r="D9" s="769"/>
      <c r="E9" s="769"/>
      <c r="F9" s="769"/>
    </row>
    <row r="10" spans="1:6" ht="5.0999999999999996" customHeight="1" x14ac:dyDescent="0.2">
      <c r="A10" s="29"/>
      <c r="B10" s="3"/>
      <c r="C10" s="3"/>
      <c r="D10" s="3"/>
      <c r="E10" s="3"/>
    </row>
    <row r="11" spans="1:6" ht="14.1" customHeight="1" x14ac:dyDescent="0.2">
      <c r="A11" s="271" t="s">
        <v>108</v>
      </c>
      <c r="B11" s="272">
        <v>667369</v>
      </c>
      <c r="C11" s="272">
        <v>677489</v>
      </c>
      <c r="D11" s="272">
        <v>49390</v>
      </c>
      <c r="E11" s="272">
        <v>301125</v>
      </c>
      <c r="F11" s="272">
        <v>36000</v>
      </c>
    </row>
    <row r="12" spans="1:6" ht="14.1" customHeight="1" x14ac:dyDescent="0.2">
      <c r="A12" s="15" t="s">
        <v>109</v>
      </c>
      <c r="B12" s="16">
        <v>1276066</v>
      </c>
      <c r="C12" s="16">
        <v>1117018</v>
      </c>
      <c r="D12" s="16">
        <v>145035</v>
      </c>
      <c r="E12" s="16">
        <v>138875</v>
      </c>
      <c r="F12" s="16">
        <v>54000</v>
      </c>
    </row>
    <row r="13" spans="1:6" ht="14.1" customHeight="1" x14ac:dyDescent="0.2">
      <c r="A13" s="271" t="s">
        <v>110</v>
      </c>
      <c r="B13" s="272">
        <v>1076200</v>
      </c>
      <c r="C13" s="272">
        <v>3130100</v>
      </c>
      <c r="D13" s="272">
        <v>682400</v>
      </c>
      <c r="E13" s="272">
        <v>738300</v>
      </c>
      <c r="F13" s="272">
        <v>371000</v>
      </c>
    </row>
    <row r="14" spans="1:6" ht="14.1" customHeight="1" x14ac:dyDescent="0.2">
      <c r="A14" s="15" t="s">
        <v>319</v>
      </c>
      <c r="B14" s="16">
        <v>3406654</v>
      </c>
      <c r="C14" s="16">
        <v>1183192</v>
      </c>
      <c r="D14" s="16">
        <v>96745</v>
      </c>
      <c r="E14" s="16">
        <v>134475</v>
      </c>
      <c r="F14" s="16">
        <v>530000</v>
      </c>
    </row>
    <row r="15" spans="1:6" ht="14.1" customHeight="1" x14ac:dyDescent="0.2">
      <c r="A15" s="271" t="s">
        <v>111</v>
      </c>
      <c r="B15" s="272">
        <v>873845</v>
      </c>
      <c r="C15" s="272">
        <v>831072</v>
      </c>
      <c r="D15" s="272">
        <v>75158</v>
      </c>
      <c r="E15" s="272">
        <v>14950</v>
      </c>
      <c r="F15" s="272">
        <v>128000</v>
      </c>
    </row>
    <row r="16" spans="1:6" ht="14.1" customHeight="1" x14ac:dyDescent="0.2">
      <c r="A16" s="15" t="s">
        <v>112</v>
      </c>
      <c r="B16" s="16">
        <v>105660</v>
      </c>
      <c r="C16" s="16">
        <v>469301</v>
      </c>
      <c r="D16" s="16">
        <v>37758</v>
      </c>
      <c r="E16" s="16">
        <v>5950</v>
      </c>
      <c r="F16" s="16">
        <v>81500</v>
      </c>
    </row>
    <row r="17" spans="1:6" ht="14.1" customHeight="1" x14ac:dyDescent="0.2">
      <c r="A17" s="271" t="s">
        <v>113</v>
      </c>
      <c r="B17" s="272">
        <v>898194</v>
      </c>
      <c r="C17" s="272">
        <v>588822</v>
      </c>
      <c r="D17" s="272">
        <v>50270</v>
      </c>
      <c r="E17" s="272">
        <v>18200</v>
      </c>
      <c r="F17" s="272">
        <v>18000</v>
      </c>
    </row>
    <row r="18" spans="1:6" ht="14.1" customHeight="1" x14ac:dyDescent="0.2">
      <c r="A18" s="15" t="s">
        <v>114</v>
      </c>
      <c r="B18" s="16">
        <v>1334876</v>
      </c>
      <c r="C18" s="16">
        <v>1836615</v>
      </c>
      <c r="D18" s="16">
        <v>92180</v>
      </c>
      <c r="E18" s="16">
        <v>0</v>
      </c>
      <c r="F18" s="16">
        <v>851750</v>
      </c>
    </row>
    <row r="19" spans="1:6" ht="14.1" customHeight="1" x14ac:dyDescent="0.2">
      <c r="A19" s="271" t="s">
        <v>115</v>
      </c>
      <c r="B19" s="272">
        <v>1534365</v>
      </c>
      <c r="C19" s="272">
        <v>1943198</v>
      </c>
      <c r="D19" s="272">
        <v>311685</v>
      </c>
      <c r="E19" s="272">
        <v>584850</v>
      </c>
      <c r="F19" s="272">
        <v>27000</v>
      </c>
    </row>
    <row r="20" spans="1:6" ht="14.1" customHeight="1" x14ac:dyDescent="0.2">
      <c r="A20" s="15" t="s">
        <v>116</v>
      </c>
      <c r="B20" s="16">
        <v>2619250</v>
      </c>
      <c r="C20" s="16">
        <v>3402696</v>
      </c>
      <c r="D20" s="16">
        <v>498905</v>
      </c>
      <c r="E20" s="16">
        <v>609200</v>
      </c>
      <c r="F20" s="16">
        <v>171000</v>
      </c>
    </row>
    <row r="21" spans="1:6" ht="14.1" customHeight="1" x14ac:dyDescent="0.2">
      <c r="A21" s="271" t="s">
        <v>117</v>
      </c>
      <c r="B21" s="272">
        <v>1246536</v>
      </c>
      <c r="C21" s="272">
        <v>1350259</v>
      </c>
      <c r="D21" s="272">
        <v>78760</v>
      </c>
      <c r="E21" s="272">
        <v>41450</v>
      </c>
      <c r="F21" s="272">
        <v>135000</v>
      </c>
    </row>
    <row r="22" spans="1:6" ht="14.1" customHeight="1" x14ac:dyDescent="0.2">
      <c r="A22" s="15" t="s">
        <v>118</v>
      </c>
      <c r="B22" s="16">
        <v>291247</v>
      </c>
      <c r="C22" s="16">
        <v>965833</v>
      </c>
      <c r="D22" s="16">
        <v>73480</v>
      </c>
      <c r="E22" s="16">
        <v>11750</v>
      </c>
      <c r="F22" s="16">
        <v>171000</v>
      </c>
    </row>
    <row r="23" spans="1:6" ht="14.1" customHeight="1" x14ac:dyDescent="0.2">
      <c r="A23" s="271" t="s">
        <v>119</v>
      </c>
      <c r="B23" s="272">
        <v>908949</v>
      </c>
      <c r="C23" s="272">
        <v>651090</v>
      </c>
      <c r="D23" s="272">
        <v>33935</v>
      </c>
      <c r="E23" s="272">
        <v>11700</v>
      </c>
      <c r="F23" s="272">
        <v>99000</v>
      </c>
    </row>
    <row r="24" spans="1:6" ht="14.1" customHeight="1" x14ac:dyDescent="0.2">
      <c r="A24" s="15" t="s">
        <v>120</v>
      </c>
      <c r="B24" s="16">
        <v>1626497</v>
      </c>
      <c r="C24" s="16">
        <v>2045084</v>
      </c>
      <c r="D24" s="16">
        <v>317681</v>
      </c>
      <c r="E24" s="16">
        <v>51850</v>
      </c>
      <c r="F24" s="16">
        <v>356500</v>
      </c>
    </row>
    <row r="25" spans="1:6" ht="14.1" customHeight="1" x14ac:dyDescent="0.2">
      <c r="A25" s="271" t="s">
        <v>121</v>
      </c>
      <c r="B25" s="272">
        <v>1230237</v>
      </c>
      <c r="C25" s="272">
        <v>8920638</v>
      </c>
      <c r="D25" s="272">
        <v>688793</v>
      </c>
      <c r="E25" s="272">
        <v>1266125</v>
      </c>
      <c r="F25" s="272">
        <v>803000</v>
      </c>
    </row>
    <row r="26" spans="1:6" ht="14.1" customHeight="1" x14ac:dyDescent="0.2">
      <c r="A26" s="15" t="s">
        <v>122</v>
      </c>
      <c r="B26" s="16">
        <v>1567340</v>
      </c>
      <c r="C26" s="16">
        <v>1165880</v>
      </c>
      <c r="D26" s="16">
        <v>218020</v>
      </c>
      <c r="E26" s="16">
        <v>24450</v>
      </c>
      <c r="F26" s="16">
        <v>245000</v>
      </c>
    </row>
    <row r="27" spans="1:6" ht="14.1" customHeight="1" x14ac:dyDescent="0.2">
      <c r="A27" s="271" t="s">
        <v>123</v>
      </c>
      <c r="B27" s="272">
        <v>68775</v>
      </c>
      <c r="C27" s="272">
        <v>1974108</v>
      </c>
      <c r="D27" s="272">
        <v>212355</v>
      </c>
      <c r="E27" s="272">
        <v>99150</v>
      </c>
      <c r="F27" s="272">
        <v>280500</v>
      </c>
    </row>
    <row r="28" spans="1:6" ht="14.1" customHeight="1" x14ac:dyDescent="0.2">
      <c r="A28" s="15" t="s">
        <v>124</v>
      </c>
      <c r="B28" s="16">
        <v>1210580</v>
      </c>
      <c r="C28" s="16">
        <v>592864</v>
      </c>
      <c r="D28" s="16">
        <v>80685</v>
      </c>
      <c r="E28" s="16">
        <v>48000</v>
      </c>
      <c r="F28" s="16">
        <v>90500</v>
      </c>
    </row>
    <row r="29" spans="1:6" ht="14.1" customHeight="1" x14ac:dyDescent="0.2">
      <c r="A29" s="271" t="s">
        <v>125</v>
      </c>
      <c r="B29" s="272">
        <v>1080601</v>
      </c>
      <c r="C29" s="272">
        <v>6821971</v>
      </c>
      <c r="D29" s="272">
        <v>270875</v>
      </c>
      <c r="E29" s="272">
        <v>1960450</v>
      </c>
      <c r="F29" s="272">
        <v>333000</v>
      </c>
    </row>
    <row r="30" spans="1:6" ht="14.1" customHeight="1" x14ac:dyDescent="0.2">
      <c r="A30" s="15" t="s">
        <v>126</v>
      </c>
      <c r="B30" s="16">
        <v>682204</v>
      </c>
      <c r="C30" s="16">
        <v>572230</v>
      </c>
      <c r="D30" s="16">
        <v>20405</v>
      </c>
      <c r="E30" s="16">
        <v>70400</v>
      </c>
      <c r="F30" s="16">
        <v>47000</v>
      </c>
    </row>
    <row r="31" spans="1:6" ht="14.1" customHeight="1" x14ac:dyDescent="0.2">
      <c r="A31" s="271" t="s">
        <v>127</v>
      </c>
      <c r="B31" s="272">
        <v>828055</v>
      </c>
      <c r="C31" s="272">
        <v>1850064</v>
      </c>
      <c r="D31" s="272">
        <v>187550</v>
      </c>
      <c r="E31" s="272">
        <v>132050</v>
      </c>
      <c r="F31" s="272">
        <v>256400</v>
      </c>
    </row>
    <row r="32" spans="1:6" ht="14.1" customHeight="1" x14ac:dyDescent="0.2">
      <c r="A32" s="15" t="s">
        <v>128</v>
      </c>
      <c r="B32" s="16">
        <v>1350544</v>
      </c>
      <c r="C32" s="16">
        <v>858382</v>
      </c>
      <c r="D32" s="16">
        <v>55083</v>
      </c>
      <c r="E32" s="16">
        <v>150300</v>
      </c>
      <c r="F32" s="16">
        <v>99000</v>
      </c>
    </row>
    <row r="33" spans="1:6" ht="14.1" customHeight="1" x14ac:dyDescent="0.2">
      <c r="A33" s="271" t="s">
        <v>129</v>
      </c>
      <c r="B33" s="272">
        <v>1410405</v>
      </c>
      <c r="C33" s="272">
        <v>864322</v>
      </c>
      <c r="D33" s="272">
        <v>49006</v>
      </c>
      <c r="E33" s="272">
        <v>133800</v>
      </c>
      <c r="F33" s="272">
        <v>36000</v>
      </c>
    </row>
    <row r="34" spans="1:6" ht="14.1" customHeight="1" x14ac:dyDescent="0.2">
      <c r="A34" s="15" t="s">
        <v>130</v>
      </c>
      <c r="B34" s="16">
        <v>1501555</v>
      </c>
      <c r="C34" s="16">
        <v>1264449</v>
      </c>
      <c r="D34" s="16">
        <v>77798</v>
      </c>
      <c r="E34" s="16">
        <v>80025</v>
      </c>
      <c r="F34" s="16">
        <v>108000</v>
      </c>
    </row>
    <row r="35" spans="1:6" ht="14.1" customHeight="1" x14ac:dyDescent="0.2">
      <c r="A35" s="271" t="s">
        <v>131</v>
      </c>
      <c r="B35" s="272">
        <v>1844470</v>
      </c>
      <c r="C35" s="272">
        <v>9481504</v>
      </c>
      <c r="D35" s="272">
        <v>908435</v>
      </c>
      <c r="E35" s="272">
        <v>786050</v>
      </c>
      <c r="F35" s="272">
        <v>864000</v>
      </c>
    </row>
    <row r="36" spans="1:6" ht="14.1" customHeight="1" x14ac:dyDescent="0.2">
      <c r="A36" s="15" t="s">
        <v>132</v>
      </c>
      <c r="B36" s="16">
        <v>885462</v>
      </c>
      <c r="C36" s="16">
        <v>589976</v>
      </c>
      <c r="D36" s="16">
        <v>19195</v>
      </c>
      <c r="E36" s="16">
        <v>35650</v>
      </c>
      <c r="F36" s="16">
        <v>74000</v>
      </c>
    </row>
    <row r="37" spans="1:6" ht="14.1" customHeight="1" x14ac:dyDescent="0.2">
      <c r="A37" s="271" t="s">
        <v>133</v>
      </c>
      <c r="B37" s="272">
        <v>1820319</v>
      </c>
      <c r="C37" s="272">
        <v>2390811</v>
      </c>
      <c r="D37" s="272">
        <v>138931</v>
      </c>
      <c r="E37" s="272">
        <v>167125</v>
      </c>
      <c r="F37" s="272">
        <v>396000</v>
      </c>
    </row>
    <row r="38" spans="1:6" ht="14.1" customHeight="1" x14ac:dyDescent="0.2">
      <c r="A38" s="15" t="s">
        <v>134</v>
      </c>
      <c r="B38" s="16">
        <v>1048861</v>
      </c>
      <c r="C38" s="16">
        <v>6363553</v>
      </c>
      <c r="D38" s="16">
        <v>433813</v>
      </c>
      <c r="E38" s="16">
        <v>751900</v>
      </c>
      <c r="F38" s="16">
        <v>359500</v>
      </c>
    </row>
    <row r="39" spans="1:6" ht="14.1" customHeight="1" x14ac:dyDescent="0.2">
      <c r="A39" s="271" t="s">
        <v>135</v>
      </c>
      <c r="B39" s="272">
        <v>1086994</v>
      </c>
      <c r="C39" s="272">
        <v>592254</v>
      </c>
      <c r="D39" s="272">
        <v>62205</v>
      </c>
      <c r="E39" s="272">
        <v>53250</v>
      </c>
      <c r="F39" s="272">
        <v>36000</v>
      </c>
    </row>
    <row r="40" spans="1:6" ht="14.1" customHeight="1" x14ac:dyDescent="0.2">
      <c r="A40" s="15" t="s">
        <v>136</v>
      </c>
      <c r="B40" s="16">
        <v>755094</v>
      </c>
      <c r="C40" s="16">
        <v>4847668</v>
      </c>
      <c r="D40" s="16">
        <v>616935</v>
      </c>
      <c r="E40" s="16">
        <v>485850</v>
      </c>
      <c r="F40" s="16">
        <v>371200</v>
      </c>
    </row>
    <row r="41" spans="1:6" ht="14.1" customHeight="1" x14ac:dyDescent="0.2">
      <c r="A41" s="271" t="s">
        <v>137</v>
      </c>
      <c r="B41" s="272">
        <v>2910577</v>
      </c>
      <c r="C41" s="272">
        <v>2610883</v>
      </c>
      <c r="D41" s="272">
        <v>165165</v>
      </c>
      <c r="E41" s="272">
        <v>102600</v>
      </c>
      <c r="F41" s="272">
        <v>255000</v>
      </c>
    </row>
    <row r="42" spans="1:6" ht="14.1" customHeight="1" x14ac:dyDescent="0.2">
      <c r="A42" s="15" t="s">
        <v>138</v>
      </c>
      <c r="B42" s="16">
        <v>1029688</v>
      </c>
      <c r="C42" s="16">
        <v>724652</v>
      </c>
      <c r="D42" s="16">
        <v>179658</v>
      </c>
      <c r="E42" s="16">
        <v>4350</v>
      </c>
      <c r="F42" s="16">
        <v>146000</v>
      </c>
    </row>
    <row r="43" spans="1:6" ht="14.1" customHeight="1" x14ac:dyDescent="0.2">
      <c r="A43" s="271" t="s">
        <v>139</v>
      </c>
      <c r="B43" s="272">
        <v>571635</v>
      </c>
      <c r="C43" s="272">
        <v>378942</v>
      </c>
      <c r="D43" s="272">
        <v>33110</v>
      </c>
      <c r="E43" s="272">
        <v>75500</v>
      </c>
      <c r="F43" s="272">
        <v>27000</v>
      </c>
    </row>
    <row r="44" spans="1:6" ht="14.1" customHeight="1" x14ac:dyDescent="0.2">
      <c r="A44" s="15" t="s">
        <v>140</v>
      </c>
      <c r="B44" s="16">
        <v>771682</v>
      </c>
      <c r="C44" s="16">
        <v>422344</v>
      </c>
      <c r="D44" s="16">
        <v>29315</v>
      </c>
      <c r="E44" s="16">
        <v>18150</v>
      </c>
      <c r="F44" s="16">
        <v>99000</v>
      </c>
    </row>
    <row r="45" spans="1:6" ht="14.1" customHeight="1" x14ac:dyDescent="0.2">
      <c r="A45" s="271" t="s">
        <v>141</v>
      </c>
      <c r="B45" s="272">
        <v>517572</v>
      </c>
      <c r="C45" s="272">
        <v>619715</v>
      </c>
      <c r="D45" s="272">
        <v>65010</v>
      </c>
      <c r="E45" s="272">
        <v>168025</v>
      </c>
      <c r="F45" s="272">
        <v>27000</v>
      </c>
    </row>
    <row r="46" spans="1:6" ht="14.1" customHeight="1" x14ac:dyDescent="0.2">
      <c r="A46" s="15" t="s">
        <v>142</v>
      </c>
      <c r="B46" s="16">
        <v>1333129</v>
      </c>
      <c r="C46" s="16">
        <v>16617753</v>
      </c>
      <c r="D46" s="16">
        <v>1597741</v>
      </c>
      <c r="E46" s="16">
        <v>2809720</v>
      </c>
      <c r="F46" s="16">
        <v>2379400</v>
      </c>
    </row>
    <row r="47" spans="1:6" ht="5.0999999999999996" customHeight="1" x14ac:dyDescent="0.2">
      <c r="A47"/>
      <c r="B47"/>
      <c r="C47"/>
      <c r="D47"/>
      <c r="E47"/>
      <c r="F47"/>
    </row>
    <row r="48" spans="1:6" ht="14.1" customHeight="1" x14ac:dyDescent="0.2">
      <c r="A48" s="274" t="s">
        <v>143</v>
      </c>
      <c r="B48" s="275">
        <f>SUM(B11:B46)</f>
        <v>43371487</v>
      </c>
      <c r="C48" s="275">
        <f>SUM(C11:C46)</f>
        <v>90716732</v>
      </c>
      <c r="D48" s="275">
        <f>SUM(D11:D46)</f>
        <v>8653465</v>
      </c>
      <c r="E48" s="275">
        <f>SUM(E11:E46)</f>
        <v>12085595</v>
      </c>
      <c r="F48" s="275">
        <f>SUM(F11:F46)</f>
        <v>10362250</v>
      </c>
    </row>
    <row r="49" spans="1:6" ht="5.0999999999999996" customHeight="1" x14ac:dyDescent="0.2">
      <c r="A49" s="17" t="s">
        <v>1</v>
      </c>
      <c r="B49" s="18"/>
      <c r="C49" s="18"/>
      <c r="D49" s="18"/>
      <c r="E49" s="18"/>
      <c r="F49" s="18"/>
    </row>
    <row r="50" spans="1:6" ht="14.45" customHeight="1" x14ac:dyDescent="0.2">
      <c r="A50" s="15" t="s">
        <v>144</v>
      </c>
      <c r="B50" s="16">
        <v>1120</v>
      </c>
      <c r="C50" s="16">
        <v>67314</v>
      </c>
      <c r="D50" s="16">
        <v>6160</v>
      </c>
      <c r="E50" s="16">
        <v>750</v>
      </c>
      <c r="F50" s="16">
        <v>0</v>
      </c>
    </row>
    <row r="51" spans="1:6" ht="14.1" customHeight="1" x14ac:dyDescent="0.2">
      <c r="A51" s="360" t="s">
        <v>514</v>
      </c>
      <c r="B51" s="272">
        <v>0</v>
      </c>
      <c r="C51" s="272">
        <v>0</v>
      </c>
      <c r="D51" s="272">
        <v>0</v>
      </c>
      <c r="E51" s="272">
        <v>0</v>
      </c>
      <c r="F51" s="272">
        <v>0</v>
      </c>
    </row>
    <row r="52" spans="1:6" ht="50.1" customHeight="1" x14ac:dyDescent="0.2">
      <c r="A52" s="19"/>
      <c r="B52" s="19"/>
      <c r="C52" s="19"/>
      <c r="D52" s="19"/>
      <c r="E52" s="19"/>
      <c r="F52" s="19"/>
    </row>
    <row r="53" spans="1:6" ht="15" customHeight="1" x14ac:dyDescent="0.2">
      <c r="A53" s="31" t="s">
        <v>322</v>
      </c>
      <c r="B53" s="211"/>
      <c r="C53" s="31"/>
      <c r="D53" s="31"/>
      <c r="E53" s="31"/>
      <c r="F53" s="31"/>
    </row>
    <row r="54" spans="1:6" ht="12" customHeight="1" x14ac:dyDescent="0.2">
      <c r="A54" s="773" t="str">
        <f>"(2)  Includes support for coordinators, clinicians and Level 2 and 3 pupils. Note: total special needs support is"&amp;" $"&amp;TEXT(C48+'- 52 -'!B48,"000,000")&amp; " (Student Services, 
       page 52 and Special Needs)."</f>
        <v>(2)  Includes support for coordinators, clinicians and Level 2 and 3 pupils. Note: total special needs support is $154,843,263 (Student Services, 
       page 52 and Special Needs).</v>
      </c>
      <c r="B54" s="773"/>
      <c r="C54" s="773"/>
      <c r="D54" s="773"/>
      <c r="E54" s="773"/>
      <c r="F54" s="773"/>
    </row>
    <row r="55" spans="1:6" ht="12" customHeight="1" x14ac:dyDescent="0.2">
      <c r="A55" s="773"/>
      <c r="B55" s="773"/>
      <c r="C55" s="773"/>
      <c r="D55" s="773"/>
      <c r="E55" s="773"/>
      <c r="F55" s="773"/>
    </row>
    <row r="56" spans="1:6" ht="14.45" customHeight="1" x14ac:dyDescent="0.2">
      <c r="A56" s="233"/>
      <c r="B56" s="31"/>
      <c r="C56" s="234"/>
      <c r="D56" s="31"/>
      <c r="E56" s="31"/>
      <c r="F56" s="31"/>
    </row>
    <row r="57" spans="1:6" ht="14.45" customHeight="1" x14ac:dyDescent="0.2">
      <c r="A57" s="31"/>
    </row>
    <row r="58" spans="1:6" ht="14.45" customHeight="1" x14ac:dyDescent="0.2"/>
  </sheetData>
  <mergeCells count="9">
    <mergeCell ref="A54:F55"/>
    <mergeCell ref="B4:F4"/>
    <mergeCell ref="B5:F5"/>
    <mergeCell ref="B6:F6"/>
    <mergeCell ref="B8:B9"/>
    <mergeCell ref="C8:C9"/>
    <mergeCell ref="D7: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9"/>
  <sheetViews>
    <sheetView showGridLines="0" showZeros="0" workbookViewId="0"/>
  </sheetViews>
  <sheetFormatPr defaultColWidth="19.83203125" defaultRowHeight="12" x14ac:dyDescent="0.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2018/2019 BUDGET</v>
      </c>
      <c r="C2" s="230"/>
      <c r="D2" s="230"/>
      <c r="E2" s="230"/>
      <c r="F2" s="185" t="s">
        <v>95</v>
      </c>
    </row>
    <row r="3" spans="1:6" ht="15.95" customHeight="1" x14ac:dyDescent="0.2">
      <c r="A3" s="180"/>
      <c r="B3" s="3"/>
      <c r="C3" s="3"/>
      <c r="D3" s="3"/>
      <c r="E3" s="3"/>
      <c r="F3" s="3"/>
    </row>
    <row r="4" spans="1:6" ht="15.95" customHeight="1" x14ac:dyDescent="0.2">
      <c r="B4" s="760" t="s">
        <v>34</v>
      </c>
      <c r="C4" s="761"/>
      <c r="D4" s="761"/>
      <c r="E4" s="761"/>
      <c r="F4" s="762"/>
    </row>
    <row r="5" spans="1:6" ht="15.95" customHeight="1" x14ac:dyDescent="0.2">
      <c r="B5" s="763" t="s">
        <v>105</v>
      </c>
      <c r="C5" s="764"/>
      <c r="D5" s="764"/>
      <c r="E5" s="764"/>
      <c r="F5" s="765"/>
    </row>
    <row r="6" spans="1:6" ht="15.95" customHeight="1" x14ac:dyDescent="0.2">
      <c r="B6" s="774" t="s">
        <v>47</v>
      </c>
      <c r="C6" s="771"/>
      <c r="D6" s="771"/>
      <c r="E6" s="771"/>
      <c r="F6" s="772"/>
    </row>
    <row r="7" spans="1:6" ht="15.95" customHeight="1" x14ac:dyDescent="0.2">
      <c r="B7" s="727" t="s">
        <v>490</v>
      </c>
      <c r="C7" s="777" t="s">
        <v>516</v>
      </c>
      <c r="D7" s="693" t="s">
        <v>517</v>
      </c>
      <c r="E7" s="24"/>
      <c r="F7" s="693" t="s">
        <v>492</v>
      </c>
    </row>
    <row r="8" spans="1:6" ht="15.95" customHeight="1" x14ac:dyDescent="0.2">
      <c r="A8" s="249"/>
      <c r="B8" s="775"/>
      <c r="C8" s="778"/>
      <c r="D8" s="768"/>
      <c r="E8" s="768" t="s">
        <v>491</v>
      </c>
      <c r="F8" s="768"/>
    </row>
    <row r="9" spans="1:6" ht="15.95" customHeight="1" x14ac:dyDescent="0.2">
      <c r="A9" s="250" t="s">
        <v>37</v>
      </c>
      <c r="B9" s="776"/>
      <c r="C9" s="779"/>
      <c r="D9" s="769"/>
      <c r="E9" s="769"/>
      <c r="F9" s="769"/>
    </row>
    <row r="10" spans="1:6" ht="5.0999999999999996" customHeight="1" x14ac:dyDescent="0.2">
      <c r="A10" s="29"/>
      <c r="B10" s="3"/>
      <c r="C10" s="3"/>
      <c r="D10" s="3"/>
      <c r="E10" s="3"/>
      <c r="F10" s="3"/>
    </row>
    <row r="11" spans="1:6" ht="14.1" customHeight="1" x14ac:dyDescent="0.2">
      <c r="A11" s="271" t="s">
        <v>108</v>
      </c>
      <c r="B11" s="272">
        <v>3700</v>
      </c>
      <c r="C11" s="272">
        <v>21590</v>
      </c>
      <c r="D11" s="272">
        <v>142656</v>
      </c>
      <c r="E11" s="272">
        <f>Data!R11-SUM('- 53 -'!$B11:F11,B11:D11)</f>
        <v>172897</v>
      </c>
      <c r="F11" s="272">
        <f>SUM('- 53 -'!$B11:F11,B11:E11)</f>
        <v>2072216</v>
      </c>
    </row>
    <row r="12" spans="1:6" ht="14.1" customHeight="1" x14ac:dyDescent="0.2">
      <c r="A12" s="15" t="s">
        <v>109</v>
      </c>
      <c r="B12" s="16">
        <v>31200</v>
      </c>
      <c r="C12" s="16">
        <v>31888</v>
      </c>
      <c r="D12" s="16">
        <v>158088</v>
      </c>
      <c r="E12" s="16">
        <f>Data!R12-SUM('- 53 -'!$B12:F12,B12:D12)</f>
        <v>159813</v>
      </c>
      <c r="F12" s="16">
        <f>SUM('- 53 -'!$B12:F12,B12:E12)</f>
        <v>3111983</v>
      </c>
    </row>
    <row r="13" spans="1:6" ht="14.1" customHeight="1" x14ac:dyDescent="0.2">
      <c r="A13" s="271" t="s">
        <v>110</v>
      </c>
      <c r="B13" s="272">
        <v>204300</v>
      </c>
      <c r="C13" s="272">
        <v>170900</v>
      </c>
      <c r="D13" s="272">
        <v>734000</v>
      </c>
      <c r="E13" s="272">
        <f>Data!R13-SUM('- 53 -'!$B13:F13,B13:D13)</f>
        <v>197500</v>
      </c>
      <c r="F13" s="272">
        <f>SUM('- 53 -'!$B13:F13,B13:E13)</f>
        <v>7304700</v>
      </c>
    </row>
    <row r="14" spans="1:6" ht="14.1" customHeight="1" x14ac:dyDescent="0.2">
      <c r="A14" s="15" t="s">
        <v>319</v>
      </c>
      <c r="B14" s="16">
        <v>1525000</v>
      </c>
      <c r="C14" s="16">
        <v>96700</v>
      </c>
      <c r="D14" s="16">
        <v>425664</v>
      </c>
      <c r="E14" s="16">
        <f>Data!R14-SUM('- 53 -'!$B14:F14,B14:D14)</f>
        <v>531712</v>
      </c>
      <c r="F14" s="16">
        <f>SUM('- 53 -'!$B14:F14,B14:E14)</f>
        <v>7930142</v>
      </c>
    </row>
    <row r="15" spans="1:6" ht="14.1" customHeight="1" x14ac:dyDescent="0.2">
      <c r="A15" s="271" t="s">
        <v>111</v>
      </c>
      <c r="B15" s="272">
        <v>6500</v>
      </c>
      <c r="C15" s="272">
        <v>18840</v>
      </c>
      <c r="D15" s="272">
        <v>109024</v>
      </c>
      <c r="E15" s="272">
        <f>Data!R15-SUM('- 53 -'!$B15:F15,B15:D15)</f>
        <v>108188</v>
      </c>
      <c r="F15" s="272">
        <f>SUM('- 53 -'!$B15:F15,B15:E15)</f>
        <v>2165577</v>
      </c>
    </row>
    <row r="16" spans="1:6" ht="14.1" customHeight="1" x14ac:dyDescent="0.2">
      <c r="A16" s="15" t="s">
        <v>112</v>
      </c>
      <c r="B16" s="16">
        <v>31300</v>
      </c>
      <c r="C16" s="16">
        <v>8840</v>
      </c>
      <c r="D16" s="16">
        <v>71272</v>
      </c>
      <c r="E16" s="16">
        <f>Data!R16-SUM('- 53 -'!$B16:F16,B16:D16)</f>
        <v>612707</v>
      </c>
      <c r="F16" s="16">
        <f>SUM('- 53 -'!$B16:F16,B16:E16)</f>
        <v>1424288</v>
      </c>
    </row>
    <row r="17" spans="1:6" ht="14.1" customHeight="1" x14ac:dyDescent="0.2">
      <c r="A17" s="271" t="s">
        <v>113</v>
      </c>
      <c r="B17" s="272">
        <v>2100</v>
      </c>
      <c r="C17" s="272">
        <v>19720</v>
      </c>
      <c r="D17" s="272">
        <v>105664</v>
      </c>
      <c r="E17" s="272">
        <f>Data!R17-SUM('- 53 -'!$B17:F17,B17:D17)</f>
        <v>108987</v>
      </c>
      <c r="F17" s="272">
        <f>SUM('- 53 -'!$B17:F17,B17:E17)</f>
        <v>1809957</v>
      </c>
    </row>
    <row r="18" spans="1:6" ht="14.1" customHeight="1" x14ac:dyDescent="0.2">
      <c r="A18" s="15" t="s">
        <v>114</v>
      </c>
      <c r="B18" s="16">
        <v>200</v>
      </c>
      <c r="C18" s="16">
        <v>41236</v>
      </c>
      <c r="D18" s="16">
        <v>186872</v>
      </c>
      <c r="E18" s="16">
        <f>Data!R18-SUM('- 53 -'!$B18:F18,B18:D18)</f>
        <v>2463662</v>
      </c>
      <c r="F18" s="16">
        <f>SUM('- 53 -'!$B18:F18,B18:E18)</f>
        <v>6807391</v>
      </c>
    </row>
    <row r="19" spans="1:6" ht="14.1" customHeight="1" x14ac:dyDescent="0.2">
      <c r="A19" s="271" t="s">
        <v>115</v>
      </c>
      <c r="B19" s="272">
        <v>4600</v>
      </c>
      <c r="C19" s="272">
        <v>65809</v>
      </c>
      <c r="D19" s="272">
        <v>350888</v>
      </c>
      <c r="E19" s="272">
        <f>Data!R19-SUM('- 53 -'!$B19:F19,B19:D19)</f>
        <v>48742</v>
      </c>
      <c r="F19" s="272">
        <f>SUM('- 53 -'!$B19:F19,B19:E19)</f>
        <v>4871137</v>
      </c>
    </row>
    <row r="20" spans="1:6" ht="14.1" customHeight="1" x14ac:dyDescent="0.2">
      <c r="A20" s="15" t="s">
        <v>116</v>
      </c>
      <c r="B20" s="16">
        <v>22000</v>
      </c>
      <c r="C20" s="16">
        <v>106984</v>
      </c>
      <c r="D20" s="16">
        <v>623408</v>
      </c>
      <c r="E20" s="16">
        <f>Data!R20-SUM('- 53 -'!$B20:F20,B20:D20)</f>
        <v>238836</v>
      </c>
      <c r="F20" s="16">
        <f>SUM('- 53 -'!$B20:F20,B20:E20)</f>
        <v>8292279</v>
      </c>
    </row>
    <row r="21" spans="1:6" ht="14.1" customHeight="1" x14ac:dyDescent="0.2">
      <c r="A21" s="271" t="s">
        <v>117</v>
      </c>
      <c r="B21" s="272">
        <v>74600</v>
      </c>
      <c r="C21" s="272">
        <v>44193</v>
      </c>
      <c r="D21" s="272">
        <v>222464</v>
      </c>
      <c r="E21" s="272">
        <f>Data!R21-SUM('- 53 -'!$B21:F21,B21:D21)</f>
        <v>254052</v>
      </c>
      <c r="F21" s="272">
        <f>SUM('- 53 -'!$B21:F21,B21:E21)</f>
        <v>3447314</v>
      </c>
    </row>
    <row r="22" spans="1:6" ht="14.1" customHeight="1" x14ac:dyDescent="0.2">
      <c r="A22" s="15" t="s">
        <v>118</v>
      </c>
      <c r="B22" s="16">
        <v>39400</v>
      </c>
      <c r="C22" s="16">
        <v>29213</v>
      </c>
      <c r="D22" s="16">
        <v>117072</v>
      </c>
      <c r="E22" s="16">
        <f>Data!R22-SUM('- 53 -'!$B22:F22,B22:D22)</f>
        <v>1160451</v>
      </c>
      <c r="F22" s="16">
        <f>SUM('- 53 -'!$B22:F22,B22:E22)</f>
        <v>2859446</v>
      </c>
    </row>
    <row r="23" spans="1:6" ht="14.1" customHeight="1" x14ac:dyDescent="0.2">
      <c r="A23" s="271" t="s">
        <v>119</v>
      </c>
      <c r="B23" s="272">
        <v>2500</v>
      </c>
      <c r="C23" s="272">
        <v>12131</v>
      </c>
      <c r="D23" s="272">
        <v>76400</v>
      </c>
      <c r="E23" s="272">
        <f>Data!R23-SUM('- 53 -'!$B23:F23,B23:D23)</f>
        <v>220957</v>
      </c>
      <c r="F23" s="272">
        <f>SUM('- 53 -'!$B23:F23,B23:E23)</f>
        <v>2016662</v>
      </c>
    </row>
    <row r="24" spans="1:6" ht="14.1" customHeight="1" x14ac:dyDescent="0.2">
      <c r="A24" s="15" t="s">
        <v>120</v>
      </c>
      <c r="B24" s="16">
        <v>102000</v>
      </c>
      <c r="C24" s="16">
        <v>51053</v>
      </c>
      <c r="D24" s="16">
        <v>364644</v>
      </c>
      <c r="E24" s="16">
        <f>Data!R24-SUM('- 53 -'!$B24:F24,B24:D24)</f>
        <v>216334</v>
      </c>
      <c r="F24" s="16">
        <f>SUM('- 53 -'!$B24:F24,B24:E24)</f>
        <v>5131643</v>
      </c>
    </row>
    <row r="25" spans="1:6" ht="14.1" customHeight="1" x14ac:dyDescent="0.2">
      <c r="A25" s="271" t="s">
        <v>121</v>
      </c>
      <c r="B25" s="272">
        <v>1245500</v>
      </c>
      <c r="C25" s="272">
        <v>214746</v>
      </c>
      <c r="D25" s="272">
        <v>1146656</v>
      </c>
      <c r="E25" s="272">
        <f>Data!R25-SUM('- 53 -'!$B25:F25,B25:D25)</f>
        <v>728211</v>
      </c>
      <c r="F25" s="272">
        <f>SUM('- 53 -'!$B25:F25,B25:E25)</f>
        <v>16243906</v>
      </c>
    </row>
    <row r="26" spans="1:6" ht="14.1" customHeight="1" x14ac:dyDescent="0.2">
      <c r="A26" s="15" t="s">
        <v>122</v>
      </c>
      <c r="B26" s="16">
        <v>64600</v>
      </c>
      <c r="C26" s="16">
        <v>35359</v>
      </c>
      <c r="D26" s="16">
        <v>290736</v>
      </c>
      <c r="E26" s="16">
        <f>Data!R26-SUM('- 53 -'!$B26:F26,B26:D26)</f>
        <v>307145</v>
      </c>
      <c r="F26" s="16">
        <f>SUM('- 53 -'!$B26:F26,B26:E26)</f>
        <v>3918530</v>
      </c>
    </row>
    <row r="27" spans="1:6" ht="14.1" customHeight="1" x14ac:dyDescent="0.2">
      <c r="A27" s="271" t="s">
        <v>123</v>
      </c>
      <c r="B27" s="272">
        <v>77600</v>
      </c>
      <c r="C27" s="272">
        <v>57508</v>
      </c>
      <c r="D27" s="272">
        <v>238712</v>
      </c>
      <c r="E27" s="272">
        <f>Data!R27-SUM('- 53 -'!$B27:F27,B27:D27)</f>
        <v>2153501</v>
      </c>
      <c r="F27" s="272">
        <f>SUM('- 53 -'!$B27:F27,B27:E27)</f>
        <v>5162209</v>
      </c>
    </row>
    <row r="28" spans="1:6" ht="14.1" customHeight="1" x14ac:dyDescent="0.2">
      <c r="A28" s="15" t="s">
        <v>124</v>
      </c>
      <c r="B28" s="16">
        <v>6600</v>
      </c>
      <c r="C28" s="16">
        <v>20464</v>
      </c>
      <c r="D28" s="16">
        <v>117000</v>
      </c>
      <c r="E28" s="16">
        <f>Data!R28-SUM('- 53 -'!$B28:F28,B28:D28)</f>
        <v>242177</v>
      </c>
      <c r="F28" s="16">
        <f>SUM('- 53 -'!$B28:F28,B28:E28)</f>
        <v>2408870</v>
      </c>
    </row>
    <row r="29" spans="1:6" ht="14.1" customHeight="1" x14ac:dyDescent="0.2">
      <c r="A29" s="271" t="s">
        <v>125</v>
      </c>
      <c r="B29" s="272">
        <v>686400</v>
      </c>
      <c r="C29" s="272">
        <v>177481</v>
      </c>
      <c r="D29" s="272">
        <v>1054936</v>
      </c>
      <c r="E29" s="272">
        <f>Data!R29-SUM('- 53 -'!$B29:F29,B29:D29)</f>
        <v>1030538</v>
      </c>
      <c r="F29" s="272">
        <f>SUM('- 53 -'!$B29:F29,B29:E29)</f>
        <v>13416252</v>
      </c>
    </row>
    <row r="30" spans="1:6" ht="14.1" customHeight="1" x14ac:dyDescent="0.2">
      <c r="A30" s="15" t="s">
        <v>126</v>
      </c>
      <c r="B30" s="16">
        <v>2500</v>
      </c>
      <c r="C30" s="16">
        <v>15300</v>
      </c>
      <c r="D30" s="16">
        <v>80576</v>
      </c>
      <c r="E30" s="16">
        <f>Data!R30-SUM('- 53 -'!$B30:F30,B30:D30)</f>
        <v>152788</v>
      </c>
      <c r="F30" s="16">
        <f>SUM('- 53 -'!$B30:F30,B30:E30)</f>
        <v>1643403</v>
      </c>
    </row>
    <row r="31" spans="1:6" ht="14.1" customHeight="1" x14ac:dyDescent="0.2">
      <c r="A31" s="271" t="s">
        <v>127</v>
      </c>
      <c r="B31" s="272">
        <v>84100</v>
      </c>
      <c r="C31" s="272">
        <v>58194</v>
      </c>
      <c r="D31" s="272">
        <v>248832</v>
      </c>
      <c r="E31" s="272">
        <f>Data!R31-SUM('- 53 -'!$B31:F31,B31:D31)</f>
        <v>130082</v>
      </c>
      <c r="F31" s="272">
        <f>SUM('- 53 -'!$B31:F31,B31:E31)</f>
        <v>3775327</v>
      </c>
    </row>
    <row r="32" spans="1:6" ht="14.1" customHeight="1" x14ac:dyDescent="0.2">
      <c r="A32" s="15" t="s">
        <v>128</v>
      </c>
      <c r="B32" s="16">
        <v>49200</v>
      </c>
      <c r="C32" s="16">
        <v>34543</v>
      </c>
      <c r="D32" s="16">
        <v>174744</v>
      </c>
      <c r="E32" s="16">
        <f>Data!R32-SUM('- 53 -'!$B32:F32,B32:D32)</f>
        <v>344193</v>
      </c>
      <c r="F32" s="16">
        <f>SUM('- 53 -'!$B32:F32,B32:E32)</f>
        <v>3115989</v>
      </c>
    </row>
    <row r="33" spans="1:6" ht="14.1" customHeight="1" x14ac:dyDescent="0.2">
      <c r="A33" s="271" t="s">
        <v>129</v>
      </c>
      <c r="B33" s="272">
        <v>29700</v>
      </c>
      <c r="C33" s="272">
        <v>28394</v>
      </c>
      <c r="D33" s="272">
        <v>164624</v>
      </c>
      <c r="E33" s="272">
        <f>Data!R33-SUM('- 53 -'!$B33:F33,B33:D33)</f>
        <v>341326</v>
      </c>
      <c r="F33" s="272">
        <f>SUM('- 53 -'!$B33:F33,B33:E33)</f>
        <v>3057577</v>
      </c>
    </row>
    <row r="34" spans="1:6" ht="14.1" customHeight="1" x14ac:dyDescent="0.2">
      <c r="A34" s="15" t="s">
        <v>130</v>
      </c>
      <c r="B34" s="16">
        <v>97700</v>
      </c>
      <c r="C34" s="16">
        <v>30589</v>
      </c>
      <c r="D34" s="16">
        <v>168064</v>
      </c>
      <c r="E34" s="16">
        <f>Data!R34-SUM('- 53 -'!$B34:F34,B34:D34)</f>
        <v>255539</v>
      </c>
      <c r="F34" s="16">
        <f>SUM('- 53 -'!$B34:F34,B34:E34)</f>
        <v>3583719</v>
      </c>
    </row>
    <row r="35" spans="1:6" ht="14.1" customHeight="1" x14ac:dyDescent="0.2">
      <c r="A35" s="271" t="s">
        <v>131</v>
      </c>
      <c r="B35" s="272">
        <v>737000</v>
      </c>
      <c r="C35" s="272">
        <v>236241</v>
      </c>
      <c r="D35" s="272">
        <v>1380080</v>
      </c>
      <c r="E35" s="272">
        <f>Data!R35-SUM('- 53 -'!$B35:F35,B35:D35)</f>
        <v>520559</v>
      </c>
      <c r="F35" s="272">
        <f>SUM('- 53 -'!$B35:F35,B35:E35)</f>
        <v>16758339</v>
      </c>
    </row>
    <row r="36" spans="1:6" ht="14.1" customHeight="1" x14ac:dyDescent="0.2">
      <c r="A36" s="15" t="s">
        <v>132</v>
      </c>
      <c r="B36" s="16">
        <v>4600</v>
      </c>
      <c r="C36" s="16">
        <v>22514</v>
      </c>
      <c r="D36" s="16">
        <v>126128</v>
      </c>
      <c r="E36" s="16">
        <f>Data!R36-SUM('- 53 -'!$B36:F36,B36:D36)</f>
        <v>245418</v>
      </c>
      <c r="F36" s="16">
        <f>SUM('- 53 -'!$B36:F36,B36:E36)</f>
        <v>2002943</v>
      </c>
    </row>
    <row r="37" spans="1:6" ht="14.1" customHeight="1" x14ac:dyDescent="0.2">
      <c r="A37" s="271" t="s">
        <v>133</v>
      </c>
      <c r="B37" s="272">
        <v>347200</v>
      </c>
      <c r="C37" s="272">
        <v>71176</v>
      </c>
      <c r="D37" s="272">
        <v>335048</v>
      </c>
      <c r="E37" s="272">
        <f>Data!R37-SUM('- 53 -'!$B37:F37,B37:D37)</f>
        <v>82003</v>
      </c>
      <c r="F37" s="272">
        <f>SUM('- 53 -'!$B37:F37,B37:E37)</f>
        <v>5748613</v>
      </c>
    </row>
    <row r="38" spans="1:6" ht="14.1" customHeight="1" x14ac:dyDescent="0.2">
      <c r="A38" s="15" t="s">
        <v>134</v>
      </c>
      <c r="B38" s="16">
        <v>446000</v>
      </c>
      <c r="C38" s="16">
        <v>152683</v>
      </c>
      <c r="D38" s="16">
        <v>877496</v>
      </c>
      <c r="E38" s="16">
        <f>Data!R38-SUM('- 53 -'!$B38:F38,B38:D38)</f>
        <v>268685</v>
      </c>
      <c r="F38" s="16">
        <f>SUM('- 53 -'!$B38:F38,B38:E38)</f>
        <v>10702491</v>
      </c>
    </row>
    <row r="39" spans="1:6" ht="14.1" customHeight="1" x14ac:dyDescent="0.2">
      <c r="A39" s="271" t="s">
        <v>135</v>
      </c>
      <c r="B39" s="272">
        <v>3100</v>
      </c>
      <c r="C39" s="272">
        <v>24480</v>
      </c>
      <c r="D39" s="272">
        <v>121040</v>
      </c>
      <c r="E39" s="272">
        <f>Data!R39-SUM('- 53 -'!$B39:F39,B39:D39)</f>
        <v>168818</v>
      </c>
      <c r="F39" s="272">
        <f>SUM('- 53 -'!$B39:F39,B39:E39)</f>
        <v>2148141</v>
      </c>
    </row>
    <row r="40" spans="1:6" ht="14.1" customHeight="1" x14ac:dyDescent="0.2">
      <c r="A40" s="15" t="s">
        <v>136</v>
      </c>
      <c r="B40" s="16">
        <v>385200</v>
      </c>
      <c r="C40" s="16">
        <v>111795</v>
      </c>
      <c r="D40" s="16">
        <v>753864</v>
      </c>
      <c r="E40" s="16">
        <f>Data!R40-SUM('- 53 -'!$B40:F40,B40:D40)</f>
        <v>56763</v>
      </c>
      <c r="F40" s="16">
        <f>SUM('- 53 -'!$B40:F40,B40:E40)</f>
        <v>8384369</v>
      </c>
    </row>
    <row r="41" spans="1:6" ht="14.1" customHeight="1" x14ac:dyDescent="0.2">
      <c r="A41" s="271" t="s">
        <v>137</v>
      </c>
      <c r="B41" s="272">
        <v>167700</v>
      </c>
      <c r="C41" s="272">
        <v>59914</v>
      </c>
      <c r="D41" s="272">
        <v>352160</v>
      </c>
      <c r="E41" s="272">
        <f>Data!R41-SUM('- 53 -'!$B41:F41,B41:D41)</f>
        <v>135452</v>
      </c>
      <c r="F41" s="272">
        <f>SUM('- 53 -'!$B41:F41,B41:E41)</f>
        <v>6759451</v>
      </c>
    </row>
    <row r="42" spans="1:6" ht="14.1" customHeight="1" x14ac:dyDescent="0.2">
      <c r="A42" s="15" t="s">
        <v>138</v>
      </c>
      <c r="B42" s="16">
        <v>27000</v>
      </c>
      <c r="C42" s="16">
        <v>20527</v>
      </c>
      <c r="D42" s="16">
        <v>109560</v>
      </c>
      <c r="E42" s="16">
        <f>Data!R42-SUM('- 53 -'!$B42:F42,B42:D42)</f>
        <v>51999</v>
      </c>
      <c r="F42" s="16">
        <f>SUM('- 53 -'!$B42:F42,B42:E42)</f>
        <v>2293434</v>
      </c>
    </row>
    <row r="43" spans="1:6" ht="14.1" customHeight="1" x14ac:dyDescent="0.2">
      <c r="A43" s="271" t="s">
        <v>139</v>
      </c>
      <c r="B43" s="272">
        <v>600</v>
      </c>
      <c r="C43" s="272">
        <v>12592</v>
      </c>
      <c r="D43" s="272">
        <v>77520</v>
      </c>
      <c r="E43" s="272">
        <f>Data!R43-SUM('- 53 -'!$B43:F43,B43:D43)</f>
        <v>120514</v>
      </c>
      <c r="F43" s="272">
        <f>SUM('- 53 -'!$B43:F43,B43:E43)</f>
        <v>1297413</v>
      </c>
    </row>
    <row r="44" spans="1:6" ht="14.1" customHeight="1" x14ac:dyDescent="0.2">
      <c r="A44" s="15" t="s">
        <v>140</v>
      </c>
      <c r="B44" s="16">
        <v>9700</v>
      </c>
      <c r="C44" s="16">
        <v>10384</v>
      </c>
      <c r="D44" s="16">
        <v>55504</v>
      </c>
      <c r="E44" s="16">
        <f>Data!R44-SUM('- 53 -'!$B44:F44,B44:D44)</f>
        <v>101556</v>
      </c>
      <c r="F44" s="16">
        <f>SUM('- 53 -'!$B44:F44,B44:E44)</f>
        <v>1517635</v>
      </c>
    </row>
    <row r="45" spans="1:6" ht="14.1" customHeight="1" x14ac:dyDescent="0.2">
      <c r="A45" s="271" t="s">
        <v>141</v>
      </c>
      <c r="B45" s="272">
        <v>62300</v>
      </c>
      <c r="C45" s="272">
        <v>27200</v>
      </c>
      <c r="D45" s="272">
        <v>136112</v>
      </c>
      <c r="E45" s="272">
        <f>Data!R45-SUM('- 53 -'!$B45:F45,B45:D45)</f>
        <v>88342</v>
      </c>
      <c r="F45" s="272">
        <f>SUM('- 53 -'!$B45:F45,B45:E45)</f>
        <v>1711276</v>
      </c>
    </row>
    <row r="46" spans="1:6" ht="14.1" customHeight="1" x14ac:dyDescent="0.2">
      <c r="A46" s="15" t="s">
        <v>142</v>
      </c>
      <c r="B46" s="16">
        <v>959200</v>
      </c>
      <c r="C46" s="16">
        <v>522392</v>
      </c>
      <c r="D46" s="16">
        <v>2484280</v>
      </c>
      <c r="E46" s="16">
        <f>Data!R46-SUM('- 53 -'!$B46:F46,B46:D46)</f>
        <v>262187</v>
      </c>
      <c r="F46" s="16">
        <f>SUM('- 53 -'!$B46:F46,B46:E46)</f>
        <v>28965802</v>
      </c>
    </row>
    <row r="47" spans="1:6" ht="5.0999999999999996" customHeight="1" x14ac:dyDescent="0.2">
      <c r="A47"/>
      <c r="B47"/>
      <c r="C47"/>
      <c r="D47"/>
      <c r="E47"/>
      <c r="F47"/>
    </row>
    <row r="48" spans="1:6" ht="14.1" customHeight="1" x14ac:dyDescent="0.2">
      <c r="A48" s="274" t="s">
        <v>143</v>
      </c>
      <c r="B48" s="275">
        <f>SUM(B11:B46)</f>
        <v>7542900</v>
      </c>
      <c r="C48" s="275">
        <f>SUM(C11:C46)</f>
        <v>2663573</v>
      </c>
      <c r="D48" s="275">
        <f>SUM(D11:D46)</f>
        <v>14181788</v>
      </c>
      <c r="E48" s="275">
        <f>SUM(E11:E46)</f>
        <v>14282634</v>
      </c>
      <c r="F48" s="275">
        <f>SUM(F11:F46)</f>
        <v>203860424</v>
      </c>
    </row>
    <row r="49" spans="1:6" ht="5.0999999999999996" customHeight="1" x14ac:dyDescent="0.2">
      <c r="A49" s="17" t="s">
        <v>1</v>
      </c>
      <c r="B49" s="18"/>
      <c r="C49" s="18"/>
      <c r="D49" s="18"/>
      <c r="E49" s="18"/>
      <c r="F49" s="18"/>
    </row>
    <row r="50" spans="1:6" ht="14.45" customHeight="1" x14ac:dyDescent="0.2">
      <c r="A50" s="15" t="s">
        <v>144</v>
      </c>
      <c r="B50" s="16">
        <v>600</v>
      </c>
      <c r="C50" s="16">
        <v>5560</v>
      </c>
      <c r="D50" s="16">
        <v>12320</v>
      </c>
      <c r="E50" s="16">
        <f>Data!R50-SUM('- 53 -'!$B50:F50,B50:D50)</f>
        <v>28653</v>
      </c>
      <c r="F50" s="16">
        <f>SUM('- 53 -'!$B50:F50,B50:E50)</f>
        <v>122477</v>
      </c>
    </row>
    <row r="51" spans="1:6" ht="14.1" customHeight="1" x14ac:dyDescent="0.2">
      <c r="A51" s="360" t="s">
        <v>514</v>
      </c>
      <c r="B51" s="272">
        <v>0</v>
      </c>
      <c r="C51" s="272">
        <v>0</v>
      </c>
      <c r="D51" s="272">
        <v>0</v>
      </c>
      <c r="E51" s="272">
        <f>Data!R51-SUM('- 53 -'!$B51:F51,B51:D51)</f>
        <v>0</v>
      </c>
      <c r="F51" s="272">
        <f>SUM('- 53 -'!$B51:F51,B51:E51)</f>
        <v>0</v>
      </c>
    </row>
    <row r="52" spans="1:6" ht="50.1" customHeight="1" x14ac:dyDescent="0.2">
      <c r="A52" s="19"/>
      <c r="B52" s="19"/>
      <c r="C52" s="19"/>
      <c r="D52" s="19"/>
      <c r="E52" s="19"/>
      <c r="F52" s="19"/>
    </row>
    <row r="53" spans="1:6" ht="15" customHeight="1" x14ac:dyDescent="0.2">
      <c r="A53" s="31" t="s">
        <v>606</v>
      </c>
      <c r="E53" s="31"/>
      <c r="F53" s="31"/>
    </row>
    <row r="54" spans="1:6" ht="14.45" customHeight="1" x14ac:dyDescent="0.2">
      <c r="A54" s="31"/>
      <c r="E54" s="31"/>
      <c r="F54" s="31"/>
    </row>
    <row r="55" spans="1:6" ht="14.45" customHeight="1" x14ac:dyDescent="0.2">
      <c r="A55" s="1" t="s">
        <v>605</v>
      </c>
      <c r="B55" s="31"/>
      <c r="C55" s="31"/>
      <c r="D55" s="31"/>
      <c r="E55" s="31"/>
      <c r="F55" s="31"/>
    </row>
    <row r="56" spans="1:6" ht="14.45" customHeight="1" x14ac:dyDescent="0.2">
      <c r="E56" s="90"/>
      <c r="F56" s="90"/>
    </row>
    <row r="57" spans="1:6" ht="14.45" customHeight="1" x14ac:dyDescent="0.2">
      <c r="B57" s="90"/>
      <c r="C57" s="90"/>
      <c r="D57" s="90"/>
      <c r="E57" s="90"/>
      <c r="F57" s="90"/>
    </row>
    <row r="58" spans="1:6" ht="14.45" customHeight="1" x14ac:dyDescent="0.2"/>
    <row r="59" spans="1:6" ht="14.45" customHeight="1" x14ac:dyDescent="0.2"/>
  </sheetData>
  <mergeCells count="8">
    <mergeCell ref="B4:F4"/>
    <mergeCell ref="B5:F5"/>
    <mergeCell ref="B6:F6"/>
    <mergeCell ref="B7:B9"/>
    <mergeCell ref="C7:C9"/>
    <mergeCell ref="D7:D9"/>
    <mergeCell ref="E8: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x14ac:dyDescent="0.2">
      <c r="A1" s="3"/>
      <c r="B1" s="3"/>
      <c r="C1" s="3"/>
      <c r="D1" s="3"/>
      <c r="E1" s="3"/>
      <c r="F1" s="3"/>
    </row>
    <row r="2" spans="1:6" ht="15.95" customHeight="1" x14ac:dyDescent="0.2">
      <c r="A2" s="229"/>
      <c r="B2" s="53" t="str">
        <f>REVYEAR</f>
        <v>ANALYSIS OF OPERATING FUND REVENUE: 2018/2019 BUDGET</v>
      </c>
      <c r="C2" s="53"/>
      <c r="D2" s="230"/>
      <c r="E2" s="230"/>
      <c r="F2" s="185" t="s">
        <v>96</v>
      </c>
    </row>
    <row r="3" spans="1:6" ht="15.95" customHeight="1" x14ac:dyDescent="0.2">
      <c r="A3" s="180"/>
      <c r="B3" s="231"/>
      <c r="C3" s="231"/>
      <c r="D3" s="231"/>
      <c r="E3" s="231"/>
      <c r="F3" s="231"/>
    </row>
    <row r="4" spans="1:6" ht="15.95" customHeight="1" x14ac:dyDescent="0.2"/>
    <row r="5" spans="1:6" ht="15.95" customHeight="1" x14ac:dyDescent="0.2">
      <c r="B5" s="760" t="s">
        <v>34</v>
      </c>
      <c r="C5" s="761"/>
      <c r="D5" s="761"/>
      <c r="E5" s="761"/>
      <c r="F5" s="762"/>
    </row>
    <row r="6" spans="1:6" ht="15.95" customHeight="1" x14ac:dyDescent="0.2">
      <c r="B6" s="763" t="s">
        <v>105</v>
      </c>
      <c r="C6" s="764"/>
      <c r="D6" s="764"/>
      <c r="E6" s="764"/>
      <c r="F6" s="765"/>
    </row>
    <row r="7" spans="1:6" ht="15.95" customHeight="1" x14ac:dyDescent="0.2">
      <c r="B7" s="186"/>
      <c r="C7" s="693" t="s">
        <v>494</v>
      </c>
      <c r="D7" s="186"/>
      <c r="E7" s="693" t="s">
        <v>496</v>
      </c>
      <c r="F7" s="693" t="s">
        <v>497</v>
      </c>
    </row>
    <row r="8" spans="1:6" ht="15.95" customHeight="1" x14ac:dyDescent="0.2">
      <c r="A8" s="24"/>
      <c r="B8" s="768" t="s">
        <v>493</v>
      </c>
      <c r="C8" s="768"/>
      <c r="D8" s="768" t="s">
        <v>495</v>
      </c>
      <c r="E8" s="768"/>
      <c r="F8" s="783"/>
    </row>
    <row r="9" spans="1:6" ht="15.95" customHeight="1" x14ac:dyDescent="0.2">
      <c r="A9" s="93" t="s">
        <v>37</v>
      </c>
      <c r="B9" s="769"/>
      <c r="C9" s="769"/>
      <c r="D9" s="769"/>
      <c r="E9" s="769"/>
      <c r="F9" s="692"/>
    </row>
    <row r="10" spans="1:6" ht="5.0999999999999996" customHeight="1" x14ac:dyDescent="0.2">
      <c r="A10" s="29"/>
      <c r="B10" s="3"/>
      <c r="C10" s="3"/>
      <c r="D10" s="3"/>
      <c r="E10" s="3"/>
      <c r="F10" s="3"/>
    </row>
    <row r="11" spans="1:6" ht="14.1" customHeight="1" x14ac:dyDescent="0.2">
      <c r="A11" s="271" t="s">
        <v>108</v>
      </c>
      <c r="B11" s="272">
        <v>2497709</v>
      </c>
      <c r="C11" s="272">
        <v>0</v>
      </c>
      <c r="D11" s="272">
        <v>0</v>
      </c>
      <c r="E11" s="272">
        <v>95540</v>
      </c>
      <c r="F11" s="272">
        <f>SUM('- 52 -'!$G11,'- 54 -'!$F11,B11:E11)</f>
        <v>10489581</v>
      </c>
    </row>
    <row r="12" spans="1:6" ht="14.1" customHeight="1" x14ac:dyDescent="0.2">
      <c r="A12" s="15" t="s">
        <v>109</v>
      </c>
      <c r="B12" s="16">
        <v>3510075</v>
      </c>
      <c r="C12" s="16">
        <v>1575</v>
      </c>
      <c r="D12" s="16">
        <v>1214478</v>
      </c>
      <c r="E12" s="16">
        <v>204203</v>
      </c>
      <c r="F12" s="16">
        <f>SUM('- 52 -'!$G12,'- 54 -'!$F12,B12:E12)</f>
        <v>14846201</v>
      </c>
    </row>
    <row r="13" spans="1:6" ht="14.1" customHeight="1" x14ac:dyDescent="0.2">
      <c r="A13" s="271" t="s">
        <v>110</v>
      </c>
      <c r="B13" s="272">
        <v>18410000</v>
      </c>
      <c r="C13" s="272">
        <v>0</v>
      </c>
      <c r="D13" s="272">
        <v>0</v>
      </c>
      <c r="E13" s="272">
        <v>301400</v>
      </c>
      <c r="F13" s="272">
        <f>SUM('- 52 -'!$G13,'- 54 -'!$F13,B13:E13)</f>
        <v>51285000</v>
      </c>
    </row>
    <row r="14" spans="1:6" ht="14.1" customHeight="1" x14ac:dyDescent="0.2">
      <c r="A14" s="15" t="s">
        <v>319</v>
      </c>
      <c r="B14" s="16">
        <v>10898867</v>
      </c>
      <c r="C14" s="16">
        <v>0</v>
      </c>
      <c r="D14" s="16">
        <v>0</v>
      </c>
      <c r="E14" s="16">
        <v>243180</v>
      </c>
      <c r="F14" s="16">
        <f>SUM('- 52 -'!$G14,'- 54 -'!$F14,B14:E14)</f>
        <v>36437661</v>
      </c>
    </row>
    <row r="15" spans="1:6" ht="14.1" customHeight="1" x14ac:dyDescent="0.2">
      <c r="A15" s="271" t="s">
        <v>111</v>
      </c>
      <c r="B15" s="272">
        <v>0</v>
      </c>
      <c r="C15" s="272">
        <v>0</v>
      </c>
      <c r="D15" s="272">
        <v>1042596</v>
      </c>
      <c r="E15" s="272">
        <v>83900</v>
      </c>
      <c r="F15" s="272">
        <f>SUM('- 52 -'!$G15,'- 54 -'!$F15,B15:E15)</f>
        <v>7970043</v>
      </c>
    </row>
    <row r="16" spans="1:6" ht="14.1" customHeight="1" x14ac:dyDescent="0.2">
      <c r="A16" s="15" t="s">
        <v>112</v>
      </c>
      <c r="B16" s="16">
        <v>4162532</v>
      </c>
      <c r="C16" s="16">
        <v>208582</v>
      </c>
      <c r="D16" s="16">
        <v>0</v>
      </c>
      <c r="E16" s="16">
        <v>60800</v>
      </c>
      <c r="F16" s="16">
        <f>SUM('- 52 -'!$G16,'- 54 -'!$F16,B16:E16)</f>
        <v>8867641</v>
      </c>
    </row>
    <row r="17" spans="1:6" ht="14.1" customHeight="1" x14ac:dyDescent="0.2">
      <c r="A17" s="271" t="s">
        <v>113</v>
      </c>
      <c r="B17" s="272">
        <v>0</v>
      </c>
      <c r="C17" s="272">
        <v>0</v>
      </c>
      <c r="D17" s="272">
        <v>630579</v>
      </c>
      <c r="E17" s="272">
        <v>102860</v>
      </c>
      <c r="F17" s="272">
        <f>SUM('- 52 -'!$G17,'- 54 -'!$F17,B17:E17)</f>
        <v>7164096</v>
      </c>
    </row>
    <row r="18" spans="1:6" ht="14.1" customHeight="1" x14ac:dyDescent="0.2">
      <c r="A18" s="15" t="s">
        <v>114</v>
      </c>
      <c r="B18" s="16">
        <v>13823775</v>
      </c>
      <c r="C18" s="16">
        <v>4758592</v>
      </c>
      <c r="D18" s="16">
        <v>0</v>
      </c>
      <c r="E18" s="16">
        <v>380720</v>
      </c>
      <c r="F18" s="16">
        <f>SUM('- 52 -'!$G18,'- 54 -'!$F18,B18:E18)</f>
        <v>37297361</v>
      </c>
    </row>
    <row r="19" spans="1:6" ht="14.1" customHeight="1" x14ac:dyDescent="0.2">
      <c r="A19" s="271" t="s">
        <v>115</v>
      </c>
      <c r="B19" s="272">
        <v>10791635</v>
      </c>
      <c r="C19" s="272">
        <v>0</v>
      </c>
      <c r="D19" s="272">
        <v>0</v>
      </c>
      <c r="E19" s="272">
        <v>124960</v>
      </c>
      <c r="F19" s="272">
        <f>SUM('- 52 -'!$G19,'- 54 -'!$F19,B19:E19)</f>
        <v>29131130</v>
      </c>
    </row>
    <row r="20" spans="1:6" ht="14.1" customHeight="1" x14ac:dyDescent="0.2">
      <c r="A20" s="15" t="s">
        <v>116</v>
      </c>
      <c r="B20" s="16">
        <v>20533464</v>
      </c>
      <c r="C20" s="16">
        <v>0</v>
      </c>
      <c r="D20" s="16">
        <v>0</v>
      </c>
      <c r="E20" s="16">
        <v>270060</v>
      </c>
      <c r="F20" s="16">
        <f>SUM('- 52 -'!$G20,'- 54 -'!$F20,B20:E20)</f>
        <v>52479384</v>
      </c>
    </row>
    <row r="21" spans="1:6" ht="14.1" customHeight="1" x14ac:dyDescent="0.2">
      <c r="A21" s="271" t="s">
        <v>117</v>
      </c>
      <c r="B21" s="272">
        <v>3851254</v>
      </c>
      <c r="C21" s="272">
        <v>0</v>
      </c>
      <c r="D21" s="272">
        <v>0</v>
      </c>
      <c r="E21" s="272">
        <v>156280</v>
      </c>
      <c r="F21" s="272">
        <f>SUM('- 52 -'!$G21,'- 54 -'!$F21,B21:E21)</f>
        <v>16721738</v>
      </c>
    </row>
    <row r="22" spans="1:6" ht="14.1" customHeight="1" x14ac:dyDescent="0.2">
      <c r="A22" s="15" t="s">
        <v>118</v>
      </c>
      <c r="B22" s="16">
        <v>5798000</v>
      </c>
      <c r="C22" s="16">
        <v>970692</v>
      </c>
      <c r="D22" s="16">
        <v>0</v>
      </c>
      <c r="E22" s="16">
        <v>78040</v>
      </c>
      <c r="F22" s="16">
        <f>SUM('- 52 -'!$G22,'- 54 -'!$F22,B22:E22)</f>
        <v>14517088</v>
      </c>
    </row>
    <row r="23" spans="1:6" ht="14.1" customHeight="1" x14ac:dyDescent="0.2">
      <c r="A23" s="271" t="s">
        <v>119</v>
      </c>
      <c r="B23" s="272">
        <v>2951443</v>
      </c>
      <c r="C23" s="272">
        <v>419953</v>
      </c>
      <c r="D23" s="272">
        <v>184675</v>
      </c>
      <c r="E23" s="272">
        <v>100980</v>
      </c>
      <c r="F23" s="272">
        <f>SUM('- 52 -'!$G23,'- 54 -'!$F23,B23:E23)</f>
        <v>9366974</v>
      </c>
    </row>
    <row r="24" spans="1:6" ht="14.1" customHeight="1" x14ac:dyDescent="0.2">
      <c r="A24" s="15" t="s">
        <v>120</v>
      </c>
      <c r="B24" s="16">
        <v>4679398</v>
      </c>
      <c r="C24" s="16">
        <v>0</v>
      </c>
      <c r="D24" s="16">
        <v>700762</v>
      </c>
      <c r="E24" s="16">
        <v>258660</v>
      </c>
      <c r="F24" s="16">
        <f>SUM('- 52 -'!$G24,'- 54 -'!$F24,B24:E24)</f>
        <v>23141580</v>
      </c>
    </row>
    <row r="25" spans="1:6" ht="14.1" customHeight="1" x14ac:dyDescent="0.2">
      <c r="A25" s="271" t="s">
        <v>121</v>
      </c>
      <c r="B25" s="272">
        <v>18337907</v>
      </c>
      <c r="C25" s="272">
        <v>0</v>
      </c>
      <c r="D25" s="272">
        <v>0</v>
      </c>
      <c r="E25" s="272">
        <v>573660</v>
      </c>
      <c r="F25" s="272">
        <f>SUM('- 52 -'!$G25,'- 54 -'!$F25,B25:E25)</f>
        <v>79379275</v>
      </c>
    </row>
    <row r="26" spans="1:6" ht="14.1" customHeight="1" x14ac:dyDescent="0.2">
      <c r="A26" s="15" t="s">
        <v>122</v>
      </c>
      <c r="B26" s="16">
        <v>6454401</v>
      </c>
      <c r="C26" s="16">
        <v>719357</v>
      </c>
      <c r="D26" s="16">
        <v>0</v>
      </c>
      <c r="E26" s="16">
        <v>293840</v>
      </c>
      <c r="F26" s="16">
        <f>SUM('- 52 -'!$G26,'- 54 -'!$F26,B26:E26)</f>
        <v>21703234</v>
      </c>
    </row>
    <row r="27" spans="1:6" ht="14.1" customHeight="1" x14ac:dyDescent="0.2">
      <c r="A27" s="271" t="s">
        <v>123</v>
      </c>
      <c r="B27" s="272">
        <v>13250189</v>
      </c>
      <c r="C27" s="272">
        <v>3841201</v>
      </c>
      <c r="D27" s="272">
        <v>0</v>
      </c>
      <c r="E27" s="272">
        <v>120160</v>
      </c>
      <c r="F27" s="272">
        <f>SUM('- 52 -'!$G27,'- 54 -'!$F27,B27:E27)</f>
        <v>31616632</v>
      </c>
    </row>
    <row r="28" spans="1:6" ht="14.1" customHeight="1" x14ac:dyDescent="0.2">
      <c r="A28" s="15" t="s">
        <v>124</v>
      </c>
      <c r="B28" s="16">
        <v>431382</v>
      </c>
      <c r="C28" s="16">
        <v>0</v>
      </c>
      <c r="D28" s="16">
        <v>1674399</v>
      </c>
      <c r="E28" s="16">
        <v>137680</v>
      </c>
      <c r="F28" s="16">
        <f>SUM('- 52 -'!$G28,'- 54 -'!$F28,B28:E28)</f>
        <v>10325241</v>
      </c>
    </row>
    <row r="29" spans="1:6" ht="14.1" customHeight="1" x14ac:dyDescent="0.2">
      <c r="A29" s="271" t="s">
        <v>125</v>
      </c>
      <c r="B29" s="272">
        <v>2542812</v>
      </c>
      <c r="C29" s="272">
        <v>0</v>
      </c>
      <c r="D29" s="272">
        <v>0</v>
      </c>
      <c r="E29" s="272">
        <v>423500</v>
      </c>
      <c r="F29" s="272">
        <f>SUM('- 52 -'!$G29,'- 54 -'!$F29,B29:E29)</f>
        <v>55963639</v>
      </c>
    </row>
    <row r="30" spans="1:6" ht="14.1" customHeight="1" x14ac:dyDescent="0.2">
      <c r="A30" s="15" t="s">
        <v>126</v>
      </c>
      <c r="B30" s="16">
        <v>1012492</v>
      </c>
      <c r="C30" s="16">
        <v>0</v>
      </c>
      <c r="D30" s="16">
        <v>718188</v>
      </c>
      <c r="E30" s="16">
        <v>94000</v>
      </c>
      <c r="F30" s="16">
        <f>SUM('- 52 -'!$G30,'- 54 -'!$F30,B30:E30)</f>
        <v>7277982</v>
      </c>
    </row>
    <row r="31" spans="1:6" ht="14.1" customHeight="1" x14ac:dyDescent="0.2">
      <c r="A31" s="271" t="s">
        <v>127</v>
      </c>
      <c r="B31" s="272">
        <v>5207078</v>
      </c>
      <c r="C31" s="272">
        <v>0</v>
      </c>
      <c r="D31" s="272">
        <v>0</v>
      </c>
      <c r="E31" s="272">
        <v>174460</v>
      </c>
      <c r="F31" s="272">
        <f>SUM('- 52 -'!$G31,'- 54 -'!$F31,B31:E31)</f>
        <v>19347249</v>
      </c>
    </row>
    <row r="32" spans="1:6" ht="14.1" customHeight="1" x14ac:dyDescent="0.2">
      <c r="A32" s="15" t="s">
        <v>128</v>
      </c>
      <c r="B32" s="16">
        <v>111953</v>
      </c>
      <c r="C32" s="16">
        <v>0</v>
      </c>
      <c r="D32" s="16">
        <v>1313234</v>
      </c>
      <c r="E32" s="16">
        <v>159340</v>
      </c>
      <c r="F32" s="16">
        <f>SUM('- 52 -'!$G32,'- 54 -'!$F32,B32:E32)</f>
        <v>12408717</v>
      </c>
    </row>
    <row r="33" spans="1:6" ht="14.1" customHeight="1" x14ac:dyDescent="0.2">
      <c r="A33" s="271" t="s">
        <v>129</v>
      </c>
      <c r="B33" s="272">
        <v>0</v>
      </c>
      <c r="C33" s="272">
        <v>0</v>
      </c>
      <c r="D33" s="272">
        <v>2400036</v>
      </c>
      <c r="E33" s="272">
        <v>194880</v>
      </c>
      <c r="F33" s="272">
        <f>SUM('- 52 -'!$G33,'- 54 -'!$F33,B33:E33)</f>
        <v>13593930</v>
      </c>
    </row>
    <row r="34" spans="1:6" ht="14.1" customHeight="1" x14ac:dyDescent="0.2">
      <c r="A34" s="15" t="s">
        <v>130</v>
      </c>
      <c r="B34" s="16">
        <v>0</v>
      </c>
      <c r="C34" s="16">
        <v>0</v>
      </c>
      <c r="D34" s="16">
        <v>1061352</v>
      </c>
      <c r="E34" s="16">
        <v>120620</v>
      </c>
      <c r="F34" s="16">
        <f>SUM('- 52 -'!$G34,'- 54 -'!$F34,B34:E34)</f>
        <v>12098115</v>
      </c>
    </row>
    <row r="35" spans="1:6" ht="14.1" customHeight="1" x14ac:dyDescent="0.2">
      <c r="A35" s="271" t="s">
        <v>131</v>
      </c>
      <c r="B35" s="272">
        <v>26498365</v>
      </c>
      <c r="C35" s="272">
        <v>3036165</v>
      </c>
      <c r="D35" s="272">
        <v>0</v>
      </c>
      <c r="E35" s="272">
        <v>698640</v>
      </c>
      <c r="F35" s="272">
        <f>SUM('- 52 -'!$G35,'- 54 -'!$F35,B35:E35)</f>
        <v>95092949</v>
      </c>
    </row>
    <row r="36" spans="1:6" ht="14.1" customHeight="1" x14ac:dyDescent="0.2">
      <c r="A36" s="15" t="s">
        <v>132</v>
      </c>
      <c r="B36" s="16">
        <v>137141</v>
      </c>
      <c r="C36" s="16">
        <v>0</v>
      </c>
      <c r="D36" s="16">
        <v>1721426</v>
      </c>
      <c r="E36" s="16">
        <v>132780</v>
      </c>
      <c r="F36" s="16">
        <f>SUM('- 52 -'!$G36,'- 54 -'!$F36,B36:E36)</f>
        <v>9800067</v>
      </c>
    </row>
    <row r="37" spans="1:6" ht="14.1" customHeight="1" x14ac:dyDescent="0.2">
      <c r="A37" s="271" t="s">
        <v>133</v>
      </c>
      <c r="B37" s="272">
        <v>10063496</v>
      </c>
      <c r="C37" s="272">
        <v>0</v>
      </c>
      <c r="D37" s="272">
        <v>0</v>
      </c>
      <c r="E37" s="272">
        <v>148780</v>
      </c>
      <c r="F37" s="272">
        <f>SUM('- 52 -'!$G37,'- 54 -'!$F37,B37:E37)</f>
        <v>29054403</v>
      </c>
    </row>
    <row r="38" spans="1:6" ht="14.1" customHeight="1" x14ac:dyDescent="0.2">
      <c r="A38" s="15" t="s">
        <v>134</v>
      </c>
      <c r="B38" s="16">
        <v>29402661</v>
      </c>
      <c r="C38" s="16">
        <v>4111702</v>
      </c>
      <c r="D38" s="16">
        <v>0</v>
      </c>
      <c r="E38" s="16">
        <v>339460</v>
      </c>
      <c r="F38" s="16">
        <f>SUM('- 52 -'!$G38,'- 54 -'!$F38,B38:E38)</f>
        <v>77145019</v>
      </c>
    </row>
    <row r="39" spans="1:6" ht="14.1" customHeight="1" x14ac:dyDescent="0.2">
      <c r="A39" s="271" t="s">
        <v>135</v>
      </c>
      <c r="B39" s="272">
        <v>0</v>
      </c>
      <c r="C39" s="272">
        <v>0</v>
      </c>
      <c r="D39" s="272">
        <v>1056503</v>
      </c>
      <c r="E39" s="272">
        <v>109560</v>
      </c>
      <c r="F39" s="272">
        <f>SUM('- 52 -'!$G39,'- 54 -'!$F39,B39:E39)</f>
        <v>8813233</v>
      </c>
    </row>
    <row r="40" spans="1:6" ht="14.1" customHeight="1" x14ac:dyDescent="0.2">
      <c r="A40" s="15" t="s">
        <v>136</v>
      </c>
      <c r="B40" s="16">
        <v>2993627</v>
      </c>
      <c r="C40" s="16">
        <v>0</v>
      </c>
      <c r="D40" s="16">
        <v>538036</v>
      </c>
      <c r="E40" s="16">
        <v>486300</v>
      </c>
      <c r="F40" s="16">
        <f>SUM('- 52 -'!$G40,'- 54 -'!$F40,B40:E40)</f>
        <v>37450101</v>
      </c>
    </row>
    <row r="41" spans="1:6" ht="14.1" customHeight="1" x14ac:dyDescent="0.2">
      <c r="A41" s="271" t="s">
        <v>137</v>
      </c>
      <c r="B41" s="272">
        <v>4009445</v>
      </c>
      <c r="C41" s="272">
        <v>0</v>
      </c>
      <c r="D41" s="272">
        <v>0</v>
      </c>
      <c r="E41" s="272">
        <v>213360</v>
      </c>
      <c r="F41" s="272">
        <f>SUM('- 52 -'!$G41,'- 54 -'!$F41,B41:E41)</f>
        <v>25007063</v>
      </c>
    </row>
    <row r="42" spans="1:6" ht="14.1" customHeight="1" x14ac:dyDescent="0.2">
      <c r="A42" s="15" t="s">
        <v>138</v>
      </c>
      <c r="B42" s="16">
        <v>2905538</v>
      </c>
      <c r="C42" s="16">
        <v>557431</v>
      </c>
      <c r="D42" s="16">
        <v>466672</v>
      </c>
      <c r="E42" s="16">
        <v>145500</v>
      </c>
      <c r="F42" s="16">
        <f>SUM('- 52 -'!$G42,'- 54 -'!$F42,B42:E42)</f>
        <v>11313569</v>
      </c>
    </row>
    <row r="43" spans="1:6" ht="14.1" customHeight="1" x14ac:dyDescent="0.2">
      <c r="A43" s="271" t="s">
        <v>139</v>
      </c>
      <c r="B43" s="272">
        <v>67847</v>
      </c>
      <c r="C43" s="272">
        <v>0</v>
      </c>
      <c r="D43" s="272">
        <v>1004333</v>
      </c>
      <c r="E43" s="272">
        <v>61080</v>
      </c>
      <c r="F43" s="272">
        <f>SUM('- 52 -'!$G43,'- 54 -'!$F43,B43:E43)</f>
        <v>5825855</v>
      </c>
    </row>
    <row r="44" spans="1:6" ht="14.1" customHeight="1" x14ac:dyDescent="0.2">
      <c r="A44" s="15" t="s">
        <v>140</v>
      </c>
      <c r="B44" s="16">
        <v>2346581</v>
      </c>
      <c r="C44" s="16">
        <v>434059</v>
      </c>
      <c r="D44" s="16">
        <v>0</v>
      </c>
      <c r="E44" s="16">
        <v>67660</v>
      </c>
      <c r="F44" s="16">
        <f>SUM('- 52 -'!$G44,'- 54 -'!$F44,B44:E44)</f>
        <v>7187539</v>
      </c>
    </row>
    <row r="45" spans="1:6" ht="14.1" customHeight="1" x14ac:dyDescent="0.2">
      <c r="A45" s="271" t="s">
        <v>141</v>
      </c>
      <c r="B45" s="272">
        <v>3860969</v>
      </c>
      <c r="C45" s="272">
        <v>0</v>
      </c>
      <c r="D45" s="272">
        <v>0</v>
      </c>
      <c r="E45" s="272">
        <v>46460</v>
      </c>
      <c r="F45" s="272">
        <f>SUM('- 52 -'!$G45,'- 54 -'!$F45,B45:E45)</f>
        <v>10655571</v>
      </c>
    </row>
    <row r="46" spans="1:6" ht="14.1" customHeight="1" x14ac:dyDescent="0.2">
      <c r="A46" s="15" t="s">
        <v>142</v>
      </c>
      <c r="B46" s="16">
        <v>52487014</v>
      </c>
      <c r="C46" s="16">
        <v>4863665</v>
      </c>
      <c r="D46" s="16">
        <v>0</v>
      </c>
      <c r="E46" s="16">
        <v>1356060</v>
      </c>
      <c r="F46" s="16">
        <f>SUM('- 52 -'!$G46,'- 54 -'!$F46,B46:E46)</f>
        <v>186133800</v>
      </c>
    </row>
    <row r="47" spans="1:6" ht="5.0999999999999996" customHeight="1" x14ac:dyDescent="0.2">
      <c r="A47"/>
      <c r="B47"/>
      <c r="C47"/>
      <c r="D47"/>
      <c r="E47" s="507"/>
      <c r="F47"/>
    </row>
    <row r="48" spans="1:6" ht="14.1" customHeight="1" x14ac:dyDescent="0.2">
      <c r="A48" s="274" t="s">
        <v>143</v>
      </c>
      <c r="B48" s="275">
        <f>SUM(B11:B46)</f>
        <v>284029050</v>
      </c>
      <c r="C48" s="275">
        <f>SUM(C11:C46)</f>
        <v>23922974</v>
      </c>
      <c r="D48" s="275">
        <f>SUM(D11:D46)</f>
        <v>15727269</v>
      </c>
      <c r="E48" s="275">
        <f>SUM(E11:E46)</f>
        <v>8559363</v>
      </c>
      <c r="F48" s="275">
        <f>SUM(F11:F46)</f>
        <v>1086908661</v>
      </c>
    </row>
    <row r="49" spans="1:6" ht="5.0999999999999996" customHeight="1" x14ac:dyDescent="0.2">
      <c r="A49" s="17" t="s">
        <v>1</v>
      </c>
      <c r="B49" s="18"/>
      <c r="C49" s="18"/>
      <c r="D49" s="18"/>
      <c r="E49" s="18"/>
      <c r="F49" s="18"/>
    </row>
    <row r="50" spans="1:6" ht="14.45" customHeight="1" x14ac:dyDescent="0.2">
      <c r="A50" s="15" t="s">
        <v>144</v>
      </c>
      <c r="B50" s="16">
        <v>0</v>
      </c>
      <c r="C50" s="16">
        <v>0</v>
      </c>
      <c r="D50" s="16">
        <v>205029</v>
      </c>
      <c r="E50" s="16">
        <v>0</v>
      </c>
      <c r="F50" s="16">
        <f>SUM('- 52 -'!$G50,'- 54 -'!$F50,B50:E50)</f>
        <v>914148</v>
      </c>
    </row>
    <row r="51" spans="1:6" ht="14.1" customHeight="1" x14ac:dyDescent="0.2">
      <c r="A51" s="360" t="s">
        <v>514</v>
      </c>
      <c r="B51" s="272">
        <v>0</v>
      </c>
      <c r="C51" s="272">
        <v>0</v>
      </c>
      <c r="D51" s="272">
        <v>0</v>
      </c>
      <c r="E51" s="272">
        <v>0</v>
      </c>
      <c r="F51" s="272">
        <f>SUM('- 52 -'!$G51,'- 54 -'!$F51,B51:E51)</f>
        <v>0</v>
      </c>
    </row>
    <row r="52" spans="1:6" ht="50.1" customHeight="1" x14ac:dyDescent="0.2">
      <c r="A52" s="19"/>
      <c r="B52" s="19"/>
      <c r="C52" s="19"/>
      <c r="D52" s="19"/>
      <c r="E52" s="19"/>
      <c r="F52" s="19"/>
    </row>
    <row r="53" spans="1:6" x14ac:dyDescent="0.2">
      <c r="A53" s="780" t="s">
        <v>498</v>
      </c>
      <c r="B53" s="780"/>
      <c r="C53" s="780"/>
      <c r="D53" s="780"/>
      <c r="E53" s="780"/>
      <c r="F53" s="780"/>
    </row>
    <row r="54" spans="1:6" ht="12" customHeight="1" x14ac:dyDescent="0.2">
      <c r="A54" s="781"/>
      <c r="B54" s="781"/>
      <c r="C54" s="781"/>
      <c r="D54" s="781"/>
      <c r="E54" s="781"/>
      <c r="F54" s="781"/>
    </row>
    <row r="55" spans="1:6" ht="12" customHeight="1" x14ac:dyDescent="0.2">
      <c r="A55" s="782" t="str">
        <f>"(2)  Additional Equalization is provided to specifically assist school divisions or districts that have both higher than average tax effort and lower
       than average assessment per pupil. Please see "&amp;'- 60 -'!C9&amp;" Funding of Schools Booklet for more information."</f>
        <v>(2)  Additional Equalization is provided to specifically assist school divisions or districts that have both higher than average tax effort and lower
       than average assessment per pupil. Please see 2018/19 Funding of Schools Booklet for more information.</v>
      </c>
      <c r="B55" s="782"/>
      <c r="C55" s="782"/>
      <c r="D55" s="782"/>
      <c r="E55" s="782"/>
      <c r="F55" s="782"/>
    </row>
    <row r="56" spans="1:6" ht="12" customHeight="1" x14ac:dyDescent="0.2">
      <c r="A56" s="782"/>
      <c r="B56" s="782"/>
      <c r="C56" s="782"/>
      <c r="D56" s="782"/>
      <c r="E56" s="782"/>
      <c r="F56" s="782"/>
    </row>
    <row r="57" spans="1:6" ht="12" customHeight="1" x14ac:dyDescent="0.2">
      <c r="A57" s="356" t="s">
        <v>600</v>
      </c>
    </row>
    <row r="58" spans="1:6" ht="12" customHeight="1" x14ac:dyDescent="0.2">
      <c r="A58" s="2" t="s">
        <v>607</v>
      </c>
    </row>
    <row r="59" spans="1:6" ht="14.45" customHeight="1" x14ac:dyDescent="0.2"/>
  </sheetData>
  <mergeCells count="9">
    <mergeCell ref="A53:F54"/>
    <mergeCell ref="A55:F56"/>
    <mergeCell ref="B5:F5"/>
    <mergeCell ref="B6:F6"/>
    <mergeCell ref="B8:B9"/>
    <mergeCell ref="C7:C9"/>
    <mergeCell ref="D8: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AY62"/>
  <sheetViews>
    <sheetView showGridLines="0" showZeros="0" workbookViewId="0"/>
  </sheetViews>
  <sheetFormatPr defaultColWidth="14.83203125" defaultRowHeight="12" x14ac:dyDescent="0.2"/>
  <cols>
    <col min="1" max="1" width="32.83203125" style="1" customWidth="1"/>
    <col min="2" max="4" width="22.6640625" style="1" customWidth="1"/>
    <col min="5" max="5" width="14.83203125" style="1" hidden="1" customWidth="1"/>
    <col min="6" max="6" width="32.83203125" style="1" customWidth="1"/>
    <col min="7" max="16384" width="14.83203125" style="1"/>
  </cols>
  <sheetData>
    <row r="1" spans="1:51" ht="6.95" customHeight="1" x14ac:dyDescent="0.2">
      <c r="A1" s="3"/>
      <c r="B1" s="4"/>
    </row>
    <row r="2" spans="1:51" ht="18" customHeight="1" x14ac:dyDescent="0.2">
      <c r="A2" s="219"/>
      <c r="B2" s="785" t="s">
        <v>588</v>
      </c>
      <c r="C2" s="786"/>
      <c r="D2" s="786"/>
      <c r="E2" s="364"/>
      <c r="F2" s="364" t="s">
        <v>226</v>
      </c>
      <c r="AX2" s="482" t="str">
        <f>"ADMINISTRATION EXPENSES (1) "&amp;YEAR&amp;"/"&amp;YEAR+1&amp;" BUDGET"</f>
        <v>ADMINISTRATION EXPENSES (1) 2018/2019 BUDGET</v>
      </c>
      <c r="AY2" s="456" t="str">
        <f>"DÉPENSES ADMINISTRATIVES (1) – BUDGET "&amp;YEAR&amp;" - "&amp;YEAR+1</f>
        <v>DÉPENSES ADMINISTRATIVES (1) – BUDGET 2018 - 2019</v>
      </c>
    </row>
    <row r="3" spans="1:51" ht="3.95" customHeight="1" x14ac:dyDescent="0.2">
      <c r="A3" s="220"/>
      <c r="B3" s="221"/>
      <c r="C3" s="221"/>
      <c r="D3" s="228"/>
    </row>
    <row r="4" spans="1:51" ht="15" customHeight="1" x14ac:dyDescent="0.2">
      <c r="A4" s="220"/>
      <c r="B4" s="164"/>
    </row>
    <row r="5" spans="1:51" ht="14.1" customHeight="1" x14ac:dyDescent="0.2">
      <c r="A5" s="224"/>
      <c r="B5" s="787" t="s">
        <v>547</v>
      </c>
      <c r="C5" s="788"/>
      <c r="D5" s="789"/>
    </row>
    <row r="6" spans="1:51" ht="14.1" customHeight="1" x14ac:dyDescent="0.2">
      <c r="A6" s="224"/>
      <c r="B6" s="226"/>
      <c r="C6" s="727" t="s">
        <v>546</v>
      </c>
      <c r="D6" s="226"/>
    </row>
    <row r="7" spans="1:51" ht="18.75" customHeight="1" x14ac:dyDescent="0.2">
      <c r="A7" s="224"/>
      <c r="B7" s="226"/>
      <c r="C7" s="775"/>
      <c r="D7" s="226"/>
    </row>
    <row r="8" spans="1:51" ht="14.1" customHeight="1" x14ac:dyDescent="0.2">
      <c r="A8" s="224"/>
      <c r="B8" s="775" t="s">
        <v>545</v>
      </c>
      <c r="C8" s="775"/>
      <c r="D8" s="775" t="s">
        <v>548</v>
      </c>
    </row>
    <row r="9" spans="1:51" ht="14.1" customHeight="1" x14ac:dyDescent="0.2">
      <c r="A9" s="12"/>
      <c r="B9" s="775"/>
      <c r="C9" s="775"/>
      <c r="D9" s="775"/>
    </row>
    <row r="10" spans="1:51" ht="14.1" customHeight="1" x14ac:dyDescent="0.2">
      <c r="A10" s="13" t="s">
        <v>37</v>
      </c>
      <c r="B10" s="776"/>
      <c r="C10" s="776"/>
      <c r="D10" s="776"/>
      <c r="F10" s="128"/>
    </row>
    <row r="11" spans="1:51" ht="5.0999999999999996" customHeight="1" x14ac:dyDescent="0.2">
      <c r="A11" s="14"/>
    </row>
    <row r="12" spans="1:51" ht="13.5" customHeight="1" x14ac:dyDescent="0.2">
      <c r="A12" s="271" t="s">
        <v>108</v>
      </c>
      <c r="B12" s="272">
        <v>659087</v>
      </c>
      <c r="C12" s="272">
        <f>-Data!M11-Data!N11-Data!O11-Data!P11</f>
        <v>-41150</v>
      </c>
      <c r="D12" s="272">
        <f>SUM(B12:C12)</f>
        <v>617937</v>
      </c>
      <c r="E12" s="329">
        <v>617937</v>
      </c>
      <c r="F12" s="1">
        <f>D12-E12</f>
        <v>0</v>
      </c>
    </row>
    <row r="13" spans="1:51" ht="13.5" customHeight="1" x14ac:dyDescent="0.2">
      <c r="A13" s="15" t="s">
        <v>109</v>
      </c>
      <c r="B13" s="16">
        <v>1244993</v>
      </c>
      <c r="C13" s="16">
        <f>-Data!M12-Data!N12-Data!O12-Data!P12</f>
        <v>-45000</v>
      </c>
      <c r="D13" s="16">
        <f t="shared" ref="D13:D47" si="0">SUM(B13:C13)</f>
        <v>1199993</v>
      </c>
      <c r="E13" s="330">
        <v>1199993</v>
      </c>
      <c r="F13" s="1">
        <f t="shared" ref="F13:F49" si="1">D13-E13</f>
        <v>0</v>
      </c>
    </row>
    <row r="14" spans="1:51" ht="13.5" customHeight="1" x14ac:dyDescent="0.2">
      <c r="A14" s="271" t="s">
        <v>110</v>
      </c>
      <c r="B14" s="272">
        <v>3245900</v>
      </c>
      <c r="C14" s="272">
        <f>-Data!M13-Data!N13-Data!O13-Data!P13</f>
        <v>-133900</v>
      </c>
      <c r="D14" s="272">
        <f t="shared" si="0"/>
        <v>3112000</v>
      </c>
      <c r="E14" s="329">
        <v>3112000</v>
      </c>
      <c r="F14" s="1">
        <f t="shared" si="1"/>
        <v>0</v>
      </c>
    </row>
    <row r="15" spans="1:51" ht="13.5" customHeight="1" x14ac:dyDescent="0.2">
      <c r="A15" s="15" t="s">
        <v>319</v>
      </c>
      <c r="B15" s="16"/>
      <c r="C15" s="16">
        <f>-Data!M14-Data!N14-Data!O14</f>
        <v>0</v>
      </c>
      <c r="D15" s="16"/>
      <c r="E15" s="330"/>
      <c r="F15" s="1">
        <f t="shared" si="1"/>
        <v>0</v>
      </c>
    </row>
    <row r="16" spans="1:51" ht="13.5" customHeight="1" x14ac:dyDescent="0.2">
      <c r="A16" s="271" t="s">
        <v>111</v>
      </c>
      <c r="B16" s="272">
        <v>793985</v>
      </c>
      <c r="C16" s="272">
        <f>-Data!M15-Data!N15-Data!O15-Data!P15</f>
        <v>-46000</v>
      </c>
      <c r="D16" s="272">
        <f t="shared" si="0"/>
        <v>747985</v>
      </c>
      <c r="E16" s="329">
        <v>747985</v>
      </c>
      <c r="F16" s="1">
        <f t="shared" si="1"/>
        <v>0</v>
      </c>
    </row>
    <row r="17" spans="1:6" ht="13.5" customHeight="1" x14ac:dyDescent="0.2">
      <c r="A17" s="15" t="s">
        <v>112</v>
      </c>
      <c r="B17" s="16">
        <v>652043</v>
      </c>
      <c r="C17" s="16">
        <f>-Data!M16-Data!N16-Data!O16-Data!P16</f>
        <v>-30000</v>
      </c>
      <c r="D17" s="16">
        <f t="shared" si="0"/>
        <v>622043</v>
      </c>
      <c r="E17" s="330">
        <v>622043</v>
      </c>
      <c r="F17" s="1">
        <f t="shared" si="1"/>
        <v>0</v>
      </c>
    </row>
    <row r="18" spans="1:6" ht="13.5" customHeight="1" x14ac:dyDescent="0.2">
      <c r="A18" s="271" t="s">
        <v>113</v>
      </c>
      <c r="B18" s="272">
        <v>699820</v>
      </c>
      <c r="C18" s="272">
        <f>-Data!M17-Data!N17-Data!O17-Data!P17</f>
        <v>-35200</v>
      </c>
      <c r="D18" s="272">
        <f t="shared" si="0"/>
        <v>664620</v>
      </c>
      <c r="E18" s="329">
        <v>664620</v>
      </c>
      <c r="F18" s="1">
        <f t="shared" si="1"/>
        <v>0</v>
      </c>
    </row>
    <row r="19" spans="1:6" ht="13.5" customHeight="1" x14ac:dyDescent="0.2">
      <c r="A19" s="15" t="s">
        <v>114</v>
      </c>
      <c r="B19" s="16"/>
      <c r="C19" s="16">
        <f>-Data!M18-Data!N18-Data!O18</f>
        <v>0</v>
      </c>
      <c r="D19" s="16"/>
      <c r="E19" s="330"/>
      <c r="F19" s="1">
        <f t="shared" si="1"/>
        <v>0</v>
      </c>
    </row>
    <row r="20" spans="1:6" ht="13.5" customHeight="1" x14ac:dyDescent="0.2">
      <c r="A20" s="271" t="s">
        <v>115</v>
      </c>
      <c r="B20" s="272">
        <v>1549100</v>
      </c>
      <c r="C20" s="272">
        <f>-Data!M19-Data!N19-Data!O19-Data!P19</f>
        <v>-57000</v>
      </c>
      <c r="D20" s="272">
        <f t="shared" si="0"/>
        <v>1492100</v>
      </c>
      <c r="E20" s="329">
        <v>1492100</v>
      </c>
      <c r="F20" s="1">
        <f t="shared" si="1"/>
        <v>0</v>
      </c>
    </row>
    <row r="21" spans="1:6" ht="13.5" customHeight="1" x14ac:dyDescent="0.2">
      <c r="A21" s="15" t="s">
        <v>116</v>
      </c>
      <c r="B21" s="16">
        <v>2436300</v>
      </c>
      <c r="C21" s="16">
        <f>-Data!M20-Data!N20-Data!O20-Data!P20</f>
        <v>-109500</v>
      </c>
      <c r="D21" s="16">
        <f t="shared" si="0"/>
        <v>2326800</v>
      </c>
      <c r="E21" s="330">
        <v>2326800</v>
      </c>
      <c r="F21" s="1">
        <f t="shared" si="1"/>
        <v>0</v>
      </c>
    </row>
    <row r="22" spans="1:6" ht="13.5" customHeight="1" x14ac:dyDescent="0.2">
      <c r="A22" s="271" t="s">
        <v>117</v>
      </c>
      <c r="B22" s="272">
        <v>1329000</v>
      </c>
      <c r="C22" s="272">
        <f>-Data!M21-Data!N21-Data!O21-Data!P21</f>
        <v>-59000</v>
      </c>
      <c r="D22" s="272">
        <f t="shared" si="0"/>
        <v>1270000</v>
      </c>
      <c r="E22" s="329">
        <v>1270000</v>
      </c>
      <c r="F22" s="1">
        <f t="shared" si="1"/>
        <v>0</v>
      </c>
    </row>
    <row r="23" spans="1:6" ht="13.5" customHeight="1" x14ac:dyDescent="0.2">
      <c r="A23" s="15" t="s">
        <v>118</v>
      </c>
      <c r="B23" s="16">
        <v>847630</v>
      </c>
      <c r="C23" s="16">
        <f>-Data!M22-Data!N22-Data!O22-Data!P22</f>
        <v>-32000</v>
      </c>
      <c r="D23" s="16">
        <f t="shared" si="0"/>
        <v>815630</v>
      </c>
      <c r="E23" s="330">
        <v>815630</v>
      </c>
      <c r="F23" s="1">
        <f t="shared" si="1"/>
        <v>0</v>
      </c>
    </row>
    <row r="24" spans="1:6" ht="13.5" customHeight="1" x14ac:dyDescent="0.2">
      <c r="A24" s="271" t="s">
        <v>119</v>
      </c>
      <c r="B24" s="272">
        <v>640250</v>
      </c>
      <c r="C24" s="272">
        <f>-Data!M23-Data!N23-Data!O23-Data!P23</f>
        <v>-33000</v>
      </c>
      <c r="D24" s="272">
        <f t="shared" si="0"/>
        <v>607250</v>
      </c>
      <c r="E24" s="329">
        <v>607250</v>
      </c>
      <c r="F24" s="1">
        <f t="shared" si="1"/>
        <v>0</v>
      </c>
    </row>
    <row r="25" spans="1:6" ht="13.5" customHeight="1" x14ac:dyDescent="0.2">
      <c r="A25" s="15" t="s">
        <v>120</v>
      </c>
      <c r="B25" s="16">
        <v>1974465</v>
      </c>
      <c r="C25" s="16">
        <f>-Data!M24-Data!N24-Data!O24-Data!P24</f>
        <v>-112660</v>
      </c>
      <c r="D25" s="16">
        <f t="shared" si="0"/>
        <v>1861805</v>
      </c>
      <c r="E25" s="330">
        <v>1861805</v>
      </c>
      <c r="F25" s="1">
        <f t="shared" si="1"/>
        <v>0</v>
      </c>
    </row>
    <row r="26" spans="1:6" ht="13.5" customHeight="1" x14ac:dyDescent="0.2">
      <c r="A26" s="271" t="s">
        <v>121</v>
      </c>
      <c r="B26" s="272">
        <v>6236174</v>
      </c>
      <c r="C26" s="272">
        <f>-Data!M25-Data!N25-Data!O25-Data!P25</f>
        <v>-942974</v>
      </c>
      <c r="D26" s="272">
        <f t="shared" si="0"/>
        <v>5293200</v>
      </c>
      <c r="E26" s="329">
        <v>5293200</v>
      </c>
      <c r="F26" s="1">
        <f t="shared" si="1"/>
        <v>0</v>
      </c>
    </row>
    <row r="27" spans="1:6" ht="13.5" customHeight="1" x14ac:dyDescent="0.2">
      <c r="A27" s="15" t="s">
        <v>122</v>
      </c>
      <c r="B27" s="16">
        <v>1405416</v>
      </c>
      <c r="C27" s="16">
        <f>-Data!M26-Data!N26-Data!O26-Data!P26</f>
        <v>-59000</v>
      </c>
      <c r="D27" s="16">
        <f t="shared" si="0"/>
        <v>1346416</v>
      </c>
      <c r="E27" s="330">
        <v>1346416</v>
      </c>
      <c r="F27" s="1">
        <f t="shared" si="1"/>
        <v>0</v>
      </c>
    </row>
    <row r="28" spans="1:6" ht="13.5" customHeight="1" x14ac:dyDescent="0.2">
      <c r="A28" s="271" t="s">
        <v>123</v>
      </c>
      <c r="B28" s="272">
        <v>1906481</v>
      </c>
      <c r="C28" s="272">
        <f>-Data!M27-Data!N27-Data!O27-Data!P27</f>
        <v>-106000</v>
      </c>
      <c r="D28" s="272">
        <f t="shared" si="0"/>
        <v>1800481</v>
      </c>
      <c r="E28" s="329">
        <v>1800481</v>
      </c>
      <c r="F28" s="1">
        <f t="shared" si="1"/>
        <v>0</v>
      </c>
    </row>
    <row r="29" spans="1:6" ht="13.5" customHeight="1" x14ac:dyDescent="0.2">
      <c r="A29" s="15" t="s">
        <v>124</v>
      </c>
      <c r="B29" s="16">
        <v>1152458</v>
      </c>
      <c r="C29" s="16">
        <f>-Data!M28-Data!N28-Data!O28-Data!P28</f>
        <v>-238704</v>
      </c>
      <c r="D29" s="16">
        <f t="shared" si="0"/>
        <v>913754</v>
      </c>
      <c r="E29" s="330">
        <v>913754</v>
      </c>
      <c r="F29" s="1">
        <f t="shared" si="1"/>
        <v>0</v>
      </c>
    </row>
    <row r="30" spans="1:6" ht="13.5" customHeight="1" x14ac:dyDescent="0.2">
      <c r="A30" s="271" t="s">
        <v>125</v>
      </c>
      <c r="B30" s="272">
        <v>6216318</v>
      </c>
      <c r="C30" s="272">
        <f>-Data!M29-Data!N29-Data!O29-Data!P29</f>
        <v>-1158805</v>
      </c>
      <c r="D30" s="272">
        <f t="shared" si="0"/>
        <v>5057513</v>
      </c>
      <c r="E30" s="329">
        <v>5057513</v>
      </c>
      <c r="F30" s="1">
        <f t="shared" si="1"/>
        <v>0</v>
      </c>
    </row>
    <row r="31" spans="1:6" ht="13.5" customHeight="1" x14ac:dyDescent="0.2">
      <c r="A31" s="15" t="s">
        <v>126</v>
      </c>
      <c r="B31" s="16">
        <v>578296</v>
      </c>
      <c r="C31" s="16">
        <f>-Data!M30-Data!N30-Data!O30-Data!P30</f>
        <v>-35900</v>
      </c>
      <c r="D31" s="16">
        <f t="shared" si="0"/>
        <v>542396</v>
      </c>
      <c r="E31" s="330">
        <v>542396</v>
      </c>
      <c r="F31" s="1">
        <f t="shared" si="1"/>
        <v>0</v>
      </c>
    </row>
    <row r="32" spans="1:6" ht="13.5" customHeight="1" x14ac:dyDescent="0.2">
      <c r="A32" s="271" t="s">
        <v>127</v>
      </c>
      <c r="B32" s="272">
        <v>1241620</v>
      </c>
      <c r="C32" s="272">
        <f>-Data!M31-Data!N31-Data!O31-Data!P31</f>
        <v>-47000</v>
      </c>
      <c r="D32" s="272">
        <f t="shared" si="0"/>
        <v>1194620</v>
      </c>
      <c r="E32" s="329">
        <v>1194620</v>
      </c>
      <c r="F32" s="1">
        <f t="shared" si="1"/>
        <v>0</v>
      </c>
    </row>
    <row r="33" spans="1:6" ht="13.5" customHeight="1" x14ac:dyDescent="0.2">
      <c r="A33" s="15" t="s">
        <v>128</v>
      </c>
      <c r="B33" s="16">
        <v>1106443</v>
      </c>
      <c r="C33" s="16">
        <f>-Data!M32-Data!N32-Data!O32-Data!P32</f>
        <v>-32000</v>
      </c>
      <c r="D33" s="16">
        <f t="shared" si="0"/>
        <v>1074443</v>
      </c>
      <c r="E33" s="330">
        <v>1074443</v>
      </c>
      <c r="F33" s="1">
        <f t="shared" si="1"/>
        <v>0</v>
      </c>
    </row>
    <row r="34" spans="1:6" ht="13.5" customHeight="1" x14ac:dyDescent="0.2">
      <c r="A34" s="271" t="s">
        <v>129</v>
      </c>
      <c r="B34" s="272">
        <v>910625</v>
      </c>
      <c r="C34" s="272">
        <f>-Data!M33-Data!N33-Data!O33-Data!P33</f>
        <v>-65500</v>
      </c>
      <c r="D34" s="272">
        <f t="shared" si="0"/>
        <v>845125</v>
      </c>
      <c r="E34" s="329">
        <v>845125</v>
      </c>
      <c r="F34" s="1">
        <f t="shared" si="1"/>
        <v>0</v>
      </c>
    </row>
    <row r="35" spans="1:6" ht="13.5" customHeight="1" x14ac:dyDescent="0.2">
      <c r="A35" s="15" t="s">
        <v>130</v>
      </c>
      <c r="B35" s="16">
        <v>1141025</v>
      </c>
      <c r="C35" s="16">
        <f>-Data!M34-Data!N34-Data!O34-Data!P34</f>
        <v>-44000</v>
      </c>
      <c r="D35" s="16">
        <f t="shared" si="0"/>
        <v>1097025</v>
      </c>
      <c r="E35" s="330">
        <v>1097025</v>
      </c>
      <c r="F35" s="1">
        <f t="shared" si="1"/>
        <v>0</v>
      </c>
    </row>
    <row r="36" spans="1:6" ht="13.5" customHeight="1" x14ac:dyDescent="0.2">
      <c r="A36" s="271" t="s">
        <v>131</v>
      </c>
      <c r="B36" s="272">
        <v>5134185</v>
      </c>
      <c r="C36" s="272">
        <f>-Data!M35-Data!N35-Data!O35-Data!P35</f>
        <v>-125000</v>
      </c>
      <c r="D36" s="272">
        <f t="shared" si="0"/>
        <v>5009185</v>
      </c>
      <c r="E36" s="329">
        <v>5009185</v>
      </c>
      <c r="F36" s="1">
        <f t="shared" si="1"/>
        <v>0</v>
      </c>
    </row>
    <row r="37" spans="1:6" ht="13.5" customHeight="1" x14ac:dyDescent="0.2">
      <c r="A37" s="15" t="s">
        <v>132</v>
      </c>
      <c r="B37" s="16">
        <v>925160</v>
      </c>
      <c r="C37" s="16">
        <f>-Data!M36-Data!N36-Data!O36-Data!P36</f>
        <v>-60000</v>
      </c>
      <c r="D37" s="16">
        <f t="shared" si="0"/>
        <v>865160</v>
      </c>
      <c r="E37" s="330">
        <v>865160</v>
      </c>
      <c r="F37" s="1">
        <f t="shared" si="1"/>
        <v>0</v>
      </c>
    </row>
    <row r="38" spans="1:6" ht="13.5" customHeight="1" x14ac:dyDescent="0.2">
      <c r="A38" s="271" t="s">
        <v>133</v>
      </c>
      <c r="B38" s="272">
        <v>1716100</v>
      </c>
      <c r="C38" s="272">
        <f>-Data!M37-Data!N37-Data!O37-Data!P37</f>
        <v>-50000</v>
      </c>
      <c r="D38" s="272">
        <f t="shared" si="0"/>
        <v>1666100</v>
      </c>
      <c r="E38" s="329">
        <v>1666100</v>
      </c>
      <c r="F38" s="1">
        <f t="shared" si="1"/>
        <v>0</v>
      </c>
    </row>
    <row r="39" spans="1:6" ht="13.5" customHeight="1" x14ac:dyDescent="0.2">
      <c r="A39" s="15" t="s">
        <v>134</v>
      </c>
      <c r="B39" s="16">
        <v>4246990</v>
      </c>
      <c r="C39" s="16">
        <f>-Data!M38-Data!N38-Data!O38-Data!P38</f>
        <v>-86500</v>
      </c>
      <c r="D39" s="16">
        <f t="shared" si="0"/>
        <v>4160490</v>
      </c>
      <c r="E39" s="330">
        <v>4160490</v>
      </c>
      <c r="F39" s="1">
        <f t="shared" si="1"/>
        <v>0</v>
      </c>
    </row>
    <row r="40" spans="1:6" ht="13.5" customHeight="1" x14ac:dyDescent="0.2">
      <c r="A40" s="271" t="s">
        <v>135</v>
      </c>
      <c r="B40" s="272">
        <v>890400</v>
      </c>
      <c r="C40" s="272">
        <f>-Data!M39-Data!N39-Data!O39-Data!P39</f>
        <v>-62500</v>
      </c>
      <c r="D40" s="272">
        <f t="shared" si="0"/>
        <v>827900</v>
      </c>
      <c r="E40" s="329">
        <v>827900</v>
      </c>
      <c r="F40" s="1">
        <f t="shared" si="1"/>
        <v>0</v>
      </c>
    </row>
    <row r="41" spans="1:6" ht="13.5" customHeight="1" x14ac:dyDescent="0.2">
      <c r="A41" s="15" t="s">
        <v>136</v>
      </c>
      <c r="B41" s="16">
        <v>3676148</v>
      </c>
      <c r="C41" s="16">
        <f>-Data!M40-Data!N40-Data!O40-Data!P40</f>
        <v>-392141</v>
      </c>
      <c r="D41" s="16">
        <f t="shared" si="0"/>
        <v>3284007</v>
      </c>
      <c r="E41" s="330">
        <v>3284007</v>
      </c>
      <c r="F41" s="1">
        <f t="shared" si="1"/>
        <v>0</v>
      </c>
    </row>
    <row r="42" spans="1:6" ht="13.5" customHeight="1" x14ac:dyDescent="0.2">
      <c r="A42" s="271" t="s">
        <v>137</v>
      </c>
      <c r="B42" s="272">
        <v>2125543</v>
      </c>
      <c r="C42" s="272">
        <f>-Data!M41-Data!N41-Data!O41-Data!P41</f>
        <v>-102579</v>
      </c>
      <c r="D42" s="272">
        <f t="shared" si="0"/>
        <v>2022964</v>
      </c>
      <c r="E42" s="329">
        <v>2022964</v>
      </c>
      <c r="F42" s="1">
        <f t="shared" si="1"/>
        <v>0</v>
      </c>
    </row>
    <row r="43" spans="1:6" ht="13.5" customHeight="1" x14ac:dyDescent="0.2">
      <c r="A43" s="15" t="s">
        <v>138</v>
      </c>
      <c r="B43" s="16">
        <v>779999</v>
      </c>
      <c r="C43" s="16">
        <f>-Data!M42-Data!N42-Data!O42-Data!P42</f>
        <v>-32334</v>
      </c>
      <c r="D43" s="16">
        <f t="shared" si="0"/>
        <v>747665</v>
      </c>
      <c r="E43" s="330">
        <v>747665</v>
      </c>
      <c r="F43" s="1">
        <f t="shared" si="1"/>
        <v>0</v>
      </c>
    </row>
    <row r="44" spans="1:6" ht="13.5" customHeight="1" x14ac:dyDescent="0.2">
      <c r="A44" s="271" t="s">
        <v>139</v>
      </c>
      <c r="B44" s="272">
        <v>499710</v>
      </c>
      <c r="C44" s="272">
        <f>-Data!M43-Data!N43-Data!O43-Data!P43</f>
        <v>-23000</v>
      </c>
      <c r="D44" s="272">
        <f t="shared" si="0"/>
        <v>476710</v>
      </c>
      <c r="E44" s="329">
        <v>476710</v>
      </c>
      <c r="F44" s="1">
        <f t="shared" si="1"/>
        <v>0</v>
      </c>
    </row>
    <row r="45" spans="1:6" ht="13.5" customHeight="1" x14ac:dyDescent="0.2">
      <c r="A45" s="15" t="s">
        <v>140</v>
      </c>
      <c r="B45" s="16">
        <v>400459</v>
      </c>
      <c r="C45" s="16">
        <f>-Data!M44-Data!N44-Data!O44-Data!P44</f>
        <v>-21100</v>
      </c>
      <c r="D45" s="16">
        <f t="shared" si="0"/>
        <v>379359</v>
      </c>
      <c r="E45" s="330">
        <v>379359</v>
      </c>
      <c r="F45" s="1">
        <f t="shared" si="1"/>
        <v>0</v>
      </c>
    </row>
    <row r="46" spans="1:6" ht="13.5" customHeight="1" x14ac:dyDescent="0.2">
      <c r="A46" s="271" t="s">
        <v>141</v>
      </c>
      <c r="B46" s="272">
        <v>766640</v>
      </c>
      <c r="C46" s="272">
        <f>-Data!M45-Data!N45-Data!O45-Data!P45</f>
        <v>-46500</v>
      </c>
      <c r="D46" s="272">
        <f t="shared" si="0"/>
        <v>720140</v>
      </c>
      <c r="E46" s="329">
        <v>720140</v>
      </c>
      <c r="F46" s="1">
        <f t="shared" si="1"/>
        <v>0</v>
      </c>
    </row>
    <row r="47" spans="1:6" ht="13.5" customHeight="1" x14ac:dyDescent="0.2">
      <c r="A47" s="15" t="s">
        <v>142</v>
      </c>
      <c r="B47" s="16">
        <v>11712800</v>
      </c>
      <c r="C47" s="16">
        <f>-Data!M46-Data!N46-Data!O46-Data!P46</f>
        <v>-440000</v>
      </c>
      <c r="D47" s="16">
        <f t="shared" si="0"/>
        <v>11272800</v>
      </c>
      <c r="E47" s="330">
        <v>11272800</v>
      </c>
      <c r="F47" s="1">
        <f t="shared" si="1"/>
        <v>0</v>
      </c>
    </row>
    <row r="48" spans="1:6" ht="5.0999999999999996" customHeight="1" x14ac:dyDescent="0.2">
      <c r="A48"/>
      <c r="B48"/>
      <c r="C48"/>
      <c r="D48"/>
      <c r="E48" s="331"/>
    </row>
    <row r="49" spans="1:6" ht="13.5" customHeight="1" x14ac:dyDescent="0.2">
      <c r="A49" s="274" t="s">
        <v>143</v>
      </c>
      <c r="B49" s="275">
        <f>SUM(B12:B47)</f>
        <v>70841563</v>
      </c>
      <c r="C49" s="275">
        <f>SUM(C12:C47)</f>
        <v>-4905947</v>
      </c>
      <c r="D49" s="275">
        <f>SUM(D12:D47)</f>
        <v>65935616</v>
      </c>
      <c r="E49" s="332">
        <f>SUM(E12:E47)</f>
        <v>65935616</v>
      </c>
      <c r="F49" s="1">
        <f t="shared" si="1"/>
        <v>0</v>
      </c>
    </row>
    <row r="50" spans="1:6" ht="5.0999999999999996" customHeight="1" x14ac:dyDescent="0.2">
      <c r="A50" s="17" t="s">
        <v>1</v>
      </c>
      <c r="B50" s="18"/>
      <c r="C50" s="18"/>
      <c r="D50" s="18"/>
      <c r="E50" s="333"/>
    </row>
    <row r="51" spans="1:6" ht="13.5" customHeight="1" x14ac:dyDescent="0.2">
      <c r="A51" s="15" t="s">
        <v>144</v>
      </c>
      <c r="B51" s="16"/>
      <c r="C51" s="16">
        <f>-Data!M50-Data!N50-Data!O50-Data!P50</f>
        <v>0</v>
      </c>
      <c r="D51" s="16"/>
      <c r="E51" s="330">
        <v>145950</v>
      </c>
    </row>
    <row r="52" spans="1:6" ht="13.5" customHeight="1" x14ac:dyDescent="0.2">
      <c r="A52" s="360" t="s">
        <v>514</v>
      </c>
      <c r="B52" s="272"/>
      <c r="C52" s="272">
        <f>-Data!M51-Data!N51-Data!O51-Data!P51</f>
        <v>0</v>
      </c>
      <c r="D52" s="272"/>
      <c r="E52" s="329"/>
      <c r="F52" s="1">
        <f>D52-E52</f>
        <v>0</v>
      </c>
    </row>
    <row r="53" spans="1:6" ht="45.75" customHeight="1" x14ac:dyDescent="0.2">
      <c r="A53" s="19"/>
      <c r="B53" s="19"/>
      <c r="C53" s="19"/>
      <c r="D53" s="19"/>
      <c r="E53" s="19"/>
      <c r="F53" s="19"/>
    </row>
    <row r="54" spans="1:6" x14ac:dyDescent="0.2">
      <c r="A54" s="751" t="s">
        <v>608</v>
      </c>
      <c r="B54" s="751"/>
      <c r="C54" s="751"/>
      <c r="D54" s="751"/>
      <c r="E54" s="751"/>
      <c r="F54" s="751"/>
    </row>
    <row r="55" spans="1:6" ht="12" customHeight="1" x14ac:dyDescent="0.2">
      <c r="A55" s="784"/>
      <c r="B55" s="784"/>
      <c r="C55" s="784"/>
      <c r="D55" s="784"/>
      <c r="E55" s="784"/>
      <c r="F55" s="784"/>
    </row>
    <row r="56" spans="1:6" ht="12" customHeight="1" x14ac:dyDescent="0.2">
      <c r="A56" s="784"/>
      <c r="B56" s="784"/>
      <c r="C56" s="784"/>
      <c r="D56" s="784"/>
      <c r="E56" s="784"/>
      <c r="F56" s="784"/>
    </row>
    <row r="57" spans="1:6" ht="12" customHeight="1" x14ac:dyDescent="0.2">
      <c r="A57" s="784"/>
      <c r="B57" s="784"/>
      <c r="C57" s="784"/>
      <c r="D57" s="784"/>
      <c r="E57" s="784"/>
      <c r="F57" s="784"/>
    </row>
    <row r="58" spans="1:6" x14ac:dyDescent="0.2">
      <c r="A58" s="784"/>
      <c r="B58" s="784"/>
      <c r="C58" s="784"/>
      <c r="D58" s="784"/>
      <c r="E58" s="784"/>
      <c r="F58" s="784"/>
    </row>
    <row r="59" spans="1:6" x14ac:dyDescent="0.2">
      <c r="A59" s="784"/>
      <c r="B59" s="784"/>
      <c r="C59" s="784"/>
      <c r="D59" s="784"/>
      <c r="E59" s="784"/>
      <c r="F59" s="784"/>
    </row>
    <row r="60" spans="1:6" ht="12" customHeight="1" x14ac:dyDescent="0.2">
      <c r="A60" s="784"/>
      <c r="B60" s="784"/>
      <c r="C60" s="784"/>
      <c r="D60" s="784"/>
      <c r="E60" s="784"/>
      <c r="F60" s="784"/>
    </row>
    <row r="61" spans="1:6" ht="12" customHeight="1" x14ac:dyDescent="0.2">
      <c r="A61" s="227" t="s">
        <v>323</v>
      </c>
      <c r="B61" s="31"/>
    </row>
    <row r="62" spans="1:6" ht="12" customHeight="1" x14ac:dyDescent="0.2">
      <c r="A62" s="227"/>
    </row>
  </sheetData>
  <mergeCells count="6">
    <mergeCell ref="A54:F60"/>
    <mergeCell ref="B2:D2"/>
    <mergeCell ref="B5:D5"/>
    <mergeCell ref="D8:D10"/>
    <mergeCell ref="B8:B10"/>
    <mergeCell ref="C6:C10"/>
  </mergeCells>
  <phoneticPr fontId="0" type="noConversion"/>
  <printOptions horizontalCentered="1"/>
  <pageMargins left="0.51181102362204722" right="0.51181102362204722" top="0.59055118110236227" bottom="0" header="0.31496062992125984" footer="0"/>
  <pageSetup scale="13"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59"/>
  <sheetViews>
    <sheetView showGridLines="0" showZeros="0" workbookViewId="0"/>
  </sheetViews>
  <sheetFormatPr defaultColWidth="15.83203125" defaultRowHeight="12" x14ac:dyDescent="0.2"/>
  <cols>
    <col min="1" max="1" width="32.83203125" style="1" customWidth="1"/>
    <col min="2" max="3" width="19.83203125" style="1" customWidth="1"/>
    <col min="4" max="4" width="1.83203125" style="1" customWidth="1"/>
    <col min="5" max="6" width="18.83203125" style="1" customWidth="1"/>
    <col min="7" max="16384" width="15.83203125" style="1"/>
  </cols>
  <sheetData>
    <row r="1" spans="1:6" ht="6.95" customHeight="1" x14ac:dyDescent="0.2">
      <c r="A1" s="3"/>
      <c r="B1" s="3"/>
      <c r="C1" s="3"/>
      <c r="D1" s="4"/>
      <c r="E1" s="4"/>
    </row>
    <row r="2" spans="1:6" ht="15.95" customHeight="1" x14ac:dyDescent="0.2">
      <c r="A2" s="33"/>
      <c r="B2" s="5" t="str">
        <f>+'- 6 -'!B2</f>
        <v>FRAME STUDENT STATISTICS</v>
      </c>
      <c r="C2" s="6"/>
      <c r="D2" s="6"/>
      <c r="E2" s="85"/>
      <c r="F2" s="92" t="s">
        <v>5</v>
      </c>
    </row>
    <row r="3" spans="1:6" ht="15.95" customHeight="1" x14ac:dyDescent="0.2">
      <c r="A3" s="37"/>
      <c r="B3" s="7" t="str">
        <f>+STATDATE</f>
        <v>ESTIMATE SEPTEMBER 30, 2018</v>
      </c>
      <c r="C3" s="8"/>
      <c r="D3" s="8"/>
      <c r="E3" s="87"/>
      <c r="F3" s="87"/>
    </row>
    <row r="4" spans="1:6" ht="15.95" customHeight="1" x14ac:dyDescent="0.2">
      <c r="D4" s="4"/>
      <c r="E4" s="4"/>
    </row>
    <row r="5" spans="1:6" ht="15.95" customHeight="1" x14ac:dyDescent="0.2"/>
    <row r="6" spans="1:6" ht="15.95" customHeight="1" x14ac:dyDescent="0.2">
      <c r="B6" s="561" t="s">
        <v>344</v>
      </c>
      <c r="C6" s="562"/>
      <c r="E6" s="559" t="s">
        <v>25</v>
      </c>
    </row>
    <row r="7" spans="1:6" ht="15.95" customHeight="1" x14ac:dyDescent="0.2">
      <c r="B7" s="563"/>
      <c r="C7" s="564"/>
      <c r="E7" s="560"/>
    </row>
    <row r="8" spans="1:6" ht="15.95" customHeight="1" x14ac:dyDescent="0.2">
      <c r="A8" s="24"/>
      <c r="B8" s="565" t="s">
        <v>375</v>
      </c>
      <c r="C8" s="566" t="s">
        <v>25</v>
      </c>
      <c r="D8" s="11"/>
      <c r="E8" s="568" t="s">
        <v>376</v>
      </c>
    </row>
    <row r="9" spans="1:6" ht="15.95" customHeight="1" x14ac:dyDescent="0.2">
      <c r="A9" s="93" t="s">
        <v>37</v>
      </c>
      <c r="B9" s="531"/>
      <c r="C9" s="567"/>
      <c r="D9" s="95"/>
      <c r="E9" s="569"/>
    </row>
    <row r="10" spans="1:6" ht="5.0999999999999996" customHeight="1" x14ac:dyDescent="0.2">
      <c r="A10" s="29"/>
      <c r="B10" s="46"/>
      <c r="C10" s="29"/>
      <c r="D10" s="96"/>
    </row>
    <row r="11" spans="1:6" ht="14.1" customHeight="1" x14ac:dyDescent="0.2">
      <c r="A11" s="271" t="s">
        <v>108</v>
      </c>
      <c r="B11" s="292">
        <v>0</v>
      </c>
      <c r="C11" s="292">
        <f>SUM('- 6 -'!$B11:H11,B11)</f>
        <v>1803.5</v>
      </c>
      <c r="D11" s="97"/>
      <c r="E11" s="292">
        <f>C11</f>
        <v>1803.5</v>
      </c>
    </row>
    <row r="12" spans="1:6" ht="14.1" customHeight="1" x14ac:dyDescent="0.2">
      <c r="A12" s="15" t="s">
        <v>109</v>
      </c>
      <c r="B12" s="47">
        <v>137</v>
      </c>
      <c r="C12" s="47">
        <f>SUM('- 6 -'!$B12:H12,B12)</f>
        <v>2130.5</v>
      </c>
      <c r="D12" s="97"/>
      <c r="E12" s="47">
        <f t="shared" ref="E12:E46" si="0">C12</f>
        <v>2130.5</v>
      </c>
    </row>
    <row r="13" spans="1:6" ht="14.1" customHeight="1" x14ac:dyDescent="0.2">
      <c r="A13" s="271" t="s">
        <v>110</v>
      </c>
      <c r="B13" s="292">
        <v>467</v>
      </c>
      <c r="C13" s="292">
        <f>SUM('- 6 -'!$B13:H13,B13)</f>
        <v>8594</v>
      </c>
      <c r="D13" s="97"/>
      <c r="E13" s="292">
        <f t="shared" si="0"/>
        <v>8594</v>
      </c>
    </row>
    <row r="14" spans="1:6" ht="14.1" customHeight="1" x14ac:dyDescent="0.2">
      <c r="A14" s="15" t="s">
        <v>319</v>
      </c>
      <c r="B14" s="47">
        <v>34</v>
      </c>
      <c r="C14" s="47">
        <f>SUM('- 6 -'!$B14:H14,B14)</f>
        <v>5790</v>
      </c>
      <c r="D14" s="97"/>
      <c r="E14" s="47">
        <f t="shared" si="0"/>
        <v>5790</v>
      </c>
    </row>
    <row r="15" spans="1:6" ht="14.1" customHeight="1" x14ac:dyDescent="0.2">
      <c r="A15" s="271" t="s">
        <v>111</v>
      </c>
      <c r="B15" s="292">
        <v>20</v>
      </c>
      <c r="C15" s="292">
        <f>SUM('- 6 -'!$B15:H15,B15)</f>
        <v>1349</v>
      </c>
      <c r="D15" s="97"/>
      <c r="E15" s="292">
        <f t="shared" si="0"/>
        <v>1349</v>
      </c>
    </row>
    <row r="16" spans="1:6" ht="14.1" customHeight="1" x14ac:dyDescent="0.2">
      <c r="A16" s="15" t="s">
        <v>112</v>
      </c>
      <c r="B16" s="47">
        <v>0</v>
      </c>
      <c r="C16" s="47">
        <f>SUM('- 6 -'!$B16:H16,B16)</f>
        <v>923</v>
      </c>
      <c r="D16" s="97"/>
      <c r="E16" s="47">
        <f t="shared" si="0"/>
        <v>923</v>
      </c>
    </row>
    <row r="17" spans="1:5" ht="14.1" customHeight="1" x14ac:dyDescent="0.2">
      <c r="A17" s="271" t="s">
        <v>113</v>
      </c>
      <c r="B17" s="292">
        <v>20</v>
      </c>
      <c r="C17" s="292">
        <f>SUM('- 6 -'!$B17:H17,B17)</f>
        <v>1394</v>
      </c>
      <c r="D17" s="97"/>
      <c r="E17" s="292">
        <f t="shared" si="0"/>
        <v>1394</v>
      </c>
    </row>
    <row r="18" spans="1:5" ht="14.1" customHeight="1" x14ac:dyDescent="0.2">
      <c r="A18" s="15" t="s">
        <v>114</v>
      </c>
      <c r="B18" s="47">
        <v>55</v>
      </c>
      <c r="C18" s="47">
        <f>SUM('- 6 -'!$B18:H18,B18)</f>
        <v>6135.2</v>
      </c>
      <c r="D18" s="97"/>
      <c r="E18" s="47">
        <f t="shared" si="0"/>
        <v>6135.2</v>
      </c>
    </row>
    <row r="19" spans="1:5" ht="14.1" customHeight="1" x14ac:dyDescent="0.2">
      <c r="A19" s="271" t="s">
        <v>115</v>
      </c>
      <c r="B19" s="292">
        <v>120</v>
      </c>
      <c r="C19" s="292">
        <f>SUM('- 6 -'!$B19:H19,B19)</f>
        <v>4361.5</v>
      </c>
      <c r="D19" s="97"/>
      <c r="E19" s="292">
        <f t="shared" si="0"/>
        <v>4361.5</v>
      </c>
    </row>
    <row r="20" spans="1:5" ht="14.1" customHeight="1" x14ac:dyDescent="0.2">
      <c r="A20" s="15" t="s">
        <v>116</v>
      </c>
      <c r="B20" s="47">
        <v>445.6</v>
      </c>
      <c r="C20" s="47">
        <f>SUM('- 6 -'!$B20:H20,B20)</f>
        <v>7864</v>
      </c>
      <c r="D20" s="97"/>
      <c r="E20" s="47">
        <f t="shared" si="0"/>
        <v>7864</v>
      </c>
    </row>
    <row r="21" spans="1:5" ht="14.1" customHeight="1" x14ac:dyDescent="0.2">
      <c r="A21" s="271" t="s">
        <v>117</v>
      </c>
      <c r="B21" s="292">
        <v>0</v>
      </c>
      <c r="C21" s="292">
        <f>SUM('- 6 -'!$B21:H21,B21)</f>
        <v>2805.5</v>
      </c>
      <c r="D21" s="97"/>
      <c r="E21" s="292">
        <f t="shared" si="0"/>
        <v>2805.5</v>
      </c>
    </row>
    <row r="22" spans="1:5" ht="14.1" customHeight="1" x14ac:dyDescent="0.2">
      <c r="A22" s="15" t="s">
        <v>118</v>
      </c>
      <c r="B22" s="47">
        <v>0</v>
      </c>
      <c r="C22" s="47">
        <f>SUM('- 6 -'!$B22:H22,B22)</f>
        <v>1457.2</v>
      </c>
      <c r="D22" s="97"/>
      <c r="E22" s="47">
        <f t="shared" si="0"/>
        <v>1457.2</v>
      </c>
    </row>
    <row r="23" spans="1:5" ht="14.1" customHeight="1" x14ac:dyDescent="0.2">
      <c r="A23" s="271" t="s">
        <v>119</v>
      </c>
      <c r="B23" s="292">
        <v>14</v>
      </c>
      <c r="C23" s="292">
        <f>SUM('- 6 -'!$B23:H23,B23)</f>
        <v>1040</v>
      </c>
      <c r="D23" s="97"/>
      <c r="E23" s="292">
        <f t="shared" si="0"/>
        <v>1040</v>
      </c>
    </row>
    <row r="24" spans="1:5" ht="14.1" customHeight="1" x14ac:dyDescent="0.2">
      <c r="A24" s="15" t="s">
        <v>120</v>
      </c>
      <c r="B24" s="47">
        <v>247</v>
      </c>
      <c r="C24" s="47">
        <f>SUM('- 6 -'!$B24:H24,B24)</f>
        <v>3776</v>
      </c>
      <c r="D24" s="97"/>
      <c r="E24" s="47">
        <f t="shared" si="0"/>
        <v>3776</v>
      </c>
    </row>
    <row r="25" spans="1:5" ht="14.1" customHeight="1" x14ac:dyDescent="0.2">
      <c r="A25" s="271" t="s">
        <v>121</v>
      </c>
      <c r="B25" s="292">
        <v>119.3</v>
      </c>
      <c r="C25" s="292">
        <f>SUM('- 6 -'!$B25:H25,B25)</f>
        <v>14885</v>
      </c>
      <c r="D25" s="97"/>
      <c r="E25" s="292">
        <f t="shared" si="0"/>
        <v>14885</v>
      </c>
    </row>
    <row r="26" spans="1:5" ht="14.1" customHeight="1" x14ac:dyDescent="0.2">
      <c r="A26" s="15" t="s">
        <v>122</v>
      </c>
      <c r="B26" s="47">
        <v>165.4</v>
      </c>
      <c r="C26" s="47">
        <f>SUM('- 6 -'!$B26:H26,B26)</f>
        <v>2838.5</v>
      </c>
      <c r="D26" s="97"/>
      <c r="E26" s="47">
        <f t="shared" si="0"/>
        <v>2838.5</v>
      </c>
    </row>
    <row r="27" spans="1:5" ht="14.1" customHeight="1" x14ac:dyDescent="0.2">
      <c r="A27" s="271" t="s">
        <v>123</v>
      </c>
      <c r="B27" s="292">
        <v>185.7</v>
      </c>
      <c r="C27" s="292">
        <f>SUM('- 6 -'!$B27:H27,B27)</f>
        <v>3047</v>
      </c>
      <c r="D27" s="97"/>
      <c r="E27" s="292">
        <f t="shared" si="0"/>
        <v>3047</v>
      </c>
    </row>
    <row r="28" spans="1:5" ht="14.1" customHeight="1" x14ac:dyDescent="0.2">
      <c r="A28" s="15" t="s">
        <v>124</v>
      </c>
      <c r="B28" s="47">
        <v>0</v>
      </c>
      <c r="C28" s="47">
        <f>SUM('- 6 -'!$B28:H28,B28)</f>
        <v>1957</v>
      </c>
      <c r="D28" s="97"/>
      <c r="E28" s="47">
        <f t="shared" si="0"/>
        <v>1957</v>
      </c>
    </row>
    <row r="29" spans="1:5" ht="14.1" customHeight="1" x14ac:dyDescent="0.2">
      <c r="A29" s="271" t="s">
        <v>125</v>
      </c>
      <c r="B29" s="292">
        <v>0</v>
      </c>
      <c r="C29" s="292">
        <f>SUM('- 6 -'!$B29:H29,B29)</f>
        <v>13510.9</v>
      </c>
      <c r="D29" s="97"/>
      <c r="E29" s="292">
        <f t="shared" si="0"/>
        <v>13510.9</v>
      </c>
    </row>
    <row r="30" spans="1:5" ht="14.1" customHeight="1" x14ac:dyDescent="0.2">
      <c r="A30" s="15" t="s">
        <v>126</v>
      </c>
      <c r="B30" s="47">
        <v>12</v>
      </c>
      <c r="C30" s="47">
        <f>SUM('- 6 -'!$B30:H30,B30)</f>
        <v>1010</v>
      </c>
      <c r="D30" s="97"/>
      <c r="E30" s="47">
        <f t="shared" si="0"/>
        <v>1010</v>
      </c>
    </row>
    <row r="31" spans="1:5" ht="14.1" customHeight="1" x14ac:dyDescent="0.2">
      <c r="A31" s="271" t="s">
        <v>127</v>
      </c>
      <c r="B31" s="292">
        <v>128</v>
      </c>
      <c r="C31" s="292">
        <f>SUM('- 6 -'!$B31:H31,B31)</f>
        <v>3246.9</v>
      </c>
      <c r="D31" s="97"/>
      <c r="E31" s="292">
        <f t="shared" si="0"/>
        <v>3246.9</v>
      </c>
    </row>
    <row r="32" spans="1:5" ht="14.1" customHeight="1" x14ac:dyDescent="0.2">
      <c r="A32" s="15" t="s">
        <v>128</v>
      </c>
      <c r="B32" s="47">
        <v>0</v>
      </c>
      <c r="C32" s="47">
        <f>SUM('- 6 -'!$B32:H32,B32)</f>
        <v>2263.5</v>
      </c>
      <c r="D32" s="97"/>
      <c r="E32" s="490">
        <f t="shared" si="0"/>
        <v>2263.5</v>
      </c>
    </row>
    <row r="33" spans="1:6" ht="14.1" customHeight="1" x14ac:dyDescent="0.2">
      <c r="A33" s="271" t="s">
        <v>129</v>
      </c>
      <c r="B33" s="292">
        <v>0</v>
      </c>
      <c r="C33" s="292">
        <f>SUM('- 6 -'!$B33:H33,B33)</f>
        <v>2052.5</v>
      </c>
      <c r="D33" s="97"/>
      <c r="E33" s="292">
        <f t="shared" si="0"/>
        <v>2052.5</v>
      </c>
    </row>
    <row r="34" spans="1:6" ht="14.1" customHeight="1" x14ac:dyDescent="0.2">
      <c r="A34" s="15" t="s">
        <v>130</v>
      </c>
      <c r="B34" s="47">
        <v>22.8</v>
      </c>
      <c r="C34" s="47">
        <f>SUM('- 6 -'!$B34:H34,B34)</f>
        <v>2169.3000000000002</v>
      </c>
      <c r="D34" s="97"/>
      <c r="E34" s="47">
        <f t="shared" si="0"/>
        <v>2169.3000000000002</v>
      </c>
    </row>
    <row r="35" spans="1:6" ht="14.1" customHeight="1" x14ac:dyDescent="0.2">
      <c r="A35" s="271" t="s">
        <v>131</v>
      </c>
      <c r="B35" s="292">
        <v>700</v>
      </c>
      <c r="C35" s="292">
        <f>SUM('- 6 -'!$B35:H35,B35)</f>
        <v>16144</v>
      </c>
      <c r="D35" s="97"/>
      <c r="E35" s="292">
        <f t="shared" si="0"/>
        <v>16144</v>
      </c>
    </row>
    <row r="36" spans="1:6" ht="14.1" customHeight="1" x14ac:dyDescent="0.2">
      <c r="A36" s="15" t="s">
        <v>132</v>
      </c>
      <c r="B36" s="47">
        <v>6.3</v>
      </c>
      <c r="C36" s="47">
        <f>SUM('- 6 -'!$B36:H36,B36)</f>
        <v>1702.5</v>
      </c>
      <c r="D36" s="97"/>
      <c r="E36" s="47">
        <f t="shared" si="0"/>
        <v>1702.5</v>
      </c>
    </row>
    <row r="37" spans="1:6" ht="14.1" customHeight="1" x14ac:dyDescent="0.2">
      <c r="A37" s="271" t="s">
        <v>133</v>
      </c>
      <c r="B37" s="292">
        <v>0</v>
      </c>
      <c r="C37" s="292">
        <f>SUM('- 6 -'!$B37:H37,B37)</f>
        <v>4265</v>
      </c>
      <c r="D37" s="97"/>
      <c r="E37" s="292">
        <f t="shared" si="0"/>
        <v>4265</v>
      </c>
    </row>
    <row r="38" spans="1:6" ht="14.1" customHeight="1" x14ac:dyDescent="0.2">
      <c r="A38" s="15" t="s">
        <v>134</v>
      </c>
      <c r="B38" s="47">
        <v>184</v>
      </c>
      <c r="C38" s="47">
        <f>SUM('- 6 -'!$B38:H38,B38)</f>
        <v>11233</v>
      </c>
      <c r="D38" s="97"/>
      <c r="E38" s="47">
        <f t="shared" si="0"/>
        <v>11233</v>
      </c>
    </row>
    <row r="39" spans="1:6" ht="14.1" customHeight="1" x14ac:dyDescent="0.2">
      <c r="A39" s="271" t="s">
        <v>135</v>
      </c>
      <c r="B39" s="292">
        <v>0</v>
      </c>
      <c r="C39" s="292">
        <f>SUM('- 6 -'!$B39:H39,B39)</f>
        <v>1513</v>
      </c>
      <c r="D39" s="97"/>
      <c r="E39" s="292">
        <f t="shared" si="0"/>
        <v>1513</v>
      </c>
    </row>
    <row r="40" spans="1:6" ht="14.1" customHeight="1" x14ac:dyDescent="0.2">
      <c r="A40" s="15" t="s">
        <v>136</v>
      </c>
      <c r="B40" s="47">
        <v>272.07</v>
      </c>
      <c r="C40" s="47">
        <f>SUM('- 6 -'!$B40:H40,B40)</f>
        <v>8351.5</v>
      </c>
      <c r="D40" s="97"/>
      <c r="E40" s="47">
        <f t="shared" si="0"/>
        <v>8351.5</v>
      </c>
    </row>
    <row r="41" spans="1:6" ht="14.1" customHeight="1" x14ac:dyDescent="0.2">
      <c r="A41" s="271" t="s">
        <v>137</v>
      </c>
      <c r="B41" s="292">
        <v>7</v>
      </c>
      <c r="C41" s="292">
        <f>SUM('- 6 -'!$B41:H41,B41)</f>
        <v>4359</v>
      </c>
      <c r="D41" s="97"/>
      <c r="E41" s="292">
        <f t="shared" si="0"/>
        <v>4359</v>
      </c>
    </row>
    <row r="42" spans="1:6" ht="14.1" customHeight="1" x14ac:dyDescent="0.2">
      <c r="A42" s="15" t="s">
        <v>138</v>
      </c>
      <c r="B42" s="47">
        <v>127</v>
      </c>
      <c r="C42" s="47">
        <f>SUM('- 6 -'!$B42:H42,B42)</f>
        <v>1406</v>
      </c>
      <c r="D42" s="97"/>
      <c r="E42" s="47">
        <f t="shared" si="0"/>
        <v>1406</v>
      </c>
    </row>
    <row r="43" spans="1:6" ht="14.1" customHeight="1" x14ac:dyDescent="0.2">
      <c r="A43" s="271" t="s">
        <v>139</v>
      </c>
      <c r="B43" s="292">
        <v>28</v>
      </c>
      <c r="C43" s="292">
        <f>SUM('- 6 -'!$B43:H43,B43)</f>
        <v>949.5</v>
      </c>
      <c r="D43" s="97"/>
      <c r="E43" s="292">
        <f t="shared" si="0"/>
        <v>949.5</v>
      </c>
    </row>
    <row r="44" spans="1:6" ht="14.1" customHeight="1" x14ac:dyDescent="0.2">
      <c r="A44" s="15" t="s">
        <v>140</v>
      </c>
      <c r="B44" s="47">
        <v>0</v>
      </c>
      <c r="C44" s="47">
        <f>SUM('- 6 -'!$B44:H44,B44)</f>
        <v>694.5</v>
      </c>
      <c r="D44" s="97"/>
      <c r="E44" s="47">
        <f t="shared" si="0"/>
        <v>694.5</v>
      </c>
    </row>
    <row r="45" spans="1:6" ht="14.1" customHeight="1" x14ac:dyDescent="0.2">
      <c r="A45" s="271" t="s">
        <v>141</v>
      </c>
      <c r="B45" s="292">
        <v>36</v>
      </c>
      <c r="C45" s="292">
        <f>SUM('- 6 -'!$B45:H45,B45)</f>
        <v>1798</v>
      </c>
      <c r="D45" s="97"/>
      <c r="E45" s="292">
        <f t="shared" si="0"/>
        <v>1798</v>
      </c>
    </row>
    <row r="46" spans="1:6" ht="14.1" customHeight="1" x14ac:dyDescent="0.2">
      <c r="A46" s="15" t="s">
        <v>142</v>
      </c>
      <c r="B46" s="47">
        <v>651.1</v>
      </c>
      <c r="C46" s="47">
        <f>SUM('- 6 -'!$B46:H46,B46)</f>
        <v>30255</v>
      </c>
      <c r="D46" s="97"/>
      <c r="E46" s="47">
        <f t="shared" si="0"/>
        <v>30255</v>
      </c>
    </row>
    <row r="47" spans="1:6" ht="5.0999999999999996" customHeight="1" x14ac:dyDescent="0.2">
      <c r="A47"/>
      <c r="B47"/>
      <c r="C47"/>
      <c r="D47"/>
      <c r="E47"/>
      <c r="F47"/>
    </row>
    <row r="48" spans="1:6" ht="14.1" customHeight="1" x14ac:dyDescent="0.2">
      <c r="A48" s="274" t="s">
        <v>143</v>
      </c>
      <c r="B48" s="293">
        <f>SUM(B11:B46)</f>
        <v>4204.2700000000004</v>
      </c>
      <c r="C48" s="293">
        <f>SUM(C11:C46)</f>
        <v>179075</v>
      </c>
      <c r="D48" s="98"/>
      <c r="E48" s="293">
        <f>SUM(E11:E46)</f>
        <v>179075</v>
      </c>
    </row>
    <row r="49" spans="1:6" ht="5.0999999999999996" customHeight="1" x14ac:dyDescent="0.2">
      <c r="A49" s="17" t="s">
        <v>1</v>
      </c>
      <c r="B49" s="50"/>
      <c r="C49" s="50"/>
      <c r="D49" s="96"/>
      <c r="E49" s="50"/>
    </row>
    <row r="50" spans="1:6" ht="14.1" customHeight="1" x14ac:dyDescent="0.2">
      <c r="A50" s="15" t="s">
        <v>144</v>
      </c>
      <c r="B50" s="47">
        <v>0</v>
      </c>
      <c r="C50" s="47">
        <f>SUM('- 6 -'!$B50:H50,B50)</f>
        <v>168</v>
      </c>
      <c r="D50" s="97"/>
      <c r="E50" s="47">
        <f t="shared" ref="E50:E51" si="1">C50</f>
        <v>168</v>
      </c>
    </row>
    <row r="51" spans="1:6" ht="14.1" customHeight="1" x14ac:dyDescent="0.2">
      <c r="A51" s="360" t="s">
        <v>514</v>
      </c>
      <c r="B51" s="292">
        <v>1246</v>
      </c>
      <c r="C51" s="292">
        <f>SUM('- 6 -'!$B51:H51,B51)</f>
        <v>1370</v>
      </c>
      <c r="D51" s="97"/>
      <c r="E51" s="292">
        <f t="shared" si="1"/>
        <v>1370</v>
      </c>
    </row>
    <row r="52" spans="1:6" ht="50.1" customHeight="1" x14ac:dyDescent="0.2">
      <c r="A52" s="370"/>
      <c r="B52" s="370"/>
      <c r="C52" s="370"/>
      <c r="D52" s="370"/>
      <c r="E52" s="370"/>
      <c r="F52" s="370"/>
    </row>
    <row r="53" spans="1:6" ht="15" customHeight="1" x14ac:dyDescent="0.2">
      <c r="A53" s="557" t="s">
        <v>521</v>
      </c>
      <c r="B53" s="557"/>
      <c r="C53" s="557"/>
      <c r="D53" s="557"/>
      <c r="E53" s="557"/>
      <c r="F53" s="557"/>
    </row>
    <row r="54" spans="1:6" ht="12" customHeight="1" x14ac:dyDescent="0.2">
      <c r="A54" s="558"/>
      <c r="B54" s="558"/>
      <c r="C54" s="558"/>
      <c r="D54" s="558"/>
      <c r="E54" s="558"/>
      <c r="F54" s="558"/>
    </row>
    <row r="55" spans="1:6" x14ac:dyDescent="0.2">
      <c r="A55" s="20" t="s">
        <v>354</v>
      </c>
    </row>
    <row r="56" spans="1:6" ht="14.45" customHeight="1" x14ac:dyDescent="0.2"/>
    <row r="57" spans="1:6" ht="14.45" customHeight="1" x14ac:dyDescent="0.2"/>
    <row r="58" spans="1:6" ht="14.45" customHeight="1" x14ac:dyDescent="0.2"/>
    <row r="59" spans="1:6" ht="14.45" customHeight="1" x14ac:dyDescent="0.2"/>
  </sheetData>
  <mergeCells count="6">
    <mergeCell ref="A53:F54"/>
    <mergeCell ref="E6:E7"/>
    <mergeCell ref="B6:C7"/>
    <mergeCell ref="B8:B9"/>
    <mergeCell ref="C8:C9"/>
    <mergeCell ref="E8:E9"/>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K60"/>
  <sheetViews>
    <sheetView showGridLines="0" showZeros="0" workbookViewId="0"/>
  </sheetViews>
  <sheetFormatPr defaultColWidth="14.83203125" defaultRowHeight="12" x14ac:dyDescent="0.2"/>
  <cols>
    <col min="1" max="1" width="26.83203125" style="1" customWidth="1"/>
    <col min="2" max="2" width="16.83203125" style="1" customWidth="1"/>
    <col min="3" max="3" width="16.33203125" style="1" customWidth="1"/>
    <col min="4" max="4" width="14.1640625" style="1" customWidth="1"/>
    <col min="5" max="5" width="15.5" style="1" customWidth="1"/>
    <col min="6" max="6" width="16.33203125" style="1" customWidth="1"/>
    <col min="7" max="7" width="15.6640625" style="1" customWidth="1"/>
    <col min="8" max="8" width="11.83203125" style="1" customWidth="1"/>
    <col min="9" max="10" width="14.83203125" style="1" hidden="1" customWidth="1"/>
    <col min="11" max="16384" width="14.83203125" style="1"/>
  </cols>
  <sheetData>
    <row r="1" spans="1:11" ht="6.95" customHeight="1" x14ac:dyDescent="0.2">
      <c r="A1" s="3"/>
      <c r="B1" s="4"/>
      <c r="C1" s="4"/>
      <c r="D1" s="4"/>
    </row>
    <row r="2" spans="1:11" ht="20.100000000000001" customHeight="1" x14ac:dyDescent="0.2">
      <c r="A2" s="219"/>
      <c r="B2" s="219" t="s">
        <v>589</v>
      </c>
      <c r="C2" s="363"/>
      <c r="D2" s="363"/>
      <c r="E2" s="363"/>
      <c r="F2" s="363"/>
      <c r="G2" s="363"/>
      <c r="H2" s="365" t="s">
        <v>227</v>
      </c>
    </row>
    <row r="3" spans="1:11" ht="20.100000000000001" customHeight="1" x14ac:dyDescent="0.2">
      <c r="A3" s="5"/>
      <c r="B3" s="220"/>
      <c r="C3" s="221"/>
      <c r="D3" s="221"/>
      <c r="E3" s="221"/>
      <c r="F3" s="221"/>
      <c r="G3" s="221"/>
      <c r="H3" s="222"/>
    </row>
    <row r="4" spans="1:11" ht="15.95" customHeight="1" x14ac:dyDescent="0.2">
      <c r="A4" s="223"/>
      <c r="B4" s="790" t="s">
        <v>228</v>
      </c>
      <c r="C4" s="791"/>
      <c r="D4" s="791"/>
      <c r="E4" s="791"/>
      <c r="F4" s="791"/>
      <c r="G4" s="791"/>
      <c r="H4" s="792"/>
    </row>
    <row r="5" spans="1:11" ht="13.5" customHeight="1" x14ac:dyDescent="0.2">
      <c r="A5" s="224"/>
      <c r="B5" s="225"/>
      <c r="C5" s="225"/>
      <c r="D5" s="225"/>
      <c r="E5" s="225"/>
      <c r="F5" s="225"/>
      <c r="G5" s="225"/>
      <c r="H5" s="225"/>
    </row>
    <row r="6" spans="1:11" ht="14.1" customHeight="1" x14ac:dyDescent="0.2">
      <c r="A6" s="224"/>
      <c r="B6" s="210"/>
      <c r="C6" s="210"/>
      <c r="D6" s="210"/>
      <c r="E6" s="210"/>
      <c r="F6" s="210"/>
      <c r="G6" s="775" t="s">
        <v>549</v>
      </c>
      <c r="H6" s="728" t="s">
        <v>550</v>
      </c>
    </row>
    <row r="7" spans="1:11" ht="14.1" customHeight="1" x14ac:dyDescent="0.2">
      <c r="A7" s="224"/>
      <c r="B7" s="226"/>
      <c r="C7" s="114"/>
      <c r="D7" s="775" t="s">
        <v>502</v>
      </c>
      <c r="E7" s="226"/>
      <c r="F7" s="226"/>
      <c r="G7" s="775"/>
      <c r="H7" s="775"/>
    </row>
    <row r="8" spans="1:11" ht="14.1" customHeight="1" x14ac:dyDescent="0.2">
      <c r="A8" s="224"/>
      <c r="B8" s="775" t="s">
        <v>500</v>
      </c>
      <c r="C8" s="775" t="s">
        <v>501</v>
      </c>
      <c r="D8" s="775"/>
      <c r="E8" s="226"/>
      <c r="F8" s="775" t="s">
        <v>552</v>
      </c>
      <c r="G8" s="775"/>
      <c r="H8" s="775"/>
    </row>
    <row r="9" spans="1:11" ht="14.1" customHeight="1" x14ac:dyDescent="0.2">
      <c r="A9" s="224"/>
      <c r="B9" s="775"/>
      <c r="C9" s="775"/>
      <c r="D9" s="775"/>
      <c r="E9" s="775" t="s">
        <v>503</v>
      </c>
      <c r="F9" s="775"/>
      <c r="G9" s="775"/>
      <c r="H9" s="775"/>
    </row>
    <row r="10" spans="1:11" ht="14.1" customHeight="1" x14ac:dyDescent="0.2">
      <c r="A10" s="12"/>
      <c r="B10" s="775"/>
      <c r="C10" s="775"/>
      <c r="D10" s="775"/>
      <c r="E10" s="775"/>
      <c r="F10" s="775"/>
      <c r="G10" s="775"/>
      <c r="H10" s="775"/>
    </row>
    <row r="11" spans="1:11" ht="14.1" customHeight="1" x14ac:dyDescent="0.2">
      <c r="A11" s="13" t="s">
        <v>37</v>
      </c>
      <c r="B11" s="776"/>
      <c r="C11" s="776"/>
      <c r="D11" s="776"/>
      <c r="E11" s="776"/>
      <c r="F11" s="776"/>
      <c r="G11" s="776"/>
      <c r="H11" s="776"/>
    </row>
    <row r="12" spans="1:11" ht="5.0999999999999996" customHeight="1" x14ac:dyDescent="0.2">
      <c r="A12" s="14"/>
      <c r="C12" s="204"/>
      <c r="D12" s="182"/>
      <c r="E12" s="3"/>
    </row>
    <row r="13" spans="1:11" ht="14.1" customHeight="1" x14ac:dyDescent="0.2">
      <c r="A13" s="271" t="s">
        <v>108</v>
      </c>
      <c r="B13" s="272">
        <f>'- 3 -'!B11</f>
        <v>20444147</v>
      </c>
      <c r="C13" s="272">
        <v>50000</v>
      </c>
      <c r="D13" s="272">
        <v>0</v>
      </c>
      <c r="E13" s="272">
        <f>SUM(B13:D13)</f>
        <v>20494147</v>
      </c>
      <c r="F13" s="272">
        <f>'- 56 -'!D12</f>
        <v>617937</v>
      </c>
      <c r="G13" s="273">
        <f>F13/E13*100</f>
        <v>3.0151877021278319</v>
      </c>
      <c r="H13" s="273">
        <v>3.4799999999999995</v>
      </c>
      <c r="I13" s="338">
        <v>3.015187702127832E-2</v>
      </c>
      <c r="J13" s="329">
        <v>20494147</v>
      </c>
      <c r="K13" s="1">
        <f t="shared" ref="K13:K48" si="0">J13-E13</f>
        <v>0</v>
      </c>
    </row>
    <row r="14" spans="1:11" ht="14.1" customHeight="1" x14ac:dyDescent="0.2">
      <c r="A14" s="15" t="s">
        <v>109</v>
      </c>
      <c r="B14" s="16">
        <f>'- 3 -'!B12</f>
        <v>35366073</v>
      </c>
      <c r="C14" s="16">
        <v>448248</v>
      </c>
      <c r="D14" s="16">
        <v>-717167</v>
      </c>
      <c r="E14" s="16">
        <f t="shared" ref="E14:E48" si="1">SUM(B14:D14)</f>
        <v>35097154</v>
      </c>
      <c r="F14" s="16">
        <f>'- 56 -'!D13</f>
        <v>1199993</v>
      </c>
      <c r="G14" s="267">
        <f>F14/E14*100</f>
        <v>3.41906070218685</v>
      </c>
      <c r="H14" s="267">
        <v>3.4299999999999997</v>
      </c>
      <c r="I14" s="339">
        <v>3.4190607021868498E-2</v>
      </c>
      <c r="J14" s="330">
        <v>35097154</v>
      </c>
      <c r="K14" s="1">
        <f t="shared" si="0"/>
        <v>0</v>
      </c>
    </row>
    <row r="15" spans="1:11" ht="14.1" customHeight="1" x14ac:dyDescent="0.2">
      <c r="A15" s="271" t="s">
        <v>110</v>
      </c>
      <c r="B15" s="272">
        <f>'- 3 -'!B13</f>
        <v>104241300</v>
      </c>
      <c r="C15" s="272">
        <v>38000</v>
      </c>
      <c r="D15" s="272">
        <v>0</v>
      </c>
      <c r="E15" s="272">
        <f t="shared" si="1"/>
        <v>104279300</v>
      </c>
      <c r="F15" s="272">
        <f>'- 56 -'!D14</f>
        <v>3112000</v>
      </c>
      <c r="G15" s="273">
        <f>F15/E15*100</f>
        <v>2.9842931435097855</v>
      </c>
      <c r="H15" s="273">
        <v>3</v>
      </c>
      <c r="I15" s="338">
        <v>2.9842931435097857E-2</v>
      </c>
      <c r="J15" s="329">
        <v>104279300</v>
      </c>
      <c r="K15" s="1">
        <f t="shared" si="0"/>
        <v>0</v>
      </c>
    </row>
    <row r="16" spans="1:11" ht="14.1" customHeight="1" x14ac:dyDescent="0.2">
      <c r="A16" s="15" t="s">
        <v>319</v>
      </c>
      <c r="B16" s="16"/>
      <c r="C16" s="16"/>
      <c r="D16" s="16"/>
      <c r="E16" s="16"/>
      <c r="F16" s="16"/>
      <c r="G16" s="334" t="s">
        <v>88</v>
      </c>
      <c r="H16" s="334" t="s">
        <v>88</v>
      </c>
      <c r="I16" s="340"/>
      <c r="J16" s="330"/>
      <c r="K16" s="1">
        <f t="shared" si="0"/>
        <v>0</v>
      </c>
    </row>
    <row r="17" spans="1:11" ht="14.1" customHeight="1" x14ac:dyDescent="0.2">
      <c r="A17" s="271" t="s">
        <v>111</v>
      </c>
      <c r="B17" s="272">
        <f>'- 3 -'!B15</f>
        <v>20865777</v>
      </c>
      <c r="C17" s="272">
        <v>512500</v>
      </c>
      <c r="D17" s="272">
        <v>0</v>
      </c>
      <c r="E17" s="272">
        <f t="shared" si="1"/>
        <v>21378277</v>
      </c>
      <c r="F17" s="272">
        <f>'- 56 -'!D16</f>
        <v>747985</v>
      </c>
      <c r="G17" s="273">
        <f>F17/E17*100</f>
        <v>3.4988086270937551</v>
      </c>
      <c r="H17" s="273">
        <v>3.55</v>
      </c>
      <c r="I17" s="338">
        <v>3.4988086270937552E-2</v>
      </c>
      <c r="J17" s="329">
        <v>21378277</v>
      </c>
      <c r="K17" s="1">
        <f t="shared" si="0"/>
        <v>0</v>
      </c>
    </row>
    <row r="18" spans="1:11" ht="14.1" customHeight="1" x14ac:dyDescent="0.2">
      <c r="A18" s="15" t="s">
        <v>112</v>
      </c>
      <c r="B18" s="16">
        <f>'- 3 -'!B16</f>
        <v>14867436</v>
      </c>
      <c r="C18" s="16">
        <v>0</v>
      </c>
      <c r="D18" s="16">
        <v>-94625</v>
      </c>
      <c r="E18" s="16">
        <f t="shared" si="1"/>
        <v>14772811</v>
      </c>
      <c r="F18" s="16">
        <f>'- 56 -'!D17</f>
        <v>622043</v>
      </c>
      <c r="G18" s="267">
        <f>F18/E18*100</f>
        <v>4.2107287502696673</v>
      </c>
      <c r="H18" s="267">
        <v>4.25</v>
      </c>
      <c r="I18" s="339">
        <v>4.2107287502696676E-2</v>
      </c>
      <c r="J18" s="330">
        <v>14772811</v>
      </c>
      <c r="K18" s="1">
        <f t="shared" si="0"/>
        <v>0</v>
      </c>
    </row>
    <row r="19" spans="1:11" ht="14.1" customHeight="1" x14ac:dyDescent="0.2">
      <c r="A19" s="271" t="s">
        <v>113</v>
      </c>
      <c r="B19" s="272">
        <f>'- 3 -'!B17</f>
        <v>18771832</v>
      </c>
      <c r="C19" s="272">
        <v>0</v>
      </c>
      <c r="D19" s="272">
        <v>0</v>
      </c>
      <c r="E19" s="272">
        <f t="shared" si="1"/>
        <v>18771832</v>
      </c>
      <c r="F19" s="272">
        <f>'- 56 -'!D18</f>
        <v>664620</v>
      </c>
      <c r="G19" s="273">
        <f>F19/E19*100</f>
        <v>3.5405175158183817</v>
      </c>
      <c r="H19" s="273">
        <v>3.54</v>
      </c>
      <c r="I19" s="338">
        <v>3.5405175158183817E-2</v>
      </c>
      <c r="J19" s="329">
        <v>18771832</v>
      </c>
      <c r="K19" s="1">
        <f t="shared" si="0"/>
        <v>0</v>
      </c>
    </row>
    <row r="20" spans="1:11" ht="14.1" customHeight="1" x14ac:dyDescent="0.2">
      <c r="A20" s="15" t="s">
        <v>114</v>
      </c>
      <c r="B20" s="16"/>
      <c r="C20" s="16"/>
      <c r="D20" s="16"/>
      <c r="E20" s="16"/>
      <c r="F20" s="16"/>
      <c r="G20" s="334" t="s">
        <v>88</v>
      </c>
      <c r="H20" s="334" t="s">
        <v>88</v>
      </c>
      <c r="I20" s="340"/>
      <c r="J20" s="330"/>
      <c r="K20" s="1">
        <f t="shared" si="0"/>
        <v>0</v>
      </c>
    </row>
    <row r="21" spans="1:11" ht="14.1" customHeight="1" x14ac:dyDescent="0.2">
      <c r="A21" s="271" t="s">
        <v>115</v>
      </c>
      <c r="B21" s="272">
        <f>'- 3 -'!B19</f>
        <v>50783600</v>
      </c>
      <c r="C21" s="272">
        <v>745000</v>
      </c>
      <c r="D21" s="272">
        <v>0</v>
      </c>
      <c r="E21" s="272">
        <f t="shared" si="1"/>
        <v>51528600</v>
      </c>
      <c r="F21" s="272">
        <f>'- 56 -'!D20</f>
        <v>1492100</v>
      </c>
      <c r="G21" s="273">
        <f t="shared" ref="G21:G48" si="2">F21/E21*100</f>
        <v>2.8956734706551313</v>
      </c>
      <c r="H21" s="273">
        <v>3.1</v>
      </c>
      <c r="I21" s="338">
        <v>2.8956734706551312E-2</v>
      </c>
      <c r="J21" s="329">
        <v>51528600</v>
      </c>
      <c r="K21" s="1">
        <f t="shared" si="0"/>
        <v>0</v>
      </c>
    </row>
    <row r="22" spans="1:11" ht="14.1" customHeight="1" x14ac:dyDescent="0.2">
      <c r="A22" s="15" t="s">
        <v>116</v>
      </c>
      <c r="B22" s="16">
        <f>'- 3 -'!B20</f>
        <v>89171100</v>
      </c>
      <c r="C22" s="16">
        <v>1060700</v>
      </c>
      <c r="D22" s="16">
        <v>0</v>
      </c>
      <c r="E22" s="16">
        <f t="shared" si="1"/>
        <v>90231800</v>
      </c>
      <c r="F22" s="16">
        <f>'- 56 -'!D21</f>
        <v>2326800</v>
      </c>
      <c r="G22" s="267">
        <f t="shared" si="2"/>
        <v>2.5786917694205371</v>
      </c>
      <c r="H22" s="267">
        <v>3</v>
      </c>
      <c r="I22" s="339">
        <v>2.578691769420537E-2</v>
      </c>
      <c r="J22" s="330">
        <v>90231800</v>
      </c>
      <c r="K22" s="1">
        <f t="shared" si="0"/>
        <v>0</v>
      </c>
    </row>
    <row r="23" spans="1:11" ht="14.1" customHeight="1" x14ac:dyDescent="0.2">
      <c r="A23" s="271" t="s">
        <v>117</v>
      </c>
      <c r="B23" s="272">
        <f>'- 3 -'!B21</f>
        <v>37895320</v>
      </c>
      <c r="C23" s="272">
        <v>404680</v>
      </c>
      <c r="D23" s="272">
        <v>0</v>
      </c>
      <c r="E23" s="272">
        <f t="shared" si="1"/>
        <v>38300000</v>
      </c>
      <c r="F23" s="272">
        <f>'- 56 -'!D22</f>
        <v>1270000</v>
      </c>
      <c r="G23" s="273">
        <f t="shared" si="2"/>
        <v>3.3159268929503916</v>
      </c>
      <c r="H23" s="273">
        <v>3.3300000000000005</v>
      </c>
      <c r="I23" s="338">
        <v>3.3159268929503917E-2</v>
      </c>
      <c r="J23" s="329">
        <v>38300000</v>
      </c>
      <c r="K23" s="1">
        <f t="shared" si="0"/>
        <v>0</v>
      </c>
    </row>
    <row r="24" spans="1:11" ht="14.1" customHeight="1" x14ac:dyDescent="0.2">
      <c r="A24" s="15" t="s">
        <v>118</v>
      </c>
      <c r="B24" s="16">
        <f>'- 3 -'!B22</f>
        <v>20903280</v>
      </c>
      <c r="C24" s="16">
        <v>195000</v>
      </c>
      <c r="D24" s="16">
        <v>-619645</v>
      </c>
      <c r="E24" s="16">
        <f t="shared" si="1"/>
        <v>20478635</v>
      </c>
      <c r="F24" s="16">
        <f>'- 56 -'!D23</f>
        <v>815630</v>
      </c>
      <c r="G24" s="267">
        <f t="shared" si="2"/>
        <v>3.9828338168046846</v>
      </c>
      <c r="H24" s="267">
        <v>4.25</v>
      </c>
      <c r="I24" s="339">
        <v>3.9828338168046845E-2</v>
      </c>
      <c r="J24" s="330">
        <v>20478635</v>
      </c>
      <c r="K24" s="1">
        <f t="shared" si="0"/>
        <v>0</v>
      </c>
    </row>
    <row r="25" spans="1:11" ht="14.1" customHeight="1" x14ac:dyDescent="0.2">
      <c r="A25" s="271" t="s">
        <v>119</v>
      </c>
      <c r="B25" s="272">
        <f>'- 3 -'!B23</f>
        <v>17045512</v>
      </c>
      <c r="C25" s="272">
        <v>200000</v>
      </c>
      <c r="D25" s="272">
        <v>-277690</v>
      </c>
      <c r="E25" s="272">
        <f t="shared" si="1"/>
        <v>16967822</v>
      </c>
      <c r="F25" s="272">
        <f>'- 56 -'!D24</f>
        <v>607250</v>
      </c>
      <c r="G25" s="273">
        <f t="shared" si="2"/>
        <v>3.5788329226933189</v>
      </c>
      <c r="H25" s="273">
        <v>3.5900000000000003</v>
      </c>
      <c r="I25" s="338">
        <v>3.5788329226933188E-2</v>
      </c>
      <c r="J25" s="329">
        <v>16967822</v>
      </c>
      <c r="K25" s="1">
        <f t="shared" si="0"/>
        <v>0</v>
      </c>
    </row>
    <row r="26" spans="1:11" ht="14.1" customHeight="1" x14ac:dyDescent="0.2">
      <c r="A26" s="15" t="s">
        <v>120</v>
      </c>
      <c r="B26" s="16">
        <f>'- 3 -'!B24</f>
        <v>58604418</v>
      </c>
      <c r="C26" s="16">
        <v>373446</v>
      </c>
      <c r="D26" s="16">
        <v>-355465</v>
      </c>
      <c r="E26" s="16">
        <f t="shared" si="1"/>
        <v>58622399</v>
      </c>
      <c r="F26" s="16">
        <f>'- 56 -'!D25</f>
        <v>1861805</v>
      </c>
      <c r="G26" s="267">
        <f t="shared" si="2"/>
        <v>3.1759276859345182</v>
      </c>
      <c r="H26" s="267">
        <v>3.18</v>
      </c>
      <c r="I26" s="339">
        <v>3.1759276859345181E-2</v>
      </c>
      <c r="J26" s="330">
        <v>58622399</v>
      </c>
      <c r="K26" s="1">
        <f t="shared" si="0"/>
        <v>0</v>
      </c>
    </row>
    <row r="27" spans="1:11" ht="14.1" customHeight="1" x14ac:dyDescent="0.2">
      <c r="A27" s="271" t="s">
        <v>121</v>
      </c>
      <c r="B27" s="272">
        <f>'- 3 -'!B25</f>
        <v>188729811</v>
      </c>
      <c r="C27" s="272">
        <v>1108318</v>
      </c>
      <c r="D27" s="272">
        <v>-787701</v>
      </c>
      <c r="E27" s="272">
        <f t="shared" si="1"/>
        <v>189050428</v>
      </c>
      <c r="F27" s="272">
        <f>'- 56 -'!D26</f>
        <v>5293200</v>
      </c>
      <c r="G27" s="273">
        <f t="shared" si="2"/>
        <v>2.799887869071632</v>
      </c>
      <c r="H27" s="273">
        <v>3</v>
      </c>
      <c r="I27" s="338">
        <v>2.7998878690716319E-2</v>
      </c>
      <c r="J27" s="329">
        <v>189050428</v>
      </c>
      <c r="K27" s="1">
        <f t="shared" si="0"/>
        <v>0</v>
      </c>
    </row>
    <row r="28" spans="1:11" ht="14.1" customHeight="1" x14ac:dyDescent="0.2">
      <c r="A28" s="15" t="s">
        <v>122</v>
      </c>
      <c r="B28" s="16">
        <f>'- 3 -'!B26</f>
        <v>41028591</v>
      </c>
      <c r="C28" s="16">
        <v>985322</v>
      </c>
      <c r="D28" s="16">
        <v>0</v>
      </c>
      <c r="E28" s="16">
        <f t="shared" si="1"/>
        <v>42013913</v>
      </c>
      <c r="F28" s="16">
        <f>'- 56 -'!D27</f>
        <v>1346416</v>
      </c>
      <c r="G28" s="267">
        <f t="shared" si="2"/>
        <v>3.2046907889774512</v>
      </c>
      <c r="H28" s="267">
        <v>3.32</v>
      </c>
      <c r="I28" s="339">
        <v>3.204690788977451E-2</v>
      </c>
      <c r="J28" s="330">
        <v>42013913</v>
      </c>
      <c r="K28" s="1">
        <f t="shared" si="0"/>
        <v>0</v>
      </c>
    </row>
    <row r="29" spans="1:11" ht="14.1" customHeight="1" x14ac:dyDescent="0.2">
      <c r="A29" s="271" t="s">
        <v>123</v>
      </c>
      <c r="B29" s="272">
        <f>'- 3 -'!B27</f>
        <v>42734725</v>
      </c>
      <c r="C29" s="272">
        <v>30000</v>
      </c>
      <c r="D29" s="272">
        <v>0</v>
      </c>
      <c r="E29" s="272">
        <f t="shared" si="1"/>
        <v>42764725</v>
      </c>
      <c r="F29" s="272">
        <f>'- 56 -'!D28</f>
        <v>1800481</v>
      </c>
      <c r="G29" s="273">
        <f t="shared" si="2"/>
        <v>4.2102012815468823</v>
      </c>
      <c r="H29" s="273">
        <v>4.25</v>
      </c>
      <c r="I29" s="338">
        <v>4.2102012815468826E-2</v>
      </c>
      <c r="J29" s="329">
        <v>42764725</v>
      </c>
      <c r="K29" s="1">
        <f t="shared" si="0"/>
        <v>0</v>
      </c>
    </row>
    <row r="30" spans="1:11" ht="14.1" customHeight="1" x14ac:dyDescent="0.2">
      <c r="A30" s="15" t="s">
        <v>124</v>
      </c>
      <c r="B30" s="16">
        <f>'- 3 -'!B28</f>
        <v>28927798</v>
      </c>
      <c r="C30" s="16">
        <v>20000</v>
      </c>
      <c r="D30" s="16">
        <v>-161751</v>
      </c>
      <c r="E30" s="16">
        <f t="shared" si="1"/>
        <v>28786047</v>
      </c>
      <c r="F30" s="16">
        <f>'- 56 -'!D29</f>
        <v>913754</v>
      </c>
      <c r="G30" s="267">
        <f t="shared" si="2"/>
        <v>3.1742948241556062</v>
      </c>
      <c r="H30" s="267">
        <v>3.46</v>
      </c>
      <c r="I30" s="339">
        <v>3.174294824155606E-2</v>
      </c>
      <c r="J30" s="330">
        <v>28786047</v>
      </c>
      <c r="K30" s="1">
        <f t="shared" si="0"/>
        <v>0</v>
      </c>
    </row>
    <row r="31" spans="1:11" ht="14.1" customHeight="1" x14ac:dyDescent="0.2">
      <c r="A31" s="271" t="s">
        <v>125</v>
      </c>
      <c r="B31" s="272">
        <f>'- 3 -'!B29</f>
        <v>171861662</v>
      </c>
      <c r="C31" s="272">
        <v>1631000</v>
      </c>
      <c r="D31" s="272">
        <v>0</v>
      </c>
      <c r="E31" s="272">
        <f t="shared" si="1"/>
        <v>173492662</v>
      </c>
      <c r="F31" s="272">
        <f>'- 56 -'!D30</f>
        <v>5057513</v>
      </c>
      <c r="G31" s="273">
        <f t="shared" si="2"/>
        <v>2.9151163753542502</v>
      </c>
      <c r="H31" s="273">
        <v>3</v>
      </c>
      <c r="I31" s="338">
        <v>2.91511637535425E-2</v>
      </c>
      <c r="J31" s="329">
        <v>173492662</v>
      </c>
      <c r="K31" s="1">
        <f t="shared" si="0"/>
        <v>0</v>
      </c>
    </row>
    <row r="32" spans="1:11" ht="14.1" customHeight="1" x14ac:dyDescent="0.2">
      <c r="A32" s="15" t="s">
        <v>126</v>
      </c>
      <c r="B32" s="16">
        <f>'- 3 -'!B30</f>
        <v>15310754</v>
      </c>
      <c r="C32" s="16">
        <v>160000</v>
      </c>
      <c r="D32" s="16">
        <v>0</v>
      </c>
      <c r="E32" s="16">
        <f t="shared" si="1"/>
        <v>15470754</v>
      </c>
      <c r="F32" s="16">
        <f>'- 56 -'!D31</f>
        <v>542396</v>
      </c>
      <c r="G32" s="267">
        <f t="shared" si="2"/>
        <v>3.5059441834573803</v>
      </c>
      <c r="H32" s="267">
        <v>3.5999999999999996</v>
      </c>
      <c r="I32" s="339">
        <v>3.5059441834573803E-2</v>
      </c>
      <c r="J32" s="330">
        <v>15470754</v>
      </c>
      <c r="K32" s="1">
        <f t="shared" si="0"/>
        <v>0</v>
      </c>
    </row>
    <row r="33" spans="1:11" ht="14.1" customHeight="1" x14ac:dyDescent="0.2">
      <c r="A33" s="271" t="s">
        <v>127</v>
      </c>
      <c r="B33" s="272">
        <f>'- 3 -'!B31</f>
        <v>38954942</v>
      </c>
      <c r="C33" s="272">
        <v>927271</v>
      </c>
      <c r="D33" s="272">
        <v>0</v>
      </c>
      <c r="E33" s="272">
        <f t="shared" si="1"/>
        <v>39882213</v>
      </c>
      <c r="F33" s="272">
        <f>'- 56 -'!D32</f>
        <v>1194620</v>
      </c>
      <c r="G33" s="273">
        <f t="shared" si="2"/>
        <v>2.9953703923099755</v>
      </c>
      <c r="H33" s="273">
        <v>3.26</v>
      </c>
      <c r="I33" s="338">
        <v>2.9953703923099755E-2</v>
      </c>
      <c r="J33" s="329">
        <v>39882213</v>
      </c>
      <c r="K33" s="1">
        <f t="shared" si="0"/>
        <v>0</v>
      </c>
    </row>
    <row r="34" spans="1:11" ht="14.1" customHeight="1" x14ac:dyDescent="0.2">
      <c r="A34" s="15" t="s">
        <v>128</v>
      </c>
      <c r="B34" s="16">
        <f>'- 3 -'!B32</f>
        <v>31264588</v>
      </c>
      <c r="C34" s="16">
        <v>817600</v>
      </c>
      <c r="D34" s="16">
        <v>-280919</v>
      </c>
      <c r="E34" s="16">
        <f t="shared" si="1"/>
        <v>31801269</v>
      </c>
      <c r="F34" s="16">
        <f>'- 56 -'!D33</f>
        <v>1074443</v>
      </c>
      <c r="G34" s="267">
        <f t="shared" si="2"/>
        <v>3.3786167463946173</v>
      </c>
      <c r="H34" s="267">
        <v>3.4099999999999997</v>
      </c>
      <c r="I34" s="339">
        <v>3.3786167463946172E-2</v>
      </c>
      <c r="J34" s="330">
        <v>31801269</v>
      </c>
      <c r="K34" s="1">
        <f t="shared" si="0"/>
        <v>0</v>
      </c>
    </row>
    <row r="35" spans="1:11" ht="14.1" customHeight="1" x14ac:dyDescent="0.2">
      <c r="A35" s="271" t="s">
        <v>129</v>
      </c>
      <c r="B35" s="272">
        <f>'- 3 -'!B33</f>
        <v>28619130</v>
      </c>
      <c r="C35" s="272">
        <v>319924</v>
      </c>
      <c r="D35" s="272">
        <v>0</v>
      </c>
      <c r="E35" s="272">
        <f t="shared" si="1"/>
        <v>28939054</v>
      </c>
      <c r="F35" s="272">
        <f>'- 56 -'!D34</f>
        <v>845125</v>
      </c>
      <c r="G35" s="273">
        <f t="shared" si="2"/>
        <v>2.9203615294404579</v>
      </c>
      <c r="H35" s="273">
        <v>3.44</v>
      </c>
      <c r="I35" s="338">
        <v>2.9203615294404579E-2</v>
      </c>
      <c r="J35" s="329">
        <v>28939054</v>
      </c>
      <c r="K35" s="1">
        <f t="shared" si="0"/>
        <v>0</v>
      </c>
    </row>
    <row r="36" spans="1:11" ht="14.1" customHeight="1" x14ac:dyDescent="0.2">
      <c r="A36" s="15" t="s">
        <v>130</v>
      </c>
      <c r="B36" s="16">
        <f>'- 3 -'!B34</f>
        <v>31601578</v>
      </c>
      <c r="C36" s="16">
        <v>516316</v>
      </c>
      <c r="D36" s="16">
        <v>0</v>
      </c>
      <c r="E36" s="16">
        <f t="shared" si="1"/>
        <v>32117894</v>
      </c>
      <c r="F36" s="16">
        <f>'- 56 -'!D35</f>
        <v>1097025</v>
      </c>
      <c r="G36" s="267">
        <f t="shared" si="2"/>
        <v>3.4156193429120849</v>
      </c>
      <c r="H36" s="267">
        <v>3.42</v>
      </c>
      <c r="I36" s="339">
        <v>3.4156193429120851E-2</v>
      </c>
      <c r="J36" s="330">
        <v>32117894</v>
      </c>
      <c r="K36" s="1">
        <f t="shared" si="0"/>
        <v>0</v>
      </c>
    </row>
    <row r="37" spans="1:11" ht="14.1" customHeight="1" x14ac:dyDescent="0.2">
      <c r="A37" s="271" t="s">
        <v>131</v>
      </c>
      <c r="B37" s="272">
        <f>'- 3 -'!B35</f>
        <v>190966299</v>
      </c>
      <c r="C37" s="272">
        <v>2600727</v>
      </c>
      <c r="D37" s="272">
        <v>0</v>
      </c>
      <c r="E37" s="272">
        <f t="shared" si="1"/>
        <v>193567026</v>
      </c>
      <c r="F37" s="272">
        <f>'- 56 -'!D36</f>
        <v>5009185</v>
      </c>
      <c r="G37" s="273">
        <f t="shared" si="2"/>
        <v>2.5878297060781414</v>
      </c>
      <c r="H37" s="273">
        <v>3</v>
      </c>
      <c r="I37" s="338">
        <v>2.5878297060781416E-2</v>
      </c>
      <c r="J37" s="329">
        <v>193567026</v>
      </c>
      <c r="K37" s="1">
        <f t="shared" si="0"/>
        <v>0</v>
      </c>
    </row>
    <row r="38" spans="1:11" ht="14.1" customHeight="1" x14ac:dyDescent="0.2">
      <c r="A38" s="15" t="s">
        <v>132</v>
      </c>
      <c r="B38" s="16">
        <f>'- 3 -'!B36</f>
        <v>24487000</v>
      </c>
      <c r="C38" s="16">
        <v>325000</v>
      </c>
      <c r="D38" s="16">
        <v>0</v>
      </c>
      <c r="E38" s="16">
        <f t="shared" si="1"/>
        <v>24812000</v>
      </c>
      <c r="F38" s="16">
        <f>'- 56 -'!D37</f>
        <v>865160</v>
      </c>
      <c r="G38" s="267">
        <f t="shared" si="2"/>
        <v>3.486861196195389</v>
      </c>
      <c r="H38" s="267">
        <v>3.49</v>
      </c>
      <c r="I38" s="339">
        <v>3.4868611961953892E-2</v>
      </c>
      <c r="J38" s="330">
        <v>24812000</v>
      </c>
      <c r="K38" s="1">
        <f t="shared" si="0"/>
        <v>0</v>
      </c>
    </row>
    <row r="39" spans="1:11" ht="14.1" customHeight="1" x14ac:dyDescent="0.2">
      <c r="A39" s="271" t="s">
        <v>133</v>
      </c>
      <c r="B39" s="272">
        <f>'- 3 -'!B37</f>
        <v>53498000</v>
      </c>
      <c r="C39" s="272">
        <v>660000</v>
      </c>
      <c r="D39" s="272">
        <v>0</v>
      </c>
      <c r="E39" s="272">
        <f t="shared" si="1"/>
        <v>54158000</v>
      </c>
      <c r="F39" s="272">
        <f>'- 56 -'!D38</f>
        <v>1666100</v>
      </c>
      <c r="G39" s="273">
        <f t="shared" si="2"/>
        <v>3.0763691421396655</v>
      </c>
      <c r="H39" s="273">
        <v>3.11</v>
      </c>
      <c r="I39" s="338">
        <v>3.0763691421396653E-2</v>
      </c>
      <c r="J39" s="329">
        <v>54158000</v>
      </c>
      <c r="K39" s="1">
        <f t="shared" si="0"/>
        <v>0</v>
      </c>
    </row>
    <row r="40" spans="1:11" ht="14.1" customHeight="1" x14ac:dyDescent="0.2">
      <c r="A40" s="15" t="s">
        <v>134</v>
      </c>
      <c r="B40" s="16">
        <f>'- 3 -'!B38</f>
        <v>145994330</v>
      </c>
      <c r="C40" s="16">
        <v>2534600</v>
      </c>
      <c r="D40" s="16">
        <v>-899030</v>
      </c>
      <c r="E40" s="16">
        <f t="shared" si="1"/>
        <v>147629900</v>
      </c>
      <c r="F40" s="16">
        <f>'- 56 -'!D39</f>
        <v>4160490</v>
      </c>
      <c r="G40" s="267">
        <f t="shared" si="2"/>
        <v>2.8181892692469481</v>
      </c>
      <c r="H40" s="267">
        <v>3</v>
      </c>
      <c r="I40" s="339">
        <v>2.8181892692469481E-2</v>
      </c>
      <c r="J40" s="330">
        <v>147629900</v>
      </c>
      <c r="K40" s="1">
        <f t="shared" si="0"/>
        <v>0</v>
      </c>
    </row>
    <row r="41" spans="1:11" ht="14.1" customHeight="1" x14ac:dyDescent="0.2">
      <c r="A41" s="271" t="s">
        <v>135</v>
      </c>
      <c r="B41" s="272">
        <f>'- 3 -'!B39</f>
        <v>23562228</v>
      </c>
      <c r="C41" s="272">
        <v>0</v>
      </c>
      <c r="D41" s="272">
        <v>0</v>
      </c>
      <c r="E41" s="272">
        <f t="shared" si="1"/>
        <v>23562228</v>
      </c>
      <c r="F41" s="272">
        <f>'- 56 -'!D40</f>
        <v>827900</v>
      </c>
      <c r="G41" s="273">
        <f t="shared" si="2"/>
        <v>3.5136745132930551</v>
      </c>
      <c r="H41" s="273">
        <v>3.52</v>
      </c>
      <c r="I41" s="338">
        <v>3.5136745132930552E-2</v>
      </c>
      <c r="J41" s="329">
        <v>23562228</v>
      </c>
      <c r="K41" s="1">
        <f t="shared" si="0"/>
        <v>0</v>
      </c>
    </row>
    <row r="42" spans="1:11" ht="14.1" customHeight="1" x14ac:dyDescent="0.2">
      <c r="A42" s="15" t="s">
        <v>136</v>
      </c>
      <c r="B42" s="16">
        <f>'- 3 -'!B40</f>
        <v>108772302</v>
      </c>
      <c r="C42" s="16">
        <v>1023368</v>
      </c>
      <c r="D42" s="16">
        <v>0</v>
      </c>
      <c r="E42" s="16">
        <f t="shared" si="1"/>
        <v>109795670</v>
      </c>
      <c r="F42" s="16">
        <f>'- 56 -'!D41</f>
        <v>3284007</v>
      </c>
      <c r="G42" s="267">
        <f t="shared" si="2"/>
        <v>2.9910168588615562</v>
      </c>
      <c r="H42" s="267">
        <v>3</v>
      </c>
      <c r="I42" s="339">
        <v>2.9910168588615563E-2</v>
      </c>
      <c r="J42" s="330">
        <v>109795670</v>
      </c>
      <c r="K42" s="1">
        <f t="shared" si="0"/>
        <v>0</v>
      </c>
    </row>
    <row r="43" spans="1:11" ht="14.1" customHeight="1" x14ac:dyDescent="0.2">
      <c r="A43" s="271" t="s">
        <v>137</v>
      </c>
      <c r="B43" s="272">
        <f>'- 3 -'!B41</f>
        <v>65822774</v>
      </c>
      <c r="C43" s="272">
        <v>1242448</v>
      </c>
      <c r="D43" s="272">
        <v>-993120</v>
      </c>
      <c r="E43" s="272">
        <f t="shared" si="1"/>
        <v>66072102</v>
      </c>
      <c r="F43" s="272">
        <f>'- 56 -'!D42</f>
        <v>2022964</v>
      </c>
      <c r="G43" s="273">
        <f t="shared" si="2"/>
        <v>3.0617521446494922</v>
      </c>
      <c r="H43" s="273">
        <v>3.1</v>
      </c>
      <c r="I43" s="338">
        <v>3.0617521446494923E-2</v>
      </c>
      <c r="J43" s="329">
        <v>66072102</v>
      </c>
      <c r="K43" s="1">
        <f t="shared" si="0"/>
        <v>0</v>
      </c>
    </row>
    <row r="44" spans="1:11" ht="14.1" customHeight="1" x14ac:dyDescent="0.2">
      <c r="A44" s="15" t="s">
        <v>138</v>
      </c>
      <c r="B44" s="16">
        <f>'- 3 -'!B42</f>
        <v>21355552</v>
      </c>
      <c r="C44" s="16">
        <v>5000</v>
      </c>
      <c r="D44" s="16">
        <v>0</v>
      </c>
      <c r="E44" s="16">
        <f t="shared" si="1"/>
        <v>21360552</v>
      </c>
      <c r="F44" s="16">
        <f>'- 56 -'!D43</f>
        <v>747665</v>
      </c>
      <c r="G44" s="267">
        <f t="shared" si="2"/>
        <v>3.5002138521513864</v>
      </c>
      <c r="H44" s="267">
        <v>3.54</v>
      </c>
      <c r="I44" s="339">
        <v>3.5002138521513862E-2</v>
      </c>
      <c r="J44" s="330">
        <v>21360552</v>
      </c>
      <c r="K44" s="1">
        <f t="shared" si="0"/>
        <v>0</v>
      </c>
    </row>
    <row r="45" spans="1:11" ht="14.1" customHeight="1" x14ac:dyDescent="0.2">
      <c r="A45" s="271" t="s">
        <v>139</v>
      </c>
      <c r="B45" s="272">
        <f>'- 3 -'!B43</f>
        <v>13805857</v>
      </c>
      <c r="C45" s="272">
        <v>0</v>
      </c>
      <c r="D45" s="272">
        <v>-235437</v>
      </c>
      <c r="E45" s="272">
        <f t="shared" si="1"/>
        <v>13570420</v>
      </c>
      <c r="F45" s="272">
        <f>'- 56 -'!D44</f>
        <v>476710</v>
      </c>
      <c r="G45" s="273">
        <f t="shared" si="2"/>
        <v>3.5128610610430626</v>
      </c>
      <c r="H45" s="273">
        <v>3.5999999999999996</v>
      </c>
      <c r="I45" s="338">
        <v>3.5128610610430627E-2</v>
      </c>
      <c r="J45" s="329">
        <v>13570420</v>
      </c>
      <c r="K45" s="1">
        <f t="shared" si="0"/>
        <v>0</v>
      </c>
    </row>
    <row r="46" spans="1:11" ht="14.1" customHeight="1" x14ac:dyDescent="0.2">
      <c r="A46" s="15" t="s">
        <v>140</v>
      </c>
      <c r="B46" s="16">
        <f>'- 3 -'!B44</f>
        <v>11466012</v>
      </c>
      <c r="C46" s="16">
        <v>0</v>
      </c>
      <c r="D46" s="16">
        <v>0</v>
      </c>
      <c r="E46" s="16">
        <f t="shared" si="1"/>
        <v>11466012</v>
      </c>
      <c r="F46" s="16">
        <f>'- 56 -'!D45</f>
        <v>379359</v>
      </c>
      <c r="G46" s="267">
        <f t="shared" si="2"/>
        <v>3.3085522673445658</v>
      </c>
      <c r="H46" s="267">
        <v>3.5999999999999996</v>
      </c>
      <c r="I46" s="339">
        <v>3.308552267344566E-2</v>
      </c>
      <c r="J46" s="330">
        <v>11466012</v>
      </c>
      <c r="K46" s="1">
        <f t="shared" si="0"/>
        <v>0</v>
      </c>
    </row>
    <row r="47" spans="1:11" ht="14.1" customHeight="1" x14ac:dyDescent="0.2">
      <c r="A47" s="271" t="s">
        <v>141</v>
      </c>
      <c r="B47" s="272">
        <f>'- 3 -'!B45</f>
        <v>20982804</v>
      </c>
      <c r="C47" s="272">
        <v>268638</v>
      </c>
      <c r="D47" s="272">
        <v>-408005</v>
      </c>
      <c r="E47" s="272">
        <f>SUM(B47:D47)</f>
        <v>20843437</v>
      </c>
      <c r="F47" s="272">
        <f>'- 56 -'!D46</f>
        <v>720140</v>
      </c>
      <c r="G47" s="273">
        <f t="shared" si="2"/>
        <v>3.4549964096612285</v>
      </c>
      <c r="H47" s="273">
        <v>3.4799999999999995</v>
      </c>
      <c r="I47" s="338">
        <v>3.4549964096612283E-2</v>
      </c>
      <c r="J47" s="329">
        <v>20843437</v>
      </c>
      <c r="K47" s="1">
        <f t="shared" si="0"/>
        <v>0</v>
      </c>
    </row>
    <row r="48" spans="1:11" ht="14.1" customHeight="1" x14ac:dyDescent="0.2">
      <c r="A48" s="15" t="s">
        <v>142</v>
      </c>
      <c r="B48" s="16">
        <f>'- 3 -'!B46</f>
        <v>408898200</v>
      </c>
      <c r="C48" s="16">
        <v>2086600</v>
      </c>
      <c r="D48" s="16">
        <v>-784800</v>
      </c>
      <c r="E48" s="16">
        <f t="shared" si="1"/>
        <v>410200000</v>
      </c>
      <c r="F48" s="16">
        <f>'- 56 -'!D47</f>
        <v>11272800</v>
      </c>
      <c r="G48" s="267">
        <f t="shared" si="2"/>
        <v>2.7481228668941977</v>
      </c>
      <c r="H48" s="267">
        <v>3</v>
      </c>
      <c r="I48" s="339">
        <v>2.7481228668941978E-2</v>
      </c>
      <c r="J48" s="330">
        <v>410200000</v>
      </c>
      <c r="K48" s="1">
        <f t="shared" si="0"/>
        <v>0</v>
      </c>
    </row>
    <row r="49" spans="1:11" ht="5.0999999999999996" customHeight="1" x14ac:dyDescent="0.2">
      <c r="A49"/>
      <c r="B49"/>
      <c r="C49"/>
      <c r="D49"/>
      <c r="E49"/>
      <c r="F49"/>
      <c r="G49" s="505"/>
      <c r="H49"/>
      <c r="I49" s="341"/>
      <c r="J49" s="331"/>
    </row>
    <row r="50" spans="1:11" ht="14.45" customHeight="1" x14ac:dyDescent="0.2">
      <c r="A50" s="274" t="s">
        <v>143</v>
      </c>
      <c r="B50" s="275">
        <f>SUM(B13:B48)</f>
        <v>2197604732</v>
      </c>
      <c r="C50" s="275">
        <f>SUM(C13:C48)</f>
        <v>21289706</v>
      </c>
      <c r="D50" s="275">
        <f>SUM(D13:D48)</f>
        <v>-6615355</v>
      </c>
      <c r="E50" s="275">
        <f>SUM(E13:E48)</f>
        <v>2212279083</v>
      </c>
      <c r="F50" s="275">
        <f>SUM(F13:F48)</f>
        <v>65935616</v>
      </c>
      <c r="G50" s="276">
        <f>F50/E50*100</f>
        <v>2.980438431420092</v>
      </c>
      <c r="H50" s="506" t="s">
        <v>88</v>
      </c>
      <c r="I50" s="342"/>
      <c r="J50" s="343">
        <f>SUM(J13:J48)</f>
        <v>2212279083</v>
      </c>
      <c r="K50" s="1">
        <f>J50-E50</f>
        <v>0</v>
      </c>
    </row>
    <row r="51" spans="1:11" ht="5.0999999999999996" customHeight="1" x14ac:dyDescent="0.2">
      <c r="A51" s="17" t="s">
        <v>1</v>
      </c>
      <c r="B51" s="18"/>
      <c r="C51" s="18"/>
      <c r="D51" s="18"/>
      <c r="E51" s="18"/>
      <c r="F51" s="18"/>
      <c r="G51" s="266"/>
      <c r="H51" s="266"/>
      <c r="I51" s="341"/>
      <c r="J51" s="333"/>
    </row>
    <row r="52" spans="1:11" ht="14.45" customHeight="1" x14ac:dyDescent="0.2">
      <c r="A52" s="15" t="s">
        <v>144</v>
      </c>
      <c r="B52" s="16"/>
      <c r="C52" s="16"/>
      <c r="D52" s="16"/>
      <c r="E52" s="16"/>
      <c r="F52" s="16"/>
      <c r="G52" s="334" t="s">
        <v>88</v>
      </c>
      <c r="H52" s="334" t="s">
        <v>88</v>
      </c>
      <c r="I52" s="339">
        <v>4.046206878579417E-2</v>
      </c>
      <c r="J52" s="330">
        <v>3607082</v>
      </c>
    </row>
    <row r="53" spans="1:11" ht="14.45" customHeight="1" x14ac:dyDescent="0.2">
      <c r="A53" s="360" t="s">
        <v>514</v>
      </c>
      <c r="B53" s="272"/>
      <c r="C53" s="272"/>
      <c r="D53" s="272"/>
      <c r="E53" s="272"/>
      <c r="F53" s="272"/>
      <c r="G53" s="335" t="s">
        <v>88</v>
      </c>
      <c r="H53" s="335" t="s">
        <v>88</v>
      </c>
      <c r="I53" s="246"/>
      <c r="J53" s="240"/>
    </row>
    <row r="54" spans="1:11" ht="49.5" customHeight="1" x14ac:dyDescent="0.2">
      <c r="A54" s="19"/>
      <c r="B54" s="19"/>
      <c r="C54" s="19"/>
      <c r="D54" s="19"/>
      <c r="E54" s="19"/>
      <c r="F54" s="19"/>
      <c r="G54" s="19"/>
      <c r="H54" s="19"/>
    </row>
    <row r="55" spans="1:11" ht="14.45" customHeight="1" x14ac:dyDescent="0.2">
      <c r="A55" s="751" t="s">
        <v>499</v>
      </c>
      <c r="B55" s="751"/>
      <c r="C55" s="751"/>
      <c r="D55" s="751"/>
      <c r="E55" s="751"/>
      <c r="F55" s="751"/>
      <c r="G55" s="751"/>
      <c r="H55" s="751"/>
    </row>
    <row r="56" spans="1:11" ht="12" customHeight="1" x14ac:dyDescent="0.2">
      <c r="A56" s="784"/>
      <c r="B56" s="784"/>
      <c r="C56" s="784"/>
      <c r="D56" s="784"/>
      <c r="E56" s="784"/>
      <c r="F56" s="784"/>
      <c r="G56" s="784"/>
      <c r="H56" s="784"/>
    </row>
    <row r="57" spans="1:11" ht="14.45" customHeight="1" x14ac:dyDescent="0.2">
      <c r="A57" s="31"/>
      <c r="B57" s="31"/>
      <c r="C57" s="31"/>
      <c r="D57" s="31"/>
    </row>
    <row r="58" spans="1:11" ht="14.45" customHeight="1" x14ac:dyDescent="0.2">
      <c r="A58" s="31"/>
      <c r="B58" s="31"/>
      <c r="C58" s="31"/>
      <c r="D58" s="31"/>
    </row>
    <row r="59" spans="1:11" ht="14.45" customHeight="1" x14ac:dyDescent="0.2">
      <c r="A59" s="31"/>
      <c r="B59" s="31"/>
      <c r="C59" s="31"/>
      <c r="D59" s="31"/>
    </row>
    <row r="60" spans="1:11" x14ac:dyDescent="0.2">
      <c r="A60" s="31"/>
    </row>
  </sheetData>
  <mergeCells count="9">
    <mergeCell ref="B4:H4"/>
    <mergeCell ref="A55:H56"/>
    <mergeCell ref="B8:B11"/>
    <mergeCell ref="C8:C11"/>
    <mergeCell ref="E9:E11"/>
    <mergeCell ref="F8:F11"/>
    <mergeCell ref="H6:H11"/>
    <mergeCell ref="G6:G11"/>
    <mergeCell ref="D7:D11"/>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39">
    <pageSetUpPr autoPageBreaks="0" fitToPage="1"/>
  </sheetPr>
  <dimension ref="A1:BB56"/>
  <sheetViews>
    <sheetView showGridLines="0" showZeros="0" defaultGridColor="0" colorId="22" workbookViewId="0"/>
  </sheetViews>
  <sheetFormatPr defaultColWidth="15.83203125" defaultRowHeight="12" x14ac:dyDescent="0.2"/>
  <cols>
    <col min="1" max="1" width="26.1640625" style="378" bestFit="1" customWidth="1"/>
    <col min="2" max="2" width="15.83203125" style="395" customWidth="1"/>
    <col min="3" max="3" width="13.33203125" style="378" customWidth="1"/>
    <col min="4" max="4" width="13.1640625" style="378" customWidth="1"/>
    <col min="5" max="5" width="16" style="378" customWidth="1"/>
    <col min="6" max="6" width="15.33203125" style="378" customWidth="1"/>
    <col min="7" max="7" width="14.83203125" style="378" customWidth="1"/>
    <col min="8" max="8" width="10.5" style="378" customWidth="1"/>
    <col min="9" max="9" width="13" style="378" customWidth="1"/>
    <col min="10" max="16384" width="15.83203125" style="378"/>
  </cols>
  <sheetData>
    <row r="1" spans="1:54" ht="20.25" x14ac:dyDescent="0.3">
      <c r="A1" s="376"/>
      <c r="B1" s="377"/>
    </row>
    <row r="2" spans="1:54" s="380" customFormat="1" ht="15.95" customHeight="1" x14ac:dyDescent="0.2">
      <c r="A2" s="800" t="s">
        <v>541</v>
      </c>
      <c r="B2" s="801"/>
      <c r="C2" s="801"/>
      <c r="D2" s="801"/>
      <c r="E2" s="801"/>
      <c r="F2" s="801"/>
      <c r="G2" s="801"/>
      <c r="H2" s="801"/>
      <c r="I2" s="379"/>
      <c r="BA2" s="483" t="s">
        <v>505</v>
      </c>
      <c r="BB2" s="483" t="s">
        <v>506</v>
      </c>
    </row>
    <row r="3" spans="1:54" s="380" customFormat="1" ht="15.95" customHeight="1" x14ac:dyDescent="0.2">
      <c r="A3" s="802" t="str">
        <f>IF(Lang=1,BA3,BB3)</f>
        <v>2018/2019 BUDGET</v>
      </c>
      <c r="B3" s="803"/>
      <c r="C3" s="803"/>
      <c r="D3" s="803"/>
      <c r="E3" s="803"/>
      <c r="F3" s="803"/>
      <c r="G3" s="803"/>
      <c r="H3" s="803"/>
      <c r="I3" s="381"/>
      <c r="BA3" s="483" t="str">
        <f>RIGHT(TEXT('- 57 -'!B2,"0"),16)</f>
        <v>2018/2019 BUDGET</v>
      </c>
      <c r="BB3" s="484" t="str">
        <f>"BUDGET "&amp;TEXT(YEAR,"0")&amp;" - "&amp;TEXT(YEAR+1,"0")</f>
        <v>BUDGET 2018 - 2019</v>
      </c>
    </row>
    <row r="4" spans="1:54" x14ac:dyDescent="0.2">
      <c r="B4" s="382"/>
    </row>
    <row r="5" spans="1:54" x14ac:dyDescent="0.2">
      <c r="B5" s="382"/>
    </row>
    <row r="6" spans="1:54" x14ac:dyDescent="0.2">
      <c r="B6" s="378"/>
    </row>
    <row r="7" spans="1:54" x14ac:dyDescent="0.2">
      <c r="B7" s="799"/>
      <c r="C7" s="799"/>
      <c r="D7" s="799"/>
      <c r="E7" s="799"/>
      <c r="F7" s="799"/>
      <c r="G7" s="799"/>
      <c r="H7" s="799"/>
    </row>
    <row r="8" spans="1:54" ht="36" customHeight="1" x14ac:dyDescent="0.2">
      <c r="A8" s="383"/>
      <c r="B8" s="804" t="s">
        <v>301</v>
      </c>
      <c r="C8" s="795" t="s">
        <v>104</v>
      </c>
      <c r="D8" s="796"/>
      <c r="E8" s="805" t="s">
        <v>302</v>
      </c>
      <c r="F8" s="797" t="s">
        <v>303</v>
      </c>
      <c r="G8" s="797" t="s">
        <v>342</v>
      </c>
      <c r="H8" s="797" t="s">
        <v>304</v>
      </c>
      <c r="I8" s="797" t="s">
        <v>13</v>
      </c>
    </row>
    <row r="9" spans="1:54" ht="18.75" customHeight="1" x14ac:dyDescent="0.2">
      <c r="A9" s="384" t="s">
        <v>265</v>
      </c>
      <c r="B9" s="798"/>
      <c r="C9" s="426" t="s">
        <v>343</v>
      </c>
      <c r="D9" s="426" t="s">
        <v>19</v>
      </c>
      <c r="E9" s="798"/>
      <c r="F9" s="798"/>
      <c r="G9" s="798"/>
      <c r="H9" s="798"/>
      <c r="I9" s="798"/>
    </row>
    <row r="10" spans="1:54" ht="3.95" customHeight="1" x14ac:dyDescent="0.2">
      <c r="A10" s="385"/>
      <c r="B10" s="382"/>
    </row>
    <row r="11" spans="1:54" x14ac:dyDescent="0.2">
      <c r="A11" s="386" t="s">
        <v>108</v>
      </c>
      <c r="B11" s="387">
        <v>11.65</v>
      </c>
      <c r="C11" s="387">
        <v>121.67</v>
      </c>
      <c r="D11" s="387">
        <v>56.85</v>
      </c>
      <c r="E11" s="387">
        <v>41.11</v>
      </c>
      <c r="F11" s="387">
        <v>9.49</v>
      </c>
      <c r="G11" s="387">
        <v>2</v>
      </c>
      <c r="H11" s="387">
        <v>2.25</v>
      </c>
      <c r="I11" s="387">
        <f t="shared" ref="I11:I46" si="0">SUM(B11:H11)</f>
        <v>245.01999999999998</v>
      </c>
    </row>
    <row r="12" spans="1:54" x14ac:dyDescent="0.2">
      <c r="A12" s="388" t="s">
        <v>109</v>
      </c>
      <c r="B12" s="389">
        <v>19.375</v>
      </c>
      <c r="C12" s="389">
        <v>177.55</v>
      </c>
      <c r="D12" s="389">
        <v>117.54</v>
      </c>
      <c r="E12" s="389">
        <v>67.59</v>
      </c>
      <c r="F12" s="389">
        <v>24.830000000000002</v>
      </c>
      <c r="G12" s="389">
        <v>6.9</v>
      </c>
      <c r="H12" s="389">
        <v>5.125</v>
      </c>
      <c r="I12" s="389">
        <f t="shared" si="0"/>
        <v>418.91</v>
      </c>
    </row>
    <row r="13" spans="1:54" x14ac:dyDescent="0.2">
      <c r="A13" s="386" t="s">
        <v>110</v>
      </c>
      <c r="B13" s="387">
        <v>48.75</v>
      </c>
      <c r="C13" s="387">
        <v>631.39</v>
      </c>
      <c r="D13" s="387">
        <v>302.41999999999996</v>
      </c>
      <c r="E13" s="387">
        <v>137.47</v>
      </c>
      <c r="F13" s="387">
        <v>49.6</v>
      </c>
      <c r="G13" s="387">
        <v>28.25</v>
      </c>
      <c r="H13" s="387">
        <v>8</v>
      </c>
      <c r="I13" s="387">
        <f t="shared" si="0"/>
        <v>1205.8799999999999</v>
      </c>
    </row>
    <row r="14" spans="1:54" x14ac:dyDescent="0.2">
      <c r="A14" s="388" t="s">
        <v>319</v>
      </c>
      <c r="B14" s="389">
        <v>59.3</v>
      </c>
      <c r="C14" s="389">
        <v>434.4</v>
      </c>
      <c r="D14" s="389">
        <v>240</v>
      </c>
      <c r="E14" s="389">
        <v>73</v>
      </c>
      <c r="F14" s="389">
        <v>55.5</v>
      </c>
      <c r="G14" s="389">
        <v>11.4</v>
      </c>
      <c r="H14" s="389">
        <v>8</v>
      </c>
      <c r="I14" s="389">
        <f t="shared" si="0"/>
        <v>881.6</v>
      </c>
    </row>
    <row r="15" spans="1:54" x14ac:dyDescent="0.2">
      <c r="A15" s="386" t="s">
        <v>111</v>
      </c>
      <c r="B15" s="387">
        <v>12.9</v>
      </c>
      <c r="C15" s="387">
        <v>100.8</v>
      </c>
      <c r="D15" s="387">
        <v>59.7</v>
      </c>
      <c r="E15" s="387">
        <v>37.799999999999997</v>
      </c>
      <c r="F15" s="387">
        <v>13.629999999999999</v>
      </c>
      <c r="G15" s="387">
        <v>2.2000000000000002</v>
      </c>
      <c r="H15" s="387">
        <v>2</v>
      </c>
      <c r="I15" s="387">
        <f t="shared" si="0"/>
        <v>229.02999999999997</v>
      </c>
    </row>
    <row r="16" spans="1:54" x14ac:dyDescent="0.2">
      <c r="A16" s="388" t="s">
        <v>112</v>
      </c>
      <c r="B16" s="389">
        <v>12.17</v>
      </c>
      <c r="C16" s="389">
        <v>70.55</v>
      </c>
      <c r="D16" s="389">
        <v>29</v>
      </c>
      <c r="E16" s="389">
        <v>26</v>
      </c>
      <c r="F16" s="389">
        <v>8.5</v>
      </c>
      <c r="G16" s="389">
        <v>2.7</v>
      </c>
      <c r="H16" s="389">
        <v>1</v>
      </c>
      <c r="I16" s="389">
        <f t="shared" si="0"/>
        <v>149.91999999999999</v>
      </c>
    </row>
    <row r="17" spans="1:9" x14ac:dyDescent="0.2">
      <c r="A17" s="386" t="s">
        <v>266</v>
      </c>
      <c r="B17" s="387">
        <v>10.76</v>
      </c>
      <c r="C17" s="387">
        <v>103.11</v>
      </c>
      <c r="D17" s="387">
        <v>43.05</v>
      </c>
      <c r="E17" s="387">
        <v>50.4</v>
      </c>
      <c r="F17" s="387">
        <v>13.52</v>
      </c>
      <c r="G17" s="387">
        <v>3</v>
      </c>
      <c r="H17" s="387">
        <v>2</v>
      </c>
      <c r="I17" s="387">
        <f t="shared" si="0"/>
        <v>225.84000000000003</v>
      </c>
    </row>
    <row r="18" spans="1:9" x14ac:dyDescent="0.2">
      <c r="A18" s="388" t="s">
        <v>267</v>
      </c>
      <c r="B18" s="389">
        <v>71.38</v>
      </c>
      <c r="C18" s="389">
        <v>464.9</v>
      </c>
      <c r="D18" s="389">
        <v>452.43</v>
      </c>
      <c r="E18" s="389">
        <v>290.85000000000002</v>
      </c>
      <c r="F18" s="389">
        <v>70.599999999999994</v>
      </c>
      <c r="G18" s="389">
        <v>23.57</v>
      </c>
      <c r="H18" s="389">
        <v>10</v>
      </c>
      <c r="I18" s="389">
        <f t="shared" si="0"/>
        <v>1383.7299999999998</v>
      </c>
    </row>
    <row r="19" spans="1:9" x14ac:dyDescent="0.2">
      <c r="A19" s="386" t="s">
        <v>268</v>
      </c>
      <c r="B19" s="387">
        <v>21.600000000000005</v>
      </c>
      <c r="C19" s="387">
        <v>284.97000000000003</v>
      </c>
      <c r="D19" s="387">
        <v>185.27</v>
      </c>
      <c r="E19" s="387">
        <v>117.015</v>
      </c>
      <c r="F19" s="387">
        <v>19.3</v>
      </c>
      <c r="G19" s="387">
        <v>11.8</v>
      </c>
      <c r="H19" s="387">
        <v>8</v>
      </c>
      <c r="I19" s="387">
        <f t="shared" si="0"/>
        <v>647.95499999999993</v>
      </c>
    </row>
    <row r="20" spans="1:9" x14ac:dyDescent="0.2">
      <c r="A20" s="388" t="s">
        <v>269</v>
      </c>
      <c r="B20" s="389">
        <v>43.585000000000001</v>
      </c>
      <c r="C20" s="389">
        <v>516.68700000000001</v>
      </c>
      <c r="D20" s="389">
        <v>166.78</v>
      </c>
      <c r="E20" s="389">
        <v>208.64999999999998</v>
      </c>
      <c r="F20" s="389">
        <v>71.248999999999995</v>
      </c>
      <c r="G20" s="389">
        <v>19.100000000000001</v>
      </c>
      <c r="H20" s="389">
        <v>11.33</v>
      </c>
      <c r="I20" s="389">
        <f t="shared" si="0"/>
        <v>1037.3809999999999</v>
      </c>
    </row>
    <row r="21" spans="1:9" x14ac:dyDescent="0.2">
      <c r="A21" s="386" t="s">
        <v>270</v>
      </c>
      <c r="B21" s="387">
        <v>22.75</v>
      </c>
      <c r="C21" s="387">
        <v>215.76000000000002</v>
      </c>
      <c r="D21" s="387">
        <v>100.86</v>
      </c>
      <c r="E21" s="387">
        <v>71.03</v>
      </c>
      <c r="F21" s="387">
        <v>24.25</v>
      </c>
      <c r="G21" s="387">
        <v>8</v>
      </c>
      <c r="H21" s="387">
        <v>6</v>
      </c>
      <c r="I21" s="387">
        <f t="shared" si="0"/>
        <v>448.65</v>
      </c>
    </row>
    <row r="22" spans="1:9" x14ac:dyDescent="0.2">
      <c r="A22" s="388" t="s">
        <v>271</v>
      </c>
      <c r="B22" s="389">
        <v>10.45</v>
      </c>
      <c r="C22" s="389">
        <v>119.5</v>
      </c>
      <c r="D22" s="389">
        <v>57</v>
      </c>
      <c r="E22" s="389">
        <v>30.15</v>
      </c>
      <c r="F22" s="389">
        <v>16</v>
      </c>
      <c r="G22" s="389">
        <v>3</v>
      </c>
      <c r="H22" s="389">
        <v>2</v>
      </c>
      <c r="I22" s="389">
        <f t="shared" si="0"/>
        <v>238.1</v>
      </c>
    </row>
    <row r="23" spans="1:9" x14ac:dyDescent="0.2">
      <c r="A23" s="386" t="s">
        <v>272</v>
      </c>
      <c r="B23" s="387">
        <v>10.5</v>
      </c>
      <c r="C23" s="387">
        <v>83</v>
      </c>
      <c r="D23" s="387">
        <v>60.5</v>
      </c>
      <c r="E23" s="387">
        <v>33</v>
      </c>
      <c r="F23" s="387">
        <v>9.5</v>
      </c>
      <c r="G23" s="387">
        <v>5.25</v>
      </c>
      <c r="H23" s="387">
        <v>2</v>
      </c>
      <c r="I23" s="387">
        <f t="shared" si="0"/>
        <v>203.75</v>
      </c>
    </row>
    <row r="24" spans="1:9" x14ac:dyDescent="0.2">
      <c r="A24" s="388" t="s">
        <v>273</v>
      </c>
      <c r="B24" s="389">
        <v>30.5</v>
      </c>
      <c r="C24" s="389">
        <v>295.25</v>
      </c>
      <c r="D24" s="389">
        <v>179.13</v>
      </c>
      <c r="E24" s="389">
        <v>120.16999999999999</v>
      </c>
      <c r="F24" s="389">
        <v>33.5</v>
      </c>
      <c r="G24" s="389">
        <v>16.5</v>
      </c>
      <c r="H24" s="389">
        <v>10</v>
      </c>
      <c r="I24" s="389">
        <f t="shared" si="0"/>
        <v>685.05</v>
      </c>
    </row>
    <row r="25" spans="1:9" x14ac:dyDescent="0.2">
      <c r="A25" s="386" t="s">
        <v>274</v>
      </c>
      <c r="B25" s="387">
        <v>85</v>
      </c>
      <c r="C25" s="387">
        <v>1021.5</v>
      </c>
      <c r="D25" s="387">
        <v>591.91</v>
      </c>
      <c r="E25" s="387">
        <v>181.2</v>
      </c>
      <c r="F25" s="387">
        <v>120.4</v>
      </c>
      <c r="G25" s="387">
        <v>43.08</v>
      </c>
      <c r="H25" s="387">
        <v>19</v>
      </c>
      <c r="I25" s="387">
        <f t="shared" si="0"/>
        <v>2062.09</v>
      </c>
    </row>
    <row r="26" spans="1:9" x14ac:dyDescent="0.2">
      <c r="A26" s="388" t="s">
        <v>275</v>
      </c>
      <c r="B26" s="389">
        <v>29.549999999999997</v>
      </c>
      <c r="C26" s="389">
        <v>209.2</v>
      </c>
      <c r="D26" s="389">
        <v>134.63</v>
      </c>
      <c r="E26" s="389">
        <v>114.36000000000001</v>
      </c>
      <c r="F26" s="389">
        <v>24.96</v>
      </c>
      <c r="G26" s="389">
        <v>7.1</v>
      </c>
      <c r="H26" s="389">
        <v>7</v>
      </c>
      <c r="I26" s="389">
        <f t="shared" si="0"/>
        <v>526.80000000000007</v>
      </c>
    </row>
    <row r="27" spans="1:9" x14ac:dyDescent="0.2">
      <c r="A27" s="386" t="s">
        <v>276</v>
      </c>
      <c r="B27" s="387">
        <v>18.48</v>
      </c>
      <c r="C27" s="387">
        <v>231.49</v>
      </c>
      <c r="D27" s="387">
        <v>108</v>
      </c>
      <c r="E27" s="387">
        <v>39.549999999999997</v>
      </c>
      <c r="F27" s="387">
        <v>22</v>
      </c>
      <c r="G27" s="387">
        <v>13.629999999999999</v>
      </c>
      <c r="H27" s="387">
        <v>5</v>
      </c>
      <c r="I27" s="387">
        <f t="shared" si="0"/>
        <v>438.15000000000003</v>
      </c>
    </row>
    <row r="28" spans="1:9" x14ac:dyDescent="0.2">
      <c r="A28" s="388" t="s">
        <v>277</v>
      </c>
      <c r="B28" s="389">
        <v>16.45</v>
      </c>
      <c r="C28" s="389">
        <v>159.73999999999998</v>
      </c>
      <c r="D28" s="389">
        <v>88.684545454545457</v>
      </c>
      <c r="E28" s="389">
        <v>55.9</v>
      </c>
      <c r="F28" s="389">
        <v>18.179999999999996</v>
      </c>
      <c r="G28" s="389">
        <v>3.45</v>
      </c>
      <c r="H28" s="389">
        <v>4</v>
      </c>
      <c r="I28" s="389">
        <f t="shared" si="0"/>
        <v>346.40454545454543</v>
      </c>
    </row>
    <row r="29" spans="1:9" x14ac:dyDescent="0.2">
      <c r="A29" s="386" t="s">
        <v>278</v>
      </c>
      <c r="B29" s="387">
        <v>79.05</v>
      </c>
      <c r="C29" s="387">
        <v>910.56</v>
      </c>
      <c r="D29" s="387">
        <v>509.55999999999995</v>
      </c>
      <c r="E29" s="387">
        <v>188.9</v>
      </c>
      <c r="F29" s="387">
        <v>115.42999999999999</v>
      </c>
      <c r="G29" s="387">
        <v>28.35</v>
      </c>
      <c r="H29" s="387">
        <v>22.66</v>
      </c>
      <c r="I29" s="387">
        <f t="shared" si="0"/>
        <v>1854.51</v>
      </c>
    </row>
    <row r="30" spans="1:9" x14ac:dyDescent="0.2">
      <c r="A30" s="388" t="s">
        <v>279</v>
      </c>
      <c r="B30" s="389">
        <v>12.2</v>
      </c>
      <c r="C30" s="389">
        <v>81.080000000000013</v>
      </c>
      <c r="D30" s="389">
        <v>39.522999999999996</v>
      </c>
      <c r="E30" s="389">
        <v>40.299999999999997</v>
      </c>
      <c r="F30" s="389">
        <v>11.049999999999999</v>
      </c>
      <c r="G30" s="389">
        <v>3.5</v>
      </c>
      <c r="H30" s="389">
        <v>2</v>
      </c>
      <c r="I30" s="389">
        <f t="shared" si="0"/>
        <v>189.65300000000002</v>
      </c>
    </row>
    <row r="31" spans="1:9" x14ac:dyDescent="0.2">
      <c r="A31" s="386" t="s">
        <v>280</v>
      </c>
      <c r="B31" s="387">
        <v>20.71</v>
      </c>
      <c r="C31" s="387">
        <v>237.75</v>
      </c>
      <c r="D31" s="387">
        <v>144.22999999999999</v>
      </c>
      <c r="E31" s="387">
        <v>80.97</v>
      </c>
      <c r="F31" s="387">
        <v>21.11</v>
      </c>
      <c r="G31" s="387">
        <v>5</v>
      </c>
      <c r="H31" s="387">
        <v>6.04</v>
      </c>
      <c r="I31" s="387">
        <f t="shared" si="0"/>
        <v>515.80999999999995</v>
      </c>
    </row>
    <row r="32" spans="1:9" x14ac:dyDescent="0.2">
      <c r="A32" s="388" t="s">
        <v>281</v>
      </c>
      <c r="B32" s="389">
        <v>16</v>
      </c>
      <c r="C32" s="389">
        <v>175.35</v>
      </c>
      <c r="D32" s="389">
        <v>78.280000000000015</v>
      </c>
      <c r="E32" s="389">
        <v>71.87</v>
      </c>
      <c r="F32" s="389">
        <v>20.490000000000002</v>
      </c>
      <c r="G32" s="389">
        <v>4</v>
      </c>
      <c r="H32" s="389">
        <v>4</v>
      </c>
      <c r="I32" s="389">
        <f t="shared" si="0"/>
        <v>369.99</v>
      </c>
    </row>
    <row r="33" spans="1:9" x14ac:dyDescent="0.2">
      <c r="A33" s="386" t="s">
        <v>282</v>
      </c>
      <c r="B33" s="387">
        <v>19.009999999999998</v>
      </c>
      <c r="C33" s="387">
        <v>149.75</v>
      </c>
      <c r="D33" s="387">
        <v>99.42</v>
      </c>
      <c r="E33" s="387">
        <v>79.275000000000006</v>
      </c>
      <c r="F33" s="387">
        <v>19.849999999999998</v>
      </c>
      <c r="G33" s="387">
        <v>4.1500000000000004</v>
      </c>
      <c r="H33" s="387">
        <v>6</v>
      </c>
      <c r="I33" s="387">
        <f t="shared" si="0"/>
        <v>377.45500000000004</v>
      </c>
    </row>
    <row r="34" spans="1:9" x14ac:dyDescent="0.2">
      <c r="A34" s="388" t="s">
        <v>283</v>
      </c>
      <c r="B34" s="389">
        <v>16.75</v>
      </c>
      <c r="C34" s="389">
        <v>163.41</v>
      </c>
      <c r="D34" s="389">
        <v>84.51</v>
      </c>
      <c r="E34" s="389">
        <v>83.6</v>
      </c>
      <c r="F34" s="389">
        <v>17.220000000000002</v>
      </c>
      <c r="G34" s="389">
        <v>7.0100000000000007</v>
      </c>
      <c r="H34" s="389">
        <v>4.3899999999999997</v>
      </c>
      <c r="I34" s="389">
        <f t="shared" si="0"/>
        <v>376.89</v>
      </c>
    </row>
    <row r="35" spans="1:9" x14ac:dyDescent="0.2">
      <c r="A35" s="386" t="s">
        <v>284</v>
      </c>
      <c r="B35" s="387">
        <v>93.15</v>
      </c>
      <c r="C35" s="387">
        <v>1076.6599999999999</v>
      </c>
      <c r="D35" s="387">
        <v>469.85</v>
      </c>
      <c r="E35" s="387">
        <v>284.55</v>
      </c>
      <c r="F35" s="387">
        <v>124.07</v>
      </c>
      <c r="G35" s="387">
        <v>29.5</v>
      </c>
      <c r="H35" s="387">
        <v>17</v>
      </c>
      <c r="I35" s="387">
        <f t="shared" si="0"/>
        <v>2094.7799999999997</v>
      </c>
    </row>
    <row r="36" spans="1:9" x14ac:dyDescent="0.2">
      <c r="A36" s="388" t="s">
        <v>285</v>
      </c>
      <c r="B36" s="389">
        <v>14.525</v>
      </c>
      <c r="C36" s="389">
        <v>126.03999999999999</v>
      </c>
      <c r="D36" s="389">
        <v>69</v>
      </c>
      <c r="E36" s="389">
        <v>59.49</v>
      </c>
      <c r="F36" s="389">
        <v>15.504999999999999</v>
      </c>
      <c r="G36" s="389">
        <v>3</v>
      </c>
      <c r="H36" s="389">
        <v>3</v>
      </c>
      <c r="I36" s="389">
        <f t="shared" si="0"/>
        <v>290.56</v>
      </c>
    </row>
    <row r="37" spans="1:9" x14ac:dyDescent="0.2">
      <c r="A37" s="386" t="s">
        <v>286</v>
      </c>
      <c r="B37" s="387">
        <v>29.5</v>
      </c>
      <c r="C37" s="387">
        <v>290.60000000000002</v>
      </c>
      <c r="D37" s="387">
        <v>141.5</v>
      </c>
      <c r="E37" s="387">
        <v>125.5</v>
      </c>
      <c r="F37" s="387">
        <v>31.7</v>
      </c>
      <c r="G37" s="387">
        <v>13.85</v>
      </c>
      <c r="H37" s="387">
        <v>5</v>
      </c>
      <c r="I37" s="387">
        <f t="shared" si="0"/>
        <v>637.65000000000009</v>
      </c>
    </row>
    <row r="38" spans="1:9" x14ac:dyDescent="0.2">
      <c r="A38" s="388" t="s">
        <v>287</v>
      </c>
      <c r="B38" s="389">
        <v>70.399999999999991</v>
      </c>
      <c r="C38" s="389">
        <v>765.62</v>
      </c>
      <c r="D38" s="389">
        <v>344.40999999999997</v>
      </c>
      <c r="E38" s="389">
        <v>155.70000000000002</v>
      </c>
      <c r="F38" s="389">
        <v>78.350000000000009</v>
      </c>
      <c r="G38" s="389">
        <v>21.4</v>
      </c>
      <c r="H38" s="389">
        <v>10</v>
      </c>
      <c r="I38" s="389">
        <f t="shared" si="0"/>
        <v>1445.8799999999999</v>
      </c>
    </row>
    <row r="39" spans="1:9" x14ac:dyDescent="0.2">
      <c r="A39" s="386" t="s">
        <v>288</v>
      </c>
      <c r="B39" s="387">
        <v>12.73</v>
      </c>
      <c r="C39" s="387">
        <v>122.63999999999999</v>
      </c>
      <c r="D39" s="387">
        <v>58.83</v>
      </c>
      <c r="E39" s="387">
        <v>58.08</v>
      </c>
      <c r="F39" s="387">
        <v>13.75</v>
      </c>
      <c r="G39" s="387">
        <v>2.6800000000000006</v>
      </c>
      <c r="H39" s="387">
        <v>2.5</v>
      </c>
      <c r="I39" s="387">
        <f t="shared" si="0"/>
        <v>271.20999999999998</v>
      </c>
    </row>
    <row r="40" spans="1:9" x14ac:dyDescent="0.2">
      <c r="A40" s="388" t="s">
        <v>289</v>
      </c>
      <c r="B40" s="389">
        <v>57.150000000000006</v>
      </c>
      <c r="C40" s="389">
        <v>572.29</v>
      </c>
      <c r="D40" s="389">
        <v>329.29999999999995</v>
      </c>
      <c r="E40" s="389">
        <v>102.07000000000001</v>
      </c>
      <c r="F40" s="389">
        <v>70.78</v>
      </c>
      <c r="G40" s="389">
        <v>28.35</v>
      </c>
      <c r="H40" s="389">
        <v>12</v>
      </c>
      <c r="I40" s="389">
        <f t="shared" si="0"/>
        <v>1171.9399999999998</v>
      </c>
    </row>
    <row r="41" spans="1:9" x14ac:dyDescent="0.2">
      <c r="A41" s="386" t="s">
        <v>290</v>
      </c>
      <c r="B41" s="387">
        <v>32.450000000000003</v>
      </c>
      <c r="C41" s="387">
        <v>328.43</v>
      </c>
      <c r="D41" s="387">
        <v>148.63</v>
      </c>
      <c r="E41" s="387">
        <v>164.4</v>
      </c>
      <c r="F41" s="387">
        <v>38.4</v>
      </c>
      <c r="G41" s="387">
        <v>17.629999999999995</v>
      </c>
      <c r="H41" s="387">
        <v>6</v>
      </c>
      <c r="I41" s="387">
        <f t="shared" si="0"/>
        <v>735.93999999999994</v>
      </c>
    </row>
    <row r="42" spans="1:9" x14ac:dyDescent="0.2">
      <c r="A42" s="388" t="s">
        <v>291</v>
      </c>
      <c r="B42" s="389">
        <v>11.759999999999998</v>
      </c>
      <c r="C42" s="389">
        <v>102.68</v>
      </c>
      <c r="D42" s="389">
        <v>67.040000000000006</v>
      </c>
      <c r="E42" s="389">
        <v>55.85</v>
      </c>
      <c r="F42" s="389">
        <v>15.92</v>
      </c>
      <c r="G42" s="389">
        <v>3</v>
      </c>
      <c r="H42" s="389">
        <v>5</v>
      </c>
      <c r="I42" s="389">
        <f t="shared" si="0"/>
        <v>261.25</v>
      </c>
    </row>
    <row r="43" spans="1:9" x14ac:dyDescent="0.2">
      <c r="A43" s="386" t="s">
        <v>292</v>
      </c>
      <c r="B43" s="387">
        <v>7.6099999999999994</v>
      </c>
      <c r="C43" s="387">
        <v>73.36</v>
      </c>
      <c r="D43" s="387">
        <v>38.880000000000003</v>
      </c>
      <c r="E43" s="387">
        <v>30.84</v>
      </c>
      <c r="F43" s="387">
        <v>6.7400000000000011</v>
      </c>
      <c r="G43" s="387">
        <v>5</v>
      </c>
      <c r="H43" s="387">
        <v>1.27</v>
      </c>
      <c r="I43" s="387">
        <f t="shared" si="0"/>
        <v>163.70000000000002</v>
      </c>
    </row>
    <row r="44" spans="1:9" x14ac:dyDescent="0.2">
      <c r="A44" s="388" t="s">
        <v>293</v>
      </c>
      <c r="B44" s="389">
        <v>5.4</v>
      </c>
      <c r="C44" s="389">
        <v>61</v>
      </c>
      <c r="D44" s="389">
        <v>37.119999999999997</v>
      </c>
      <c r="E44" s="389">
        <v>39.230000000000004</v>
      </c>
      <c r="F44" s="389">
        <v>7.1599999999999993</v>
      </c>
      <c r="G44" s="389">
        <v>1.55</v>
      </c>
      <c r="H44" s="389">
        <v>2</v>
      </c>
      <c r="I44" s="389">
        <f t="shared" si="0"/>
        <v>153.46</v>
      </c>
    </row>
    <row r="45" spans="1:9" x14ac:dyDescent="0.2">
      <c r="A45" s="386" t="s">
        <v>294</v>
      </c>
      <c r="B45" s="387">
        <v>10.5</v>
      </c>
      <c r="C45" s="387">
        <v>123.50999999999999</v>
      </c>
      <c r="D45" s="387">
        <v>66.27000000000001</v>
      </c>
      <c r="E45" s="387">
        <v>34.409999999999997</v>
      </c>
      <c r="F45" s="387">
        <v>11.93</v>
      </c>
      <c r="G45" s="387">
        <v>2.8</v>
      </c>
      <c r="H45" s="387">
        <v>4</v>
      </c>
      <c r="I45" s="387">
        <f t="shared" si="0"/>
        <v>253.42000000000002</v>
      </c>
    </row>
    <row r="46" spans="1:9" x14ac:dyDescent="0.2">
      <c r="A46" s="388" t="s">
        <v>295</v>
      </c>
      <c r="B46" s="389">
        <v>137.92000000000002</v>
      </c>
      <c r="C46" s="389">
        <v>2136.9100000000003</v>
      </c>
      <c r="D46" s="389">
        <v>1130.6300000000001</v>
      </c>
      <c r="E46" s="389">
        <v>704</v>
      </c>
      <c r="F46" s="389">
        <v>270.5</v>
      </c>
      <c r="G46" s="389">
        <v>84.58</v>
      </c>
      <c r="H46" s="389">
        <v>18</v>
      </c>
      <c r="I46" s="389">
        <f t="shared" si="0"/>
        <v>4482.5400000000009</v>
      </c>
    </row>
    <row r="47" spans="1:9" ht="6" customHeight="1" x14ac:dyDescent="0.2">
      <c r="A47" s="388"/>
      <c r="B47" s="389"/>
      <c r="C47" s="389"/>
      <c r="D47" s="389"/>
      <c r="E47" s="389"/>
      <c r="F47" s="389"/>
      <c r="G47" s="389"/>
      <c r="H47" s="389"/>
      <c r="I47" s="389"/>
    </row>
    <row r="48" spans="1:9" x14ac:dyDescent="0.2">
      <c r="A48" s="390" t="s">
        <v>224</v>
      </c>
      <c r="B48" s="391">
        <f t="shared" ref="B48:I48" si="1">SUM(B11:B46)</f>
        <v>1181.9650000000001</v>
      </c>
      <c r="C48" s="391">
        <f t="shared" si="1"/>
        <v>12739.107000000002</v>
      </c>
      <c r="D48" s="391">
        <f t="shared" si="1"/>
        <v>6830.7375454545463</v>
      </c>
      <c r="E48" s="391">
        <f t="shared" si="1"/>
        <v>4054.28</v>
      </c>
      <c r="F48" s="391">
        <f t="shared" si="1"/>
        <v>1494.9640000000004</v>
      </c>
      <c r="G48" s="391">
        <f t="shared" si="1"/>
        <v>476.28000000000003</v>
      </c>
      <c r="H48" s="391">
        <f t="shared" si="1"/>
        <v>243.565</v>
      </c>
      <c r="I48" s="391">
        <f t="shared" si="1"/>
        <v>27020.89854545454</v>
      </c>
    </row>
    <row r="49" spans="1:9" ht="6" customHeight="1" x14ac:dyDescent="0.2">
      <c r="B49" s="392"/>
      <c r="C49" s="392"/>
      <c r="D49" s="392"/>
      <c r="E49" s="392"/>
      <c r="F49" s="392"/>
      <c r="G49" s="392"/>
      <c r="H49" s="392"/>
      <c r="I49" s="392"/>
    </row>
    <row r="50" spans="1:9" x14ac:dyDescent="0.2">
      <c r="A50" s="388" t="s">
        <v>296</v>
      </c>
      <c r="B50" s="389">
        <v>1.875</v>
      </c>
      <c r="C50" s="389">
        <v>17.87</v>
      </c>
      <c r="D50" s="389">
        <v>5.125</v>
      </c>
      <c r="E50" s="389">
        <v>2.62</v>
      </c>
      <c r="F50" s="389">
        <v>3.1</v>
      </c>
      <c r="G50" s="389">
        <v>0.2</v>
      </c>
      <c r="H50" s="389">
        <v>0</v>
      </c>
      <c r="I50" s="389">
        <f>SUM(B50:H50)</f>
        <v>30.790000000000003</v>
      </c>
    </row>
    <row r="51" spans="1:9" x14ac:dyDescent="0.2">
      <c r="A51" s="360" t="s">
        <v>514</v>
      </c>
      <c r="B51" s="387">
        <v>25</v>
      </c>
      <c r="C51" s="387">
        <v>47</v>
      </c>
      <c r="D51" s="387">
        <v>15</v>
      </c>
      <c r="E51" s="387">
        <v>75</v>
      </c>
      <c r="F51" s="387">
        <v>7</v>
      </c>
      <c r="G51" s="387">
        <v>0.8</v>
      </c>
      <c r="H51" s="387">
        <v>3</v>
      </c>
      <c r="I51" s="387">
        <f>SUM(B51:H51)</f>
        <v>172.8</v>
      </c>
    </row>
    <row r="52" spans="1:9" ht="49.5" customHeight="1" x14ac:dyDescent="0.2">
      <c r="A52" s="393"/>
      <c r="B52" s="393"/>
      <c r="C52" s="394">
        <v>0</v>
      </c>
      <c r="D52" s="393"/>
      <c r="E52" s="393"/>
      <c r="F52" s="393"/>
      <c r="G52" s="393"/>
      <c r="H52" s="393"/>
      <c r="I52" s="393"/>
    </row>
    <row r="53" spans="1:9" x14ac:dyDescent="0.2">
      <c r="A53" s="793" t="s">
        <v>504</v>
      </c>
      <c r="B53" s="793"/>
      <c r="C53" s="793"/>
      <c r="D53" s="793"/>
      <c r="E53" s="793"/>
      <c r="F53" s="793"/>
      <c r="G53" s="793"/>
      <c r="H53" s="793"/>
      <c r="I53" s="793"/>
    </row>
    <row r="54" spans="1:9" x14ac:dyDescent="0.2">
      <c r="A54" s="794"/>
      <c r="B54" s="794"/>
      <c r="C54" s="794"/>
      <c r="D54" s="794"/>
      <c r="E54" s="794"/>
      <c r="F54" s="794"/>
      <c r="G54" s="794"/>
      <c r="H54" s="794"/>
      <c r="I54" s="794"/>
    </row>
    <row r="55" spans="1:9" x14ac:dyDescent="0.2">
      <c r="A55" s="234" t="s">
        <v>353</v>
      </c>
      <c r="B55" s="378"/>
      <c r="C55" s="395"/>
    </row>
    <row r="56" spans="1:9" x14ac:dyDescent="0.2">
      <c r="A56" s="234" t="s">
        <v>324</v>
      </c>
      <c r="B56" s="378"/>
      <c r="C56" s="395"/>
    </row>
  </sheetData>
  <mergeCells count="11">
    <mergeCell ref="A53:I54"/>
    <mergeCell ref="C8:D8"/>
    <mergeCell ref="I8:I9"/>
    <mergeCell ref="B7:H7"/>
    <mergeCell ref="A2:H2"/>
    <mergeCell ref="A3:H3"/>
    <mergeCell ref="B8:B9"/>
    <mergeCell ref="E8:E9"/>
    <mergeCell ref="F8:F9"/>
    <mergeCell ref="G8:G9"/>
    <mergeCell ref="H8:H9"/>
  </mergeCells>
  <phoneticPr fontId="21" type="noConversion"/>
  <printOptions horizontalCentered="1"/>
  <pageMargins left="0.51180000000000003" right="0.51180000000000003" top="0.59055118110236204" bottom="0" header="0.31496062992126" footer="0"/>
  <pageSetup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B57"/>
  <sheetViews>
    <sheetView showGridLines="0" workbookViewId="0"/>
  </sheetViews>
  <sheetFormatPr defaultColWidth="19.83203125" defaultRowHeight="12" x14ac:dyDescent="0.2"/>
  <cols>
    <col min="1" max="1" width="30.83203125" style="399" customWidth="1"/>
    <col min="2" max="2" width="17" style="399" customWidth="1"/>
    <col min="3" max="3" width="12" style="399" customWidth="1"/>
    <col min="4" max="4" width="16.83203125" style="399" customWidth="1"/>
    <col min="5" max="5" width="11.5" style="399" customWidth="1"/>
    <col min="6" max="6" width="13.33203125" style="399" customWidth="1"/>
    <col min="7" max="7" width="12.5" style="399" customWidth="1"/>
    <col min="8" max="8" width="19.83203125" style="399"/>
    <col min="9" max="9" width="19.83203125" style="420"/>
    <col min="10" max="16384" width="19.83203125" style="399"/>
  </cols>
  <sheetData>
    <row r="1" spans="1:54" ht="6.95" customHeight="1" x14ac:dyDescent="0.2">
      <c r="A1" s="397"/>
      <c r="B1" s="398"/>
      <c r="C1" s="398"/>
    </row>
    <row r="2" spans="1:54" ht="15.95" customHeight="1" x14ac:dyDescent="0.2">
      <c r="A2" s="400" t="str">
        <f>IF(Lang=1,BA2,BB2)</f>
        <v>DIRECT SUPPORT TO PUPILS</v>
      </c>
      <c r="B2" s="401"/>
      <c r="C2" s="401"/>
      <c r="D2" s="401"/>
      <c r="E2" s="401"/>
      <c r="F2" s="401"/>
      <c r="G2" s="401"/>
      <c r="BA2" s="487" t="s">
        <v>307</v>
      </c>
      <c r="BB2" s="487" t="s">
        <v>508</v>
      </c>
    </row>
    <row r="3" spans="1:54" ht="15.95" customHeight="1" x14ac:dyDescent="0.2">
      <c r="A3" s="417" t="str">
        <f>+'- 60 -'!A3</f>
        <v>2017/18 AND 2018/19 BUDGET</v>
      </c>
      <c r="B3" s="402"/>
      <c r="C3" s="402"/>
      <c r="D3" s="402"/>
      <c r="E3" s="402"/>
      <c r="F3" s="402"/>
      <c r="G3" s="402"/>
    </row>
    <row r="4" spans="1:54" ht="15.95" customHeight="1" x14ac:dyDescent="0.2">
      <c r="B4" s="398"/>
      <c r="C4" s="398"/>
    </row>
    <row r="5" spans="1:54" ht="12" customHeight="1" x14ac:dyDescent="0.2">
      <c r="B5" s="398"/>
      <c r="C5" s="398"/>
    </row>
    <row r="6" spans="1:54" ht="15.75" customHeight="1" x14ac:dyDescent="0.2">
      <c r="B6"/>
      <c r="C6"/>
      <c r="D6"/>
      <c r="E6"/>
      <c r="F6"/>
      <c r="G6"/>
    </row>
    <row r="7" spans="1:54" x14ac:dyDescent="0.2">
      <c r="A7" s="519"/>
      <c r="B7" s="812" t="s">
        <v>567</v>
      </c>
      <c r="C7" s="813"/>
      <c r="D7" s="813"/>
      <c r="E7" s="814"/>
      <c r="F7" s="808" t="s">
        <v>566</v>
      </c>
      <c r="G7" s="809"/>
    </row>
    <row r="8" spans="1:54" ht="17.25" customHeight="1" x14ac:dyDescent="0.2">
      <c r="A8" s="520"/>
      <c r="B8" s="815"/>
      <c r="C8" s="815"/>
      <c r="D8" s="815"/>
      <c r="E8" s="816"/>
      <c r="F8" s="810"/>
      <c r="G8" s="811"/>
    </row>
    <row r="9" spans="1:54" ht="25.5" customHeight="1" x14ac:dyDescent="0.2">
      <c r="A9" s="403" t="s">
        <v>37</v>
      </c>
      <c r="B9" s="518" t="str">
        <f>+'- 60 -'!B9</f>
        <v>2017/18</v>
      </c>
      <c r="C9" s="486" t="s">
        <v>309</v>
      </c>
      <c r="D9" s="485" t="str">
        <f>+'- 60 -'!C9</f>
        <v>2018/19</v>
      </c>
      <c r="E9" s="486" t="s">
        <v>309</v>
      </c>
      <c r="F9" s="485" t="str">
        <f>+B9</f>
        <v>2017/18</v>
      </c>
      <c r="G9" s="485" t="str">
        <f>+D9</f>
        <v>2018/19</v>
      </c>
    </row>
    <row r="10" spans="1:54" ht="5.0999999999999996" customHeight="1" x14ac:dyDescent="0.2">
      <c r="A10" s="404"/>
      <c r="B10" s="405"/>
      <c r="C10" s="405"/>
      <c r="D10" s="397"/>
      <c r="E10" s="397"/>
      <c r="F10" s="397"/>
    </row>
    <row r="11" spans="1:54" ht="14.1" customHeight="1" x14ac:dyDescent="0.2">
      <c r="A11" s="406" t="s">
        <v>108</v>
      </c>
      <c r="B11" s="407">
        <v>15937939</v>
      </c>
      <c r="C11" s="408">
        <v>79.107801742721065</v>
      </c>
      <c r="D11" s="407">
        <v>16102618</v>
      </c>
      <c r="E11" s="408">
        <f>+D11/'- 3 -'!F11*100</f>
        <v>79.204310060135313</v>
      </c>
      <c r="F11" s="407">
        <v>8874.1308463251662</v>
      </c>
      <c r="G11" s="407">
        <f>+D11/'- 7 -'!E11</f>
        <v>8928.5378430828951</v>
      </c>
      <c r="I11" s="421" t="str">
        <f>IF(+D11-'- 15 -'!B11-'- 15 -'!E11-'- 16 -'!G11=0,"","Ckeck")</f>
        <v/>
      </c>
    </row>
    <row r="12" spans="1:54" ht="14.1" customHeight="1" x14ac:dyDescent="0.2">
      <c r="A12" s="409" t="s">
        <v>109</v>
      </c>
      <c r="B12" s="410">
        <v>26291556</v>
      </c>
      <c r="C12" s="411">
        <v>76.69628862398811</v>
      </c>
      <c r="D12" s="410">
        <v>26418961</v>
      </c>
      <c r="E12" s="411">
        <f>+D12/'- 3 -'!F12*100</f>
        <v>77.364726686934375</v>
      </c>
      <c r="F12" s="410">
        <v>12228.630697674418</v>
      </c>
      <c r="G12" s="410">
        <f>+D12/'- 7 -'!E12</f>
        <v>12400.357193147149</v>
      </c>
      <c r="I12" s="421" t="str">
        <f>IF(+D12-'- 15 -'!B12-'- 15 -'!E12-'- 16 -'!G12=0,"","Ckeck")</f>
        <v/>
      </c>
    </row>
    <row r="13" spans="1:54" ht="14.1" customHeight="1" x14ac:dyDescent="0.2">
      <c r="A13" s="406" t="s">
        <v>110</v>
      </c>
      <c r="B13" s="407">
        <v>85364000</v>
      </c>
      <c r="C13" s="408">
        <v>84.117877758879956</v>
      </c>
      <c r="D13" s="407">
        <v>87437400</v>
      </c>
      <c r="E13" s="408">
        <f>+D13/'- 3 -'!F13*100</f>
        <v>84.277093279126049</v>
      </c>
      <c r="F13" s="407">
        <v>10007.502930832356</v>
      </c>
      <c r="G13" s="407">
        <f>+D13/'- 7 -'!E13</f>
        <v>10174.237840353735</v>
      </c>
      <c r="I13" s="421" t="str">
        <f>IF(+D13-'- 15 -'!B13-'- 15 -'!E13-'- 16 -'!G13=0,"","Ckeck")</f>
        <v/>
      </c>
    </row>
    <row r="14" spans="1:54" ht="14.1" customHeight="1" x14ac:dyDescent="0.2">
      <c r="A14" s="409" t="s">
        <v>319</v>
      </c>
      <c r="B14" s="410">
        <v>63916416</v>
      </c>
      <c r="C14" s="411">
        <v>72.24640398283573</v>
      </c>
      <c r="D14" s="410">
        <v>66415646</v>
      </c>
      <c r="E14" s="411">
        <f>+D14/'- 3 -'!F14*100</f>
        <v>72.652774039490495</v>
      </c>
      <c r="F14" s="410">
        <v>11475.119569120287</v>
      </c>
      <c r="G14" s="410">
        <f>+D14/'- 7 -'!E14</f>
        <v>11470.7506044905</v>
      </c>
      <c r="I14" s="421" t="str">
        <f>IF(+D14-'- 15 -'!B14-'- 15 -'!E14-'- 16 -'!G14=0,"","Ckeck")</f>
        <v/>
      </c>
    </row>
    <row r="15" spans="1:54" ht="14.1" customHeight="1" x14ac:dyDescent="0.2">
      <c r="A15" s="406" t="s">
        <v>111</v>
      </c>
      <c r="B15" s="407">
        <v>15185736</v>
      </c>
      <c r="C15" s="408">
        <v>73.583086663059007</v>
      </c>
      <c r="D15" s="407">
        <v>15381527</v>
      </c>
      <c r="E15" s="408">
        <f>+D15/'- 3 -'!F15*100</f>
        <v>74.300407689048598</v>
      </c>
      <c r="F15" s="407">
        <v>11020.127721335268</v>
      </c>
      <c r="G15" s="407">
        <f>+D15/'- 7 -'!E15</f>
        <v>11402.169755374351</v>
      </c>
      <c r="I15" s="421" t="str">
        <f>IF(+D15-'- 15 -'!B15-'- 15 -'!E15-'- 16 -'!G15=0,"","Ckeck")</f>
        <v/>
      </c>
    </row>
    <row r="16" spans="1:54" ht="14.1" customHeight="1" x14ac:dyDescent="0.2">
      <c r="A16" s="409" t="s">
        <v>112</v>
      </c>
      <c r="B16" s="410">
        <v>10921509</v>
      </c>
      <c r="C16" s="411">
        <v>74.361204991643689</v>
      </c>
      <c r="D16" s="410">
        <v>11030716</v>
      </c>
      <c r="E16" s="411">
        <f>+D16/'- 3 -'!F16*100</f>
        <v>74.713747405762305</v>
      </c>
      <c r="F16" s="410">
        <v>11775.211859838275</v>
      </c>
      <c r="G16" s="410">
        <f>+D16/'- 7 -'!E16</f>
        <v>11950.938244853738</v>
      </c>
      <c r="I16" s="421" t="str">
        <f>IF(+D16-'- 15 -'!B16-'- 15 -'!E16-'- 16 -'!G16=0,"","Ckeck")</f>
        <v/>
      </c>
    </row>
    <row r="17" spans="1:9" ht="14.1" customHeight="1" x14ac:dyDescent="0.2">
      <c r="A17" s="406" t="s">
        <v>113</v>
      </c>
      <c r="B17" s="407">
        <v>13737591</v>
      </c>
      <c r="C17" s="408">
        <v>74.943913137975102</v>
      </c>
      <c r="D17" s="407">
        <v>13957082</v>
      </c>
      <c r="E17" s="408">
        <f>+D17/'- 3 -'!F17*100</f>
        <v>75.79915584664559</v>
      </c>
      <c r="F17" s="407">
        <v>9753.3482428115021</v>
      </c>
      <c r="G17" s="407">
        <f>+D17/'- 7 -'!E17</f>
        <v>10012.253945480632</v>
      </c>
      <c r="I17" s="421" t="str">
        <f>IF(+D17-'- 15 -'!B17-'- 15 -'!E17-'- 16 -'!G17=0,"","Ckeck")</f>
        <v/>
      </c>
    </row>
    <row r="18" spans="1:9" ht="14.1" customHeight="1" x14ac:dyDescent="0.2">
      <c r="A18" s="409" t="s">
        <v>114</v>
      </c>
      <c r="B18" s="410">
        <v>84167436</v>
      </c>
      <c r="C18" s="411">
        <v>65.92676210461272</v>
      </c>
      <c r="D18" s="410">
        <v>87039955</v>
      </c>
      <c r="E18" s="411">
        <f>+D18/'- 3 -'!F18*100</f>
        <v>66.873174835426909</v>
      </c>
      <c r="F18" s="410">
        <v>13764.544384117224</v>
      </c>
      <c r="G18" s="410">
        <f>+D18/'- 7 -'!E18</f>
        <v>14186.97923458078</v>
      </c>
      <c r="I18" s="421" t="str">
        <f>IF(+D18-'- 15 -'!B18-'- 15 -'!E18-'- 16 -'!G18=0,"","Ckeck")</f>
        <v/>
      </c>
    </row>
    <row r="19" spans="1:9" ht="14.1" customHeight="1" x14ac:dyDescent="0.2">
      <c r="A19" s="406" t="s">
        <v>115</v>
      </c>
      <c r="B19" s="407">
        <v>38776782</v>
      </c>
      <c r="C19" s="408">
        <v>79.682002560515613</v>
      </c>
      <c r="D19" s="407">
        <v>40262600</v>
      </c>
      <c r="E19" s="408">
        <f>+D19/'- 3 -'!F19*100</f>
        <v>80.144832624364767</v>
      </c>
      <c r="F19" s="407">
        <v>8937.8315085859176</v>
      </c>
      <c r="G19" s="407">
        <f>+D19/'- 7 -'!E19</f>
        <v>9231.3653559555205</v>
      </c>
      <c r="I19" s="421" t="str">
        <f>IF(+D19-'- 15 -'!B19-'- 15 -'!E19-'- 16 -'!G19=0,"","Ckeck")</f>
        <v/>
      </c>
    </row>
    <row r="20" spans="1:9" ht="14.1" customHeight="1" x14ac:dyDescent="0.2">
      <c r="A20" s="409" t="s">
        <v>116</v>
      </c>
      <c r="B20" s="410">
        <v>67226100</v>
      </c>
      <c r="C20" s="411">
        <v>79.331630882953391</v>
      </c>
      <c r="D20" s="410">
        <v>69660600</v>
      </c>
      <c r="E20" s="411">
        <f>+D20/'- 3 -'!F20*100</f>
        <v>79.98709378136131</v>
      </c>
      <c r="F20" s="410">
        <v>8679.9354422207871</v>
      </c>
      <c r="G20" s="410">
        <f>+D20/'- 7 -'!E20</f>
        <v>8858.1637843336721</v>
      </c>
      <c r="I20" s="421" t="str">
        <f>IF(+D20-'- 15 -'!B20-'- 15 -'!E20-'- 16 -'!G20=0,"","Ckeck")</f>
        <v/>
      </c>
    </row>
    <row r="21" spans="1:9" ht="14.1" customHeight="1" x14ac:dyDescent="0.2">
      <c r="A21" s="406" t="s">
        <v>117</v>
      </c>
      <c r="B21" s="407">
        <v>28971200</v>
      </c>
      <c r="C21" s="408">
        <v>78.567244483978044</v>
      </c>
      <c r="D21" s="407">
        <v>29434800</v>
      </c>
      <c r="E21" s="408">
        <f>+D21/'- 3 -'!F21*100</f>
        <v>78.98435650992765</v>
      </c>
      <c r="F21" s="407">
        <v>10513.953910361097</v>
      </c>
      <c r="G21" s="407">
        <f>+D21/'- 7 -'!E21</f>
        <v>10491.819639992871</v>
      </c>
      <c r="I21" s="421" t="str">
        <f>IF(+D21-'- 15 -'!B21-'- 15 -'!E21-'- 16 -'!G21=0,"","Ckeck")</f>
        <v/>
      </c>
    </row>
    <row r="22" spans="1:9" ht="14.1" customHeight="1" x14ac:dyDescent="0.2">
      <c r="A22" s="409" t="s">
        <v>118</v>
      </c>
      <c r="B22" s="410">
        <v>16134241</v>
      </c>
      <c r="C22" s="411">
        <v>78.399215339271748</v>
      </c>
      <c r="D22" s="410">
        <v>15781556</v>
      </c>
      <c r="E22" s="411">
        <f>+D22/'- 3 -'!F22*100</f>
        <v>78.202840049087513</v>
      </c>
      <c r="F22" s="410">
        <v>10620.221827277514</v>
      </c>
      <c r="G22" s="410">
        <f>+D22/'- 7 -'!E22</f>
        <v>10830.05489980785</v>
      </c>
      <c r="I22" s="421" t="str">
        <f>IF(+D22-'- 15 -'!B22-'- 15 -'!E22-'- 16 -'!G22=0,"","Ckeck")</f>
        <v/>
      </c>
    </row>
    <row r="23" spans="1:9" ht="14.1" customHeight="1" x14ac:dyDescent="0.2">
      <c r="A23" s="406" t="s">
        <v>119</v>
      </c>
      <c r="B23" s="407">
        <v>12136099</v>
      </c>
      <c r="C23" s="408">
        <v>74.427102724815569</v>
      </c>
      <c r="D23" s="407">
        <v>12145491</v>
      </c>
      <c r="E23" s="408">
        <f>+D23/'- 3 -'!F23*100</f>
        <v>73.989648081811382</v>
      </c>
      <c r="F23" s="407">
        <v>10982.895022624434</v>
      </c>
      <c r="G23" s="407">
        <f>+D23/'- 7 -'!E23</f>
        <v>11678.35673076923</v>
      </c>
      <c r="I23" s="421" t="str">
        <f>IF(+D23-'- 15 -'!B23-'- 15 -'!E23-'- 16 -'!G23=0,"","Ckeck")</f>
        <v/>
      </c>
    </row>
    <row r="24" spans="1:9" ht="14.1" customHeight="1" x14ac:dyDescent="0.2">
      <c r="A24" s="409" t="s">
        <v>120</v>
      </c>
      <c r="B24" s="410">
        <v>45301088</v>
      </c>
      <c r="C24" s="411">
        <v>78.582696405229825</v>
      </c>
      <c r="D24" s="410">
        <v>45467203</v>
      </c>
      <c r="E24" s="411">
        <f>+D24/'- 3 -'!F24*100</f>
        <v>78.881169285499269</v>
      </c>
      <c r="F24" s="410">
        <v>11632.067787906022</v>
      </c>
      <c r="G24" s="410">
        <f>+D24/'- 7 -'!E24</f>
        <v>12041.10248940678</v>
      </c>
      <c r="I24" s="421" t="str">
        <f>IF(+D24-'- 15 -'!B24-'- 15 -'!E24-'- 16 -'!G24=0,"","Ckeck")</f>
        <v/>
      </c>
    </row>
    <row r="25" spans="1:9" ht="14.1" customHeight="1" x14ac:dyDescent="0.2">
      <c r="A25" s="406" t="s">
        <v>121</v>
      </c>
      <c r="B25" s="407">
        <v>147843417</v>
      </c>
      <c r="C25" s="408">
        <v>82.445236289785342</v>
      </c>
      <c r="D25" s="407">
        <v>152313287</v>
      </c>
      <c r="E25" s="408">
        <f>+D25/'- 3 -'!F25*100</f>
        <v>82.325023724618276</v>
      </c>
      <c r="F25" s="407">
        <v>10215.471894973225</v>
      </c>
      <c r="G25" s="407">
        <f>+D25/'- 7 -'!E25</f>
        <v>10232.669600268728</v>
      </c>
      <c r="I25" s="421" t="str">
        <f>IF(+D25-'- 15 -'!B25-'- 15 -'!E25-'- 16 -'!G25=0,"","Ckeck")</f>
        <v/>
      </c>
    </row>
    <row r="26" spans="1:9" ht="14.1" customHeight="1" x14ac:dyDescent="0.2">
      <c r="A26" s="409" t="s">
        <v>122</v>
      </c>
      <c r="B26" s="410">
        <v>30490052</v>
      </c>
      <c r="C26" s="411">
        <v>74.240664057623519</v>
      </c>
      <c r="D26" s="410">
        <v>30482964</v>
      </c>
      <c r="E26" s="411">
        <f>+D26/'- 3 -'!F26*100</f>
        <v>74.488420241765212</v>
      </c>
      <c r="F26" s="410">
        <v>9996.7383606557378</v>
      </c>
      <c r="G26" s="410">
        <f>+D26/'- 7 -'!E26</f>
        <v>10739.110093359168</v>
      </c>
      <c r="I26" s="421" t="str">
        <f>IF(+D26-'- 15 -'!B26-'- 15 -'!E26-'- 16 -'!G26=0,"","Ckeck")</f>
        <v/>
      </c>
    </row>
    <row r="27" spans="1:9" ht="14.1" customHeight="1" x14ac:dyDescent="0.2">
      <c r="A27" s="406" t="s">
        <v>123</v>
      </c>
      <c r="B27" s="407">
        <v>35577869</v>
      </c>
      <c r="C27" s="408">
        <v>80.880759660862438</v>
      </c>
      <c r="D27" s="407">
        <v>34370616</v>
      </c>
      <c r="E27" s="408">
        <f>+D27/'- 3 -'!F27*100</f>
        <v>80.55565861484672</v>
      </c>
      <c r="F27" s="407">
        <v>11897.133883018365</v>
      </c>
      <c r="G27" s="407">
        <f>+D27/'- 7 -'!E27</f>
        <v>11280.149655398753</v>
      </c>
      <c r="I27" s="421" t="str">
        <f>IF(+D27-'- 15 -'!B27-'- 15 -'!E27-'- 16 -'!G27=0,"","Ckeck")</f>
        <v/>
      </c>
    </row>
    <row r="28" spans="1:9" ht="14.1" customHeight="1" x14ac:dyDescent="0.2">
      <c r="A28" s="409" t="s">
        <v>124</v>
      </c>
      <c r="B28" s="410">
        <v>21589519</v>
      </c>
      <c r="C28" s="411">
        <v>75.294915725709188</v>
      </c>
      <c r="D28" s="410">
        <v>21532339</v>
      </c>
      <c r="E28" s="411">
        <f>+D28/'- 3 -'!F28*100</f>
        <v>75.373771992538636</v>
      </c>
      <c r="F28" s="410">
        <v>11020.683511995916</v>
      </c>
      <c r="G28" s="410">
        <f>+D28/'- 7 -'!E28</f>
        <v>11002.728155339806</v>
      </c>
      <c r="I28" s="421" t="str">
        <f>IF(+D28-'- 15 -'!B28-'- 15 -'!E28-'- 16 -'!G28=0,"","Ckeck")</f>
        <v/>
      </c>
    </row>
    <row r="29" spans="1:9" ht="14.1" customHeight="1" x14ac:dyDescent="0.2">
      <c r="A29" s="406" t="s">
        <v>125</v>
      </c>
      <c r="B29" s="407">
        <v>132210590</v>
      </c>
      <c r="C29" s="408">
        <v>80.719783295121189</v>
      </c>
      <c r="D29" s="407">
        <v>135588605</v>
      </c>
      <c r="E29" s="408">
        <f>+D29/'- 3 -'!F29*100</f>
        <v>80.1106670621961</v>
      </c>
      <c r="F29" s="407">
        <v>10120.3002166275</v>
      </c>
      <c r="G29" s="407">
        <f>+D29/'- 7 -'!E29</f>
        <v>10035.497635242657</v>
      </c>
      <c r="I29" s="421" t="str">
        <f>IF(+D29-'- 15 -'!B29-'- 15 -'!E29-'- 16 -'!G29=0,"","Ckeck")</f>
        <v/>
      </c>
    </row>
    <row r="30" spans="1:9" ht="14.1" customHeight="1" x14ac:dyDescent="0.2">
      <c r="A30" s="409" t="s">
        <v>126</v>
      </c>
      <c r="B30" s="410">
        <v>11244801</v>
      </c>
      <c r="C30" s="411">
        <v>74.305403985047207</v>
      </c>
      <c r="D30" s="410">
        <v>11543120</v>
      </c>
      <c r="E30" s="411">
        <f>+D30/'- 3 -'!F30*100</f>
        <v>75.629145989203934</v>
      </c>
      <c r="F30" s="410">
        <v>11073.166912850813</v>
      </c>
      <c r="G30" s="410">
        <f>+D30/'- 7 -'!E30</f>
        <v>11428.831683168317</v>
      </c>
      <c r="I30" s="421" t="str">
        <f>IF(+D30-'- 15 -'!B30-'- 15 -'!E30-'- 16 -'!G30=0,"","Ckeck")</f>
        <v/>
      </c>
    </row>
    <row r="31" spans="1:9" ht="14.1" customHeight="1" x14ac:dyDescent="0.2">
      <c r="A31" s="406" t="s">
        <v>127</v>
      </c>
      <c r="B31" s="407">
        <v>31012087</v>
      </c>
      <c r="C31" s="408">
        <v>81.097175387970651</v>
      </c>
      <c r="D31" s="407">
        <v>31970569</v>
      </c>
      <c r="E31" s="408">
        <f>+D31/'- 3 -'!F31*100</f>
        <v>82.290212982430972</v>
      </c>
      <c r="F31" s="407">
        <v>9441.9506774242655</v>
      </c>
      <c r="G31" s="407">
        <f>+D31/'- 7 -'!E31</f>
        <v>9846.4901906433824</v>
      </c>
      <c r="I31" s="421" t="str">
        <f>IF(+D31-'- 15 -'!B31-'- 15 -'!E31-'- 16 -'!G31=0,"","Ckeck")</f>
        <v/>
      </c>
    </row>
    <row r="32" spans="1:9" ht="14.1" customHeight="1" x14ac:dyDescent="0.2">
      <c r="A32" s="409" t="s">
        <v>128</v>
      </c>
      <c r="B32" s="410">
        <v>23725493</v>
      </c>
      <c r="C32" s="411">
        <v>76.534759397619922</v>
      </c>
      <c r="D32" s="410">
        <v>23347871</v>
      </c>
      <c r="E32" s="411">
        <f>+D32/'- 3 -'!F32*100</f>
        <v>76.016966971376533</v>
      </c>
      <c r="F32" s="410">
        <v>10720.963849977406</v>
      </c>
      <c r="G32" s="410">
        <f>+D32/'- 7 -'!E32</f>
        <v>10314.94190413077</v>
      </c>
      <c r="I32" s="421" t="str">
        <f>IF(+D32-'- 15 -'!B32-'- 15 -'!E32-'- 16 -'!G32=0,"","Ckeck")</f>
        <v/>
      </c>
    </row>
    <row r="33" spans="1:9" ht="14.1" customHeight="1" x14ac:dyDescent="0.2">
      <c r="A33" s="406" t="s">
        <v>129</v>
      </c>
      <c r="B33" s="407">
        <v>21059000</v>
      </c>
      <c r="C33" s="408">
        <v>74.300532759411496</v>
      </c>
      <c r="D33" s="407">
        <v>21254260</v>
      </c>
      <c r="E33" s="408">
        <f>+D33/'- 3 -'!F33*100</f>
        <v>74.592745577484123</v>
      </c>
      <c r="F33" s="407">
        <v>10614.415322580646</v>
      </c>
      <c r="G33" s="407">
        <f>+D33/'- 7 -'!E33</f>
        <v>10355.30328867235</v>
      </c>
      <c r="I33" s="421" t="str">
        <f>IF(+D33-'- 15 -'!B33-'- 15 -'!E33-'- 16 -'!G33=0,"","Ckeck")</f>
        <v/>
      </c>
    </row>
    <row r="34" spans="1:9" ht="14.1" customHeight="1" x14ac:dyDescent="0.2">
      <c r="A34" s="409" t="s">
        <v>130</v>
      </c>
      <c r="B34" s="410">
        <v>23020512</v>
      </c>
      <c r="C34" s="411">
        <v>75.020044277787633</v>
      </c>
      <c r="D34" s="410">
        <v>23504309</v>
      </c>
      <c r="E34" s="411">
        <f>+D34/'- 3 -'!F34*100</f>
        <v>75.610160245495607</v>
      </c>
      <c r="F34" s="410">
        <v>11202.195620437957</v>
      </c>
      <c r="G34" s="410">
        <f>+D34/'- 7 -'!E34</f>
        <v>10834.97395473194</v>
      </c>
      <c r="I34" s="421" t="str">
        <f>IF(+D34-'- 15 -'!B34-'- 15 -'!E34-'- 16 -'!G34=0,"","Ckeck")</f>
        <v/>
      </c>
    </row>
    <row r="35" spans="1:9" ht="14.1" customHeight="1" x14ac:dyDescent="0.2">
      <c r="A35" s="406" t="s">
        <v>131</v>
      </c>
      <c r="B35" s="407">
        <v>150028938</v>
      </c>
      <c r="C35" s="408">
        <v>81.254722392112626</v>
      </c>
      <c r="D35" s="407">
        <v>154644837</v>
      </c>
      <c r="E35" s="408">
        <f>+D35/'- 3 -'!F35*100</f>
        <v>81.259562537610734</v>
      </c>
      <c r="F35" s="407">
        <v>9554.4619009711823</v>
      </c>
      <c r="G35" s="407">
        <f>+D35/'- 7 -'!E35</f>
        <v>9579.0904980178402</v>
      </c>
      <c r="I35" s="421" t="str">
        <f>IF(+D35-'- 15 -'!B35-'- 15 -'!E35-'- 16 -'!G35=0,"","Ckeck")</f>
        <v/>
      </c>
    </row>
    <row r="36" spans="1:9" ht="14.1" customHeight="1" x14ac:dyDescent="0.2">
      <c r="A36" s="409" t="s">
        <v>132</v>
      </c>
      <c r="B36" s="410">
        <v>18054520</v>
      </c>
      <c r="C36" s="411">
        <v>75.439875682810651</v>
      </c>
      <c r="D36" s="410">
        <v>18076070</v>
      </c>
      <c r="E36" s="411">
        <f>+D36/'- 3 -'!F36*100</f>
        <v>75.082544372922371</v>
      </c>
      <c r="F36" s="410">
        <v>10737.151352958668</v>
      </c>
      <c r="G36" s="410">
        <f>+D36/'- 7 -'!E36</f>
        <v>10617.368575624083</v>
      </c>
      <c r="I36" s="421" t="str">
        <f>IF(+D36-'- 15 -'!B36-'- 15 -'!E36-'- 16 -'!G36=0,"","Ckeck")</f>
        <v/>
      </c>
    </row>
    <row r="37" spans="1:9" ht="14.1" customHeight="1" x14ac:dyDescent="0.2">
      <c r="A37" s="406" t="s">
        <v>133</v>
      </c>
      <c r="B37" s="407">
        <v>40723679</v>
      </c>
      <c r="C37" s="408">
        <v>78.675500529582024</v>
      </c>
      <c r="D37" s="407">
        <v>41485147</v>
      </c>
      <c r="E37" s="408">
        <f>+D37/'- 3 -'!F37*100</f>
        <v>78.746077231130315</v>
      </c>
      <c r="F37" s="407">
        <v>9573.7073606507274</v>
      </c>
      <c r="G37" s="407">
        <f>+D37/'- 7 -'!E37</f>
        <v>9726.880890973036</v>
      </c>
      <c r="I37" s="421" t="str">
        <f>IF(+D37-'- 15 -'!B37-'- 15 -'!E37-'- 16 -'!G37=0,"","Ckeck")</f>
        <v/>
      </c>
    </row>
    <row r="38" spans="1:9" ht="14.1" customHeight="1" x14ac:dyDescent="0.2">
      <c r="A38" s="409" t="s">
        <v>134</v>
      </c>
      <c r="B38" s="410">
        <v>113946610</v>
      </c>
      <c r="C38" s="411">
        <v>82.420062457387317</v>
      </c>
      <c r="D38" s="410">
        <v>116883510</v>
      </c>
      <c r="E38" s="411">
        <f>+D38/'- 3 -'!F38*100</f>
        <v>82.415588431957261</v>
      </c>
      <c r="F38" s="410">
        <v>10092.7023914969</v>
      </c>
      <c r="G38" s="410">
        <f>+D38/'- 7 -'!E38</f>
        <v>10405.369002047539</v>
      </c>
      <c r="I38" s="421" t="str">
        <f>IF(+D38-'- 15 -'!B38-'- 15 -'!E38-'- 16 -'!G38=0,"","Ckeck")</f>
        <v/>
      </c>
    </row>
    <row r="39" spans="1:9" ht="14.1" customHeight="1" x14ac:dyDescent="0.2">
      <c r="A39" s="406" t="s">
        <v>135</v>
      </c>
      <c r="B39" s="407">
        <v>17074200</v>
      </c>
      <c r="C39" s="408">
        <v>73.861048205514209</v>
      </c>
      <c r="D39" s="407">
        <v>17173428</v>
      </c>
      <c r="E39" s="408">
        <f>+D39/'- 3 -'!F39*100</f>
        <v>74.206263815295173</v>
      </c>
      <c r="F39" s="407">
        <v>11322.413793103447</v>
      </c>
      <c r="G39" s="407">
        <f>+D39/'- 7 -'!E39</f>
        <v>11350.580304031724</v>
      </c>
      <c r="I39" s="421" t="str">
        <f>IF(+D39-'- 15 -'!B39-'- 15 -'!E39-'- 16 -'!G39=0,"","Ckeck")</f>
        <v/>
      </c>
    </row>
    <row r="40" spans="1:9" ht="14.1" customHeight="1" x14ac:dyDescent="0.2">
      <c r="A40" s="409" t="s">
        <v>136</v>
      </c>
      <c r="B40" s="410">
        <v>87230112</v>
      </c>
      <c r="C40" s="411">
        <v>81.707722363679324</v>
      </c>
      <c r="D40" s="410">
        <v>87626238</v>
      </c>
      <c r="E40" s="411">
        <f>+D40/'- 3 -'!F40*100</f>
        <v>81.582956814880276</v>
      </c>
      <c r="F40" s="410">
        <v>10612.452187454377</v>
      </c>
      <c r="G40" s="410">
        <f>+D40/'- 7 -'!E40</f>
        <v>10492.275399628808</v>
      </c>
      <c r="I40" s="421" t="str">
        <f>IF(+D40-'- 15 -'!B40-'- 15 -'!E40-'- 16 -'!G40=0,"","Ckeck")</f>
        <v/>
      </c>
    </row>
    <row r="41" spans="1:9" ht="14.1" customHeight="1" x14ac:dyDescent="0.2">
      <c r="A41" s="406" t="s">
        <v>137</v>
      </c>
      <c r="B41" s="407">
        <v>47877997</v>
      </c>
      <c r="C41" s="408">
        <v>75.654298799261682</v>
      </c>
      <c r="D41" s="407">
        <v>48206123</v>
      </c>
      <c r="E41" s="408">
        <f>+D41/'- 3 -'!F41*100</f>
        <v>75.659294850767651</v>
      </c>
      <c r="F41" s="407">
        <v>10812.555781391147</v>
      </c>
      <c r="G41" s="407">
        <f>+D41/'- 7 -'!E41</f>
        <v>11058.986694195917</v>
      </c>
      <c r="I41" s="421" t="str">
        <f>IF(+D41-'- 15 -'!B41-'- 15 -'!E41-'- 16 -'!G41=0,"","Ckeck")</f>
        <v/>
      </c>
    </row>
    <row r="42" spans="1:9" ht="14.1" customHeight="1" x14ac:dyDescent="0.2">
      <c r="A42" s="409" t="s">
        <v>138</v>
      </c>
      <c r="B42" s="410">
        <v>15740670</v>
      </c>
      <c r="C42" s="411">
        <v>73.594906738556574</v>
      </c>
      <c r="D42" s="410">
        <v>15695260</v>
      </c>
      <c r="E42" s="411">
        <f>+D42/'- 3 -'!F42*100</f>
        <v>73.93844965110533</v>
      </c>
      <c r="F42" s="410">
        <v>11348.716654650325</v>
      </c>
      <c r="G42" s="410">
        <f>+D42/'- 7 -'!E42</f>
        <v>11163.058321479373</v>
      </c>
      <c r="I42" s="421" t="str">
        <f>IF(+D42-'- 15 -'!B42-'- 15 -'!E42-'- 16 -'!G42=0,"","Ckeck")</f>
        <v/>
      </c>
    </row>
    <row r="43" spans="1:9" ht="14.1" customHeight="1" x14ac:dyDescent="0.2">
      <c r="A43" s="406" t="s">
        <v>139</v>
      </c>
      <c r="B43" s="407">
        <v>10569620</v>
      </c>
      <c r="C43" s="408">
        <v>78.74731098438572</v>
      </c>
      <c r="D43" s="407">
        <v>10685760</v>
      </c>
      <c r="E43" s="408">
        <f>+D43/'- 3 -'!F43*100</f>
        <v>78.967601420887107</v>
      </c>
      <c r="F43" s="407">
        <v>11096.713910761155</v>
      </c>
      <c r="G43" s="407">
        <f>+D43/'- 7 -'!E43</f>
        <v>11254.091627172196</v>
      </c>
      <c r="I43" s="421" t="str">
        <f>IF(+D43-'- 15 -'!B43-'- 15 -'!E43-'- 16 -'!G43=0,"","Ckeck")</f>
        <v/>
      </c>
    </row>
    <row r="44" spans="1:9" ht="14.1" customHeight="1" x14ac:dyDescent="0.2">
      <c r="A44" s="409" t="s">
        <v>140</v>
      </c>
      <c r="B44" s="410">
        <v>8125609</v>
      </c>
      <c r="C44" s="411">
        <v>72.288524983354876</v>
      </c>
      <c r="D44" s="410">
        <v>8267148</v>
      </c>
      <c r="E44" s="411">
        <f>+D44/'- 3 -'!F44*100</f>
        <v>73.39392951539034</v>
      </c>
      <c r="F44" s="410">
        <v>11348.61592178771</v>
      </c>
      <c r="G44" s="410">
        <f>+D44/'- 7 -'!E44</f>
        <v>11903.740820734341</v>
      </c>
      <c r="I44" s="421" t="str">
        <f>IF(+D44-'- 15 -'!B44-'- 15 -'!E44-'- 16 -'!G44=0,"","Ckeck")</f>
        <v/>
      </c>
    </row>
    <row r="45" spans="1:9" ht="14.1" customHeight="1" x14ac:dyDescent="0.2">
      <c r="A45" s="406" t="s">
        <v>141</v>
      </c>
      <c r="B45" s="407">
        <v>15861055</v>
      </c>
      <c r="C45" s="408">
        <v>80.247618774892629</v>
      </c>
      <c r="D45" s="407">
        <v>16412774</v>
      </c>
      <c r="E45" s="408">
        <f>+D45/'- 3 -'!F45*100</f>
        <v>80.996310281777568</v>
      </c>
      <c r="F45" s="407">
        <v>9157.6530023094692</v>
      </c>
      <c r="G45" s="407">
        <f>+D45/'- 7 -'!E45</f>
        <v>9128.3503893214674</v>
      </c>
      <c r="I45" s="421" t="str">
        <f>IF(+D45-'- 15 -'!B45-'- 15 -'!E45-'- 16 -'!G45=0,"","Ckeck")</f>
        <v/>
      </c>
    </row>
    <row r="46" spans="1:9" ht="14.1" customHeight="1" x14ac:dyDescent="0.2">
      <c r="A46" s="409" t="s">
        <v>142</v>
      </c>
      <c r="B46" s="410">
        <v>314437150</v>
      </c>
      <c r="C46" s="411">
        <v>80.283294545389552</v>
      </c>
      <c r="D46" s="410">
        <v>315641750</v>
      </c>
      <c r="E46" s="411">
        <f>+D46/'- 3 -'!F46*100</f>
        <v>79.691282570860253</v>
      </c>
      <c r="F46" s="410">
        <v>10391.009732159086</v>
      </c>
      <c r="G46" s="410">
        <f>+D46/'- 7 -'!E46</f>
        <v>10432.713601057676</v>
      </c>
      <c r="I46" s="421" t="str">
        <f>IF(+D46-'- 15 -'!B46-'- 15 -'!E46-'- 16 -'!G46=0,"","Ckeck")</f>
        <v/>
      </c>
    </row>
    <row r="47" spans="1:9" ht="5.0999999999999996" customHeight="1" x14ac:dyDescent="0.2">
      <c r="B47" s="412"/>
      <c r="C47" s="412"/>
      <c r="D47" s="412"/>
      <c r="E47" s="412"/>
      <c r="F47" s="412"/>
      <c r="G47" s="412"/>
      <c r="I47" s="421"/>
    </row>
    <row r="48" spans="1:9" ht="14.1" customHeight="1" x14ac:dyDescent="0.2">
      <c r="A48" s="413" t="s">
        <v>143</v>
      </c>
      <c r="B48" s="414">
        <v>1841511193</v>
      </c>
      <c r="C48" s="415">
        <v>78.697678113843395</v>
      </c>
      <c r="D48" s="414">
        <f>SUM(D11:D46)</f>
        <v>1873242140</v>
      </c>
      <c r="E48" s="415">
        <f>+D48/'- 3 -'!F48*100</f>
        <v>78.745300904107424</v>
      </c>
      <c r="F48" s="414">
        <v>10377.537311570411</v>
      </c>
      <c r="G48" s="414">
        <f>+D48/'- 7 -'!E48</f>
        <v>10460.656931453301</v>
      </c>
      <c r="I48" s="421"/>
    </row>
    <row r="49" spans="1:7" ht="5.0999999999999996" customHeight="1" x14ac:dyDescent="0.2">
      <c r="B49" s="412"/>
      <c r="C49" s="412"/>
      <c r="D49" s="412"/>
      <c r="E49" s="412"/>
      <c r="F49" s="412"/>
      <c r="G49" s="412"/>
    </row>
    <row r="50" spans="1:7" ht="49.5" customHeight="1" x14ac:dyDescent="0.2">
      <c r="A50" s="418"/>
      <c r="B50" s="419"/>
      <c r="C50" s="419"/>
      <c r="D50" s="419"/>
      <c r="E50" s="419"/>
      <c r="F50" s="419"/>
      <c r="G50" s="419"/>
    </row>
    <row r="51" spans="1:7" ht="13.5" customHeight="1" x14ac:dyDescent="0.2">
      <c r="A51" s="806" t="s">
        <v>507</v>
      </c>
      <c r="B51" s="806"/>
      <c r="C51" s="806"/>
      <c r="D51" s="806"/>
      <c r="E51" s="806"/>
      <c r="F51" s="806"/>
      <c r="G51" s="806"/>
    </row>
    <row r="52" spans="1:7" ht="13.5" customHeight="1" x14ac:dyDescent="0.2">
      <c r="A52" s="807"/>
      <c r="B52" s="807"/>
      <c r="C52" s="807"/>
      <c r="D52" s="807"/>
      <c r="E52" s="807"/>
      <c r="F52" s="807"/>
      <c r="G52" s="807"/>
    </row>
    <row r="53" spans="1:7" ht="15" customHeight="1" x14ac:dyDescent="0.2">
      <c r="B53" s="416"/>
      <c r="C53" s="416"/>
    </row>
    <row r="54" spans="1:7" ht="12" customHeight="1" x14ac:dyDescent="0.2">
      <c r="B54" s="416"/>
      <c r="C54" s="416"/>
    </row>
    <row r="55" spans="1:7" ht="12" customHeight="1" x14ac:dyDescent="0.2">
      <c r="A55" s="416"/>
      <c r="B55" s="416"/>
      <c r="C55" s="416"/>
    </row>
    <row r="56" spans="1:7" ht="12" customHeight="1" x14ac:dyDescent="0.2">
      <c r="A56" s="416"/>
      <c r="B56" s="416"/>
      <c r="C56" s="416"/>
    </row>
    <row r="57" spans="1:7" ht="14.45" customHeight="1" x14ac:dyDescent="0.2">
      <c r="A57" s="416"/>
    </row>
  </sheetData>
  <mergeCells count="3">
    <mergeCell ref="A51:G52"/>
    <mergeCell ref="F7:G8"/>
    <mergeCell ref="B7:E8"/>
  </mergeCells>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BB55"/>
  <sheetViews>
    <sheetView showGridLines="0" showZeros="0" workbookViewId="0"/>
  </sheetViews>
  <sheetFormatPr defaultColWidth="19.83203125" defaultRowHeight="12" x14ac:dyDescent="0.2"/>
  <cols>
    <col min="1" max="1" width="30.83203125" style="1" customWidth="1"/>
    <col min="2" max="9" width="12.83203125" style="1" customWidth="1"/>
    <col min="10" max="16384" width="19.83203125" style="1"/>
  </cols>
  <sheetData>
    <row r="1" spans="1:54" ht="6.95" customHeight="1" x14ac:dyDescent="0.2">
      <c r="A1" s="3"/>
      <c r="B1" s="4"/>
      <c r="C1" s="4"/>
      <c r="D1" s="4"/>
      <c r="E1" s="4"/>
      <c r="F1" s="4"/>
    </row>
    <row r="2" spans="1:54" ht="15.95" customHeight="1" x14ac:dyDescent="0.2">
      <c r="A2" s="5" t="str">
        <f>IF(Lang=1,BA2,BB2)</f>
        <v>STATISTICAL SUMMARY</v>
      </c>
      <c r="B2" s="6"/>
      <c r="C2" s="6"/>
      <c r="D2" s="6"/>
      <c r="E2" s="6"/>
      <c r="F2" s="6"/>
      <c r="G2" s="6"/>
      <c r="H2" s="6"/>
      <c r="I2" s="6"/>
      <c r="BA2" s="456" t="s">
        <v>91</v>
      </c>
      <c r="BB2" s="456" t="s">
        <v>509</v>
      </c>
    </row>
    <row r="3" spans="1:54" ht="15.95" customHeight="1" x14ac:dyDescent="0.2">
      <c r="A3" s="86" t="s">
        <v>601</v>
      </c>
      <c r="B3" s="40"/>
      <c r="C3" s="40"/>
      <c r="D3" s="8"/>
      <c r="E3" s="8"/>
      <c r="F3" s="8"/>
      <c r="G3" s="8"/>
      <c r="H3" s="8"/>
      <c r="I3" s="8"/>
      <c r="BA3" s="456" t="str">
        <f>B9&amp;" AND "&amp;C9&amp;" BUDGET"</f>
        <v>2017/18 AND 2018/19 BUDGET</v>
      </c>
      <c r="BB3" s="456" t="str">
        <f>" BUDGET DE "&amp;B9&amp;" ET DE "&amp;C9</f>
        <v xml:space="preserve"> BUDGET DE 2017/18 ET DE 2018/19</v>
      </c>
    </row>
    <row r="4" spans="1:54" ht="15.95" customHeight="1" x14ac:dyDescent="0.2">
      <c r="B4" s="22"/>
      <c r="C4" s="22"/>
      <c r="D4" s="4"/>
      <c r="E4" s="4"/>
      <c r="F4" s="4"/>
    </row>
    <row r="5" spans="1:54" ht="15.95" customHeight="1" x14ac:dyDescent="0.2">
      <c r="B5" s="217"/>
      <c r="C5" s="217"/>
      <c r="D5" s="4"/>
      <c r="E5" s="4"/>
      <c r="F5" s="4"/>
    </row>
    <row r="6" spans="1:54" ht="15.95" customHeight="1" x14ac:dyDescent="0.2">
      <c r="B6" s="824" t="s">
        <v>513</v>
      </c>
      <c r="C6" s="825"/>
      <c r="D6" s="488"/>
      <c r="E6" s="328"/>
      <c r="F6" s="804" t="s">
        <v>511</v>
      </c>
      <c r="G6" s="805"/>
      <c r="H6" s="327"/>
      <c r="I6" s="328"/>
    </row>
    <row r="7" spans="1:54" ht="15.95" customHeight="1" x14ac:dyDescent="0.2">
      <c r="B7" s="826"/>
      <c r="C7" s="827"/>
      <c r="D7" s="822" t="s">
        <v>512</v>
      </c>
      <c r="E7" s="818"/>
      <c r="F7" s="821"/>
      <c r="G7" s="818"/>
      <c r="H7" s="817" t="s">
        <v>510</v>
      </c>
      <c r="I7" s="818"/>
    </row>
    <row r="8" spans="1:54" ht="15.95" customHeight="1" x14ac:dyDescent="0.2">
      <c r="A8" s="249"/>
      <c r="B8" s="828"/>
      <c r="C8" s="829"/>
      <c r="D8" s="823"/>
      <c r="E8" s="820"/>
      <c r="F8" s="819"/>
      <c r="G8" s="820"/>
      <c r="H8" s="819"/>
      <c r="I8" s="820"/>
    </row>
    <row r="9" spans="1:54" ht="18" customHeight="1" x14ac:dyDescent="0.2">
      <c r="A9" s="27" t="s">
        <v>37</v>
      </c>
      <c r="B9" s="489" t="s">
        <v>573</v>
      </c>
      <c r="C9" s="489" t="s">
        <v>590</v>
      </c>
      <c r="D9" s="218" t="str">
        <f>+B9</f>
        <v>2017/18</v>
      </c>
      <c r="E9" s="448" t="s">
        <v>591</v>
      </c>
      <c r="F9" s="447" t="s">
        <v>592</v>
      </c>
      <c r="G9" s="447" t="s">
        <v>593</v>
      </c>
      <c r="H9" s="447" t="s">
        <v>592</v>
      </c>
      <c r="I9" s="447" t="s">
        <v>594</v>
      </c>
    </row>
    <row r="10" spans="1:54" ht="5.0999999999999996" customHeight="1" x14ac:dyDescent="0.2">
      <c r="A10" s="29"/>
      <c r="D10" s="204"/>
      <c r="E10" s="204"/>
      <c r="F10" s="182"/>
      <c r="G10" s="3"/>
      <c r="H10" s="3"/>
    </row>
    <row r="11" spans="1:54" ht="14.1" customHeight="1" x14ac:dyDescent="0.2">
      <c r="A11" s="271" t="s">
        <v>108</v>
      </c>
      <c r="B11" s="272">
        <v>11218</v>
      </c>
      <c r="C11" s="272">
        <f>'- 4 -'!E11</f>
        <v>11273</v>
      </c>
      <c r="D11" s="292">
        <v>13.77617550049858</v>
      </c>
      <c r="E11" s="292">
        <f>'- 9 -'!C11</f>
        <v>13.860282815862281</v>
      </c>
      <c r="F11" s="272">
        <v>412611</v>
      </c>
      <c r="G11" s="272">
        <f>'- 50 -'!F11</f>
        <v>443623</v>
      </c>
      <c r="H11" s="292">
        <v>11.888023994984442</v>
      </c>
      <c r="I11" s="292">
        <f>'- 47 -'!G11</f>
        <v>11.271041117372127</v>
      </c>
    </row>
    <row r="12" spans="1:54" ht="14.1" customHeight="1" x14ac:dyDescent="0.2">
      <c r="A12" s="15" t="s">
        <v>109</v>
      </c>
      <c r="B12" s="16">
        <v>15944</v>
      </c>
      <c r="C12" s="16">
        <f>'- 4 -'!E12</f>
        <v>16028</v>
      </c>
      <c r="D12" s="47">
        <v>11.076193910669209</v>
      </c>
      <c r="E12" s="47">
        <f>'- 9 -'!C12</f>
        <v>11.048878516789836</v>
      </c>
      <c r="F12" s="16">
        <v>440889</v>
      </c>
      <c r="G12" s="16">
        <f>'- 50 -'!F12</f>
        <v>488257</v>
      </c>
      <c r="H12" s="47">
        <v>16.89729453848889</v>
      </c>
      <c r="I12" s="47">
        <f>'- 47 -'!G12</f>
        <v>14.405126590347793</v>
      </c>
    </row>
    <row r="13" spans="1:54" ht="14.1" customHeight="1" x14ac:dyDescent="0.2">
      <c r="A13" s="271" t="s">
        <v>110</v>
      </c>
      <c r="B13" s="272">
        <v>11897</v>
      </c>
      <c r="C13" s="272">
        <f>'- 4 -'!E13</f>
        <v>12072</v>
      </c>
      <c r="D13" s="292">
        <v>12.860912174896344</v>
      </c>
      <c r="E13" s="292">
        <f>'- 9 -'!C13</f>
        <v>12.8433511671698</v>
      </c>
      <c r="F13" s="272">
        <v>368373</v>
      </c>
      <c r="G13" s="272">
        <f>'- 50 -'!F13</f>
        <v>373941</v>
      </c>
      <c r="H13" s="292">
        <v>14.909560390442531</v>
      </c>
      <c r="I13" s="292">
        <f>'- 47 -'!G13</f>
        <v>15.047634195746236</v>
      </c>
    </row>
    <row r="14" spans="1:54" ht="14.1" customHeight="1" x14ac:dyDescent="0.2">
      <c r="A14" s="15" t="s">
        <v>319</v>
      </c>
      <c r="B14" s="16">
        <v>15883</v>
      </c>
      <c r="C14" s="16">
        <f>'- 4 -'!E14</f>
        <v>15788</v>
      </c>
      <c r="D14" s="47">
        <v>11.751054852320674</v>
      </c>
      <c r="E14" s="47">
        <f>'- 9 -'!C14</f>
        <v>11.957868649318463</v>
      </c>
      <c r="F14" s="16">
        <v>449144</v>
      </c>
      <c r="G14" s="16">
        <f>'- 50 -'!F14</f>
        <v>469974</v>
      </c>
      <c r="H14" s="47">
        <v>0</v>
      </c>
      <c r="I14" s="47">
        <f>'- 47 -'!G14</f>
        <v>0</v>
      </c>
    </row>
    <row r="15" spans="1:54" ht="14.1" customHeight="1" x14ac:dyDescent="0.2">
      <c r="A15" s="271" t="s">
        <v>111</v>
      </c>
      <c r="B15" s="272">
        <v>14976</v>
      </c>
      <c r="C15" s="272">
        <f>'- 4 -'!E15</f>
        <v>15346</v>
      </c>
      <c r="D15" s="292">
        <v>12.54437869822485</v>
      </c>
      <c r="E15" s="292">
        <f>'- 9 -'!C15</f>
        <v>12.186088527551941</v>
      </c>
      <c r="F15" s="272">
        <v>678168</v>
      </c>
      <c r="G15" s="272">
        <f>'- 50 -'!F15</f>
        <v>716133</v>
      </c>
      <c r="H15" s="292">
        <v>10.944426401436637</v>
      </c>
      <c r="I15" s="292">
        <f>'- 47 -'!G15</f>
        <v>10.984411245544862</v>
      </c>
    </row>
    <row r="16" spans="1:54" ht="14.1" customHeight="1" x14ac:dyDescent="0.2">
      <c r="A16" s="15" t="s">
        <v>112</v>
      </c>
      <c r="B16" s="16">
        <v>15835</v>
      </c>
      <c r="C16" s="16">
        <f>'- 4 -'!E16</f>
        <v>15996</v>
      </c>
      <c r="D16" s="47">
        <v>11.8469791799719</v>
      </c>
      <c r="E16" s="47">
        <f>'- 9 -'!C16</f>
        <v>11.676154332700822</v>
      </c>
      <c r="F16" s="16">
        <v>209029</v>
      </c>
      <c r="G16" s="16">
        <f>'- 50 -'!F16</f>
        <v>210306</v>
      </c>
      <c r="H16" s="47">
        <v>20.706451376073211</v>
      </c>
      <c r="I16" s="47">
        <f>'- 47 -'!G16</f>
        <v>21.435859804311313</v>
      </c>
    </row>
    <row r="17" spans="1:9" ht="14.1" customHeight="1" x14ac:dyDescent="0.2">
      <c r="A17" s="271" t="s">
        <v>113</v>
      </c>
      <c r="B17" s="272">
        <v>13014</v>
      </c>
      <c r="C17" s="272">
        <f>'- 4 -'!E17</f>
        <v>13209</v>
      </c>
      <c r="D17" s="292">
        <v>12.93388429752066</v>
      </c>
      <c r="E17" s="292">
        <f>'- 9 -'!C17</f>
        <v>12.57328402633715</v>
      </c>
      <c r="F17" s="272">
        <v>867598</v>
      </c>
      <c r="G17" s="272">
        <f>'- 50 -'!F17</f>
        <v>911122</v>
      </c>
      <c r="H17" s="292">
        <v>7.8996980158645282</v>
      </c>
      <c r="I17" s="292">
        <f>'- 47 -'!G17</f>
        <v>7.7231349411031802</v>
      </c>
    </row>
    <row r="18" spans="1:9" ht="14.1" customHeight="1" x14ac:dyDescent="0.2">
      <c r="A18" s="15" t="s">
        <v>114</v>
      </c>
      <c r="B18" s="16">
        <v>20879</v>
      </c>
      <c r="C18" s="16">
        <f>'- 4 -'!E18</f>
        <v>21215</v>
      </c>
      <c r="D18" s="47">
        <v>12.207138864489339</v>
      </c>
      <c r="E18" s="47">
        <f>'- 9 -'!C18</f>
        <v>12.070512316046274</v>
      </c>
      <c r="F18" s="16">
        <v>101725</v>
      </c>
      <c r="G18" s="16">
        <f>'- 50 -'!F18</f>
        <v>111404</v>
      </c>
      <c r="H18" s="47">
        <v>13.499995315651919</v>
      </c>
      <c r="I18" s="47">
        <f>'- 47 -'!G18</f>
        <v>12.864999489105124</v>
      </c>
    </row>
    <row r="19" spans="1:9" ht="14.1" customHeight="1" x14ac:dyDescent="0.2">
      <c r="A19" s="271" t="s">
        <v>115</v>
      </c>
      <c r="B19" s="272">
        <v>11217</v>
      </c>
      <c r="C19" s="272">
        <f>'- 4 -'!E19</f>
        <v>11518</v>
      </c>
      <c r="D19" s="292">
        <v>14.693829167513378</v>
      </c>
      <c r="E19" s="292">
        <f>'- 9 -'!C19</f>
        <v>14.438706260138376</v>
      </c>
      <c r="F19" s="272">
        <v>272222</v>
      </c>
      <c r="G19" s="272">
        <f>'- 50 -'!F19</f>
        <v>292594</v>
      </c>
      <c r="H19" s="292">
        <v>15.990820281699635</v>
      </c>
      <c r="I19" s="292">
        <f>'- 47 -'!G19</f>
        <v>15.080288048099247</v>
      </c>
    </row>
    <row r="20" spans="1:9" ht="14.1" customHeight="1" x14ac:dyDescent="0.2">
      <c r="A20" s="15" t="s">
        <v>116</v>
      </c>
      <c r="B20" s="16">
        <v>10941</v>
      </c>
      <c r="C20" s="16">
        <f>'- 4 -'!E20</f>
        <v>11074</v>
      </c>
      <c r="D20" s="47">
        <v>14.304315304416884</v>
      </c>
      <c r="E20" s="47">
        <f>'- 9 -'!C20</f>
        <v>14.341153127917835</v>
      </c>
      <c r="F20" s="16">
        <v>266510</v>
      </c>
      <c r="G20" s="16">
        <f>'- 50 -'!F20</f>
        <v>270159</v>
      </c>
      <c r="H20" s="47">
        <v>15.294547408361383</v>
      </c>
      <c r="I20" s="47">
        <f>'- 47 -'!G20</f>
        <v>15.142682992713993</v>
      </c>
    </row>
    <row r="21" spans="1:9" ht="14.1" customHeight="1" x14ac:dyDescent="0.2">
      <c r="A21" s="271" t="s">
        <v>117</v>
      </c>
      <c r="B21" s="272">
        <v>13382</v>
      </c>
      <c r="C21" s="272">
        <f>'- 4 -'!E21</f>
        <v>13283</v>
      </c>
      <c r="D21" s="292">
        <v>11.989296436496542</v>
      </c>
      <c r="E21" s="292">
        <f>'- 9 -'!C21</f>
        <v>12.066147692572361</v>
      </c>
      <c r="F21" s="272">
        <v>467783</v>
      </c>
      <c r="G21" s="272">
        <f>'- 50 -'!F21</f>
        <v>491652</v>
      </c>
      <c r="H21" s="292">
        <v>13.732616919080982</v>
      </c>
      <c r="I21" s="292">
        <f>'- 47 -'!G21</f>
        <v>13.587764129088127</v>
      </c>
    </row>
    <row r="22" spans="1:9" ht="14.1" customHeight="1" x14ac:dyDescent="0.2">
      <c r="A22" s="15" t="s">
        <v>118</v>
      </c>
      <c r="B22" s="16">
        <v>13546</v>
      </c>
      <c r="C22" s="16">
        <f>'- 4 -'!E22</f>
        <v>13849</v>
      </c>
      <c r="D22" s="47">
        <v>11.859484777517565</v>
      </c>
      <c r="E22" s="47">
        <f>'- 9 -'!C22</f>
        <v>11.464988198269081</v>
      </c>
      <c r="F22" s="16">
        <v>172842</v>
      </c>
      <c r="G22" s="16">
        <f>'- 50 -'!F22</f>
        <v>172077</v>
      </c>
      <c r="H22" s="47">
        <v>17.321164680864037</v>
      </c>
      <c r="I22" s="47">
        <f>'- 47 -'!G22</f>
        <v>17.534076892125718</v>
      </c>
    </row>
    <row r="23" spans="1:9" ht="14.1" customHeight="1" x14ac:dyDescent="0.2">
      <c r="A23" s="271" t="s">
        <v>119</v>
      </c>
      <c r="B23" s="272">
        <v>14757</v>
      </c>
      <c r="C23" s="272">
        <f>'- 4 -'!E23</f>
        <v>15784</v>
      </c>
      <c r="D23" s="292">
        <v>11.913746630727763</v>
      </c>
      <c r="E23" s="292">
        <f>'- 9 -'!C23</f>
        <v>11.491712707182321</v>
      </c>
      <c r="F23" s="272">
        <v>288728</v>
      </c>
      <c r="G23" s="272">
        <f>'- 50 -'!F23</f>
        <v>329425</v>
      </c>
      <c r="H23" s="292">
        <v>16.195092096437396</v>
      </c>
      <c r="I23" s="292">
        <f>'- 47 -'!G23</f>
        <v>14.84507254638002</v>
      </c>
    </row>
    <row r="24" spans="1:9" ht="14.1" customHeight="1" x14ac:dyDescent="0.2">
      <c r="A24" s="15" t="s">
        <v>120</v>
      </c>
      <c r="B24" s="16">
        <v>14802</v>
      </c>
      <c r="C24" s="16">
        <f>'- 4 -'!E24</f>
        <v>15265</v>
      </c>
      <c r="D24" s="47">
        <v>11.891603053435114</v>
      </c>
      <c r="E24" s="47">
        <f>'- 9 -'!C24</f>
        <v>11.809225957779516</v>
      </c>
      <c r="F24" s="16">
        <v>524987</v>
      </c>
      <c r="G24" s="16">
        <f>'- 50 -'!F24</f>
        <v>525961</v>
      </c>
      <c r="H24" s="47">
        <v>14.306008715611425</v>
      </c>
      <c r="I24" s="47">
        <f>'- 47 -'!G24</f>
        <v>14.823461615655591</v>
      </c>
    </row>
    <row r="25" spans="1:9" ht="14.1" customHeight="1" x14ac:dyDescent="0.2">
      <c r="A25" s="271" t="s">
        <v>121</v>
      </c>
      <c r="B25" s="272">
        <v>12391</v>
      </c>
      <c r="C25" s="272">
        <f>'- 4 -'!E25</f>
        <v>12430</v>
      </c>
      <c r="D25" s="292">
        <v>13.518044920353523</v>
      </c>
      <c r="E25" s="292">
        <f>'- 9 -'!C25</f>
        <v>13.668503213957759</v>
      </c>
      <c r="F25" s="272">
        <v>480970</v>
      </c>
      <c r="G25" s="272">
        <f>'- 50 -'!F25</f>
        <v>494398</v>
      </c>
      <c r="H25" s="292">
        <v>13.260228145370151</v>
      </c>
      <c r="I25" s="292">
        <f>'- 47 -'!G25</f>
        <v>13.246291105609478</v>
      </c>
    </row>
    <row r="26" spans="1:9" ht="14.1" customHeight="1" x14ac:dyDescent="0.2">
      <c r="A26" s="15" t="s">
        <v>122</v>
      </c>
      <c r="B26" s="16">
        <v>13465</v>
      </c>
      <c r="C26" s="16">
        <f>'- 4 -'!E26</f>
        <v>14417</v>
      </c>
      <c r="D26" s="47">
        <v>13.045337895637294</v>
      </c>
      <c r="E26" s="47">
        <f>'- 9 -'!C26</f>
        <v>12.279904823707549</v>
      </c>
      <c r="F26" s="16">
        <v>357556</v>
      </c>
      <c r="G26" s="16">
        <f>'- 50 -'!F26</f>
        <v>380667</v>
      </c>
      <c r="H26" s="47">
        <v>15.651645161689501</v>
      </c>
      <c r="I26" s="47">
        <f>'- 47 -'!G26</f>
        <v>15.344073757481109</v>
      </c>
    </row>
    <row r="27" spans="1:9" ht="14.1" customHeight="1" x14ac:dyDescent="0.2">
      <c r="A27" s="271" t="s">
        <v>123</v>
      </c>
      <c r="B27" s="272">
        <v>14709</v>
      </c>
      <c r="C27" s="272">
        <f>'- 4 -'!E27</f>
        <v>14003</v>
      </c>
      <c r="D27" s="292">
        <v>11.958480196973419</v>
      </c>
      <c r="E27" s="292">
        <f>'- 9 -'!C27</f>
        <v>12.387689555636866</v>
      </c>
      <c r="F27" s="272">
        <v>182469</v>
      </c>
      <c r="G27" s="272">
        <f>'- 50 -'!F27</f>
        <v>163924</v>
      </c>
      <c r="H27" s="292">
        <v>18.577838958886439</v>
      </c>
      <c r="I27" s="292">
        <f>'- 47 -'!G27</f>
        <v>18.623440635922936</v>
      </c>
    </row>
    <row r="28" spans="1:9" ht="14.1" customHeight="1" x14ac:dyDescent="0.2">
      <c r="A28" s="15" t="s">
        <v>124</v>
      </c>
      <c r="B28" s="16">
        <v>14637</v>
      </c>
      <c r="C28" s="16">
        <f>'- 4 -'!E28</f>
        <v>14598</v>
      </c>
      <c r="D28" s="47">
        <v>11.227004412860337</v>
      </c>
      <c r="E28" s="47">
        <f>'- 9 -'!C28</f>
        <v>11.378568521425665</v>
      </c>
      <c r="F28" s="16">
        <v>540294</v>
      </c>
      <c r="G28" s="16">
        <f>'- 50 -'!F28</f>
        <v>615540</v>
      </c>
      <c r="H28" s="47">
        <v>11.28979402252317</v>
      </c>
      <c r="I28" s="47">
        <f>'- 47 -'!G28</f>
        <v>10.382553001288626</v>
      </c>
    </row>
    <row r="29" spans="1:9" ht="14.1" customHeight="1" x14ac:dyDescent="0.2">
      <c r="A29" s="271" t="s">
        <v>125</v>
      </c>
      <c r="B29" s="272">
        <v>12538</v>
      </c>
      <c r="C29" s="272">
        <f>'- 4 -'!E29</f>
        <v>12527</v>
      </c>
      <c r="D29" s="292">
        <v>13.649747147573869</v>
      </c>
      <c r="E29" s="292">
        <f>'- 9 -'!C29</f>
        <v>13.942273956204982</v>
      </c>
      <c r="F29" s="272">
        <v>602579</v>
      </c>
      <c r="G29" s="272">
        <f>'- 50 -'!F29</f>
        <v>630272</v>
      </c>
      <c r="H29" s="292">
        <v>12.482952404756249</v>
      </c>
      <c r="I29" s="292">
        <f>'- 47 -'!G29</f>
        <v>12.320643189237414</v>
      </c>
    </row>
    <row r="30" spans="1:9" ht="14.1" customHeight="1" x14ac:dyDescent="0.2">
      <c r="A30" s="15" t="s">
        <v>126</v>
      </c>
      <c r="B30" s="16">
        <v>14902</v>
      </c>
      <c r="C30" s="16">
        <f>'- 4 -'!E30</f>
        <v>15112</v>
      </c>
      <c r="D30" s="47">
        <v>11.486257210722769</v>
      </c>
      <c r="E30" s="47">
        <f>'- 9 -'!C30</f>
        <v>11.224716603689707</v>
      </c>
      <c r="F30" s="16">
        <v>473896</v>
      </c>
      <c r="G30" s="16">
        <f>'- 50 -'!F30</f>
        <v>543183</v>
      </c>
      <c r="H30" s="47">
        <v>14.806834922234753</v>
      </c>
      <c r="I30" s="47">
        <f>'- 47 -'!G30</f>
        <v>13.687465975048767</v>
      </c>
    </row>
    <row r="31" spans="1:9" ht="14.1" customHeight="1" x14ac:dyDescent="0.2">
      <c r="A31" s="271" t="s">
        <v>127</v>
      </c>
      <c r="B31" s="272">
        <v>11643</v>
      </c>
      <c r="C31" s="272">
        <f>'- 4 -'!E31</f>
        <v>11966</v>
      </c>
      <c r="D31" s="292">
        <v>12.978109688636003</v>
      </c>
      <c r="E31" s="292">
        <f>'- 9 -'!C31</f>
        <v>12.75996227304881</v>
      </c>
      <c r="F31" s="272">
        <v>408032</v>
      </c>
      <c r="G31" s="272">
        <f>'- 50 -'!F31</f>
        <v>426810</v>
      </c>
      <c r="H31" s="292">
        <v>13.894999987753902</v>
      </c>
      <c r="I31" s="292">
        <f>'- 47 -'!G31</f>
        <v>13.740876348270882</v>
      </c>
    </row>
    <row r="32" spans="1:9" ht="14.1" customHeight="1" x14ac:dyDescent="0.2">
      <c r="A32" s="15" t="s">
        <v>128</v>
      </c>
      <c r="B32" s="16">
        <v>14008</v>
      </c>
      <c r="C32" s="16">
        <f>'- 4 -'!E32</f>
        <v>13569</v>
      </c>
      <c r="D32" s="47">
        <v>11.973164529567709</v>
      </c>
      <c r="E32" s="47">
        <f>'- 9 -'!C32</f>
        <v>12.055925432756325</v>
      </c>
      <c r="F32" s="16">
        <v>575743</v>
      </c>
      <c r="G32" s="16">
        <f>'- 50 -'!F32</f>
        <v>648173</v>
      </c>
      <c r="H32" s="47">
        <v>12.374335186899202</v>
      </c>
      <c r="I32" s="47">
        <f>'- 47 -'!G32</f>
        <v>11.148902100818832</v>
      </c>
    </row>
    <row r="33" spans="1:9" ht="14.1" customHeight="1" x14ac:dyDescent="0.2">
      <c r="A33" s="271" t="s">
        <v>129</v>
      </c>
      <c r="B33" s="272">
        <v>14286</v>
      </c>
      <c r="C33" s="272">
        <f>'- 4 -'!E33</f>
        <v>13882</v>
      </c>
      <c r="D33" s="292">
        <v>12.375249500998004</v>
      </c>
      <c r="E33" s="292">
        <f>'- 9 -'!C33</f>
        <v>12.457513959698957</v>
      </c>
      <c r="F33" s="272">
        <v>591214</v>
      </c>
      <c r="G33" s="272">
        <f>'- 50 -'!F33</f>
        <v>665193</v>
      </c>
      <c r="H33" s="292">
        <v>10.83516010129939</v>
      </c>
      <c r="I33" s="292">
        <f>'- 47 -'!G33</f>
        <v>9.6027104673578432</v>
      </c>
    </row>
    <row r="34" spans="1:9" ht="14.1" customHeight="1" x14ac:dyDescent="0.2">
      <c r="A34" s="15" t="s">
        <v>130</v>
      </c>
      <c r="B34" s="16">
        <v>14932</v>
      </c>
      <c r="C34" s="16">
        <f>'- 4 -'!E34</f>
        <v>14330</v>
      </c>
      <c r="D34" s="47">
        <v>12.192951228195085</v>
      </c>
      <c r="E34" s="47">
        <f>'- 9 -'!C34</f>
        <v>12.32486790523266</v>
      </c>
      <c r="F34" s="16">
        <v>616820</v>
      </c>
      <c r="G34" s="16">
        <f>'- 50 -'!F34</f>
        <v>669242</v>
      </c>
      <c r="H34" s="47">
        <v>14.065536861120943</v>
      </c>
      <c r="I34" s="47">
        <f>'- 47 -'!G34</f>
        <v>13.845233134698701</v>
      </c>
    </row>
    <row r="35" spans="1:9" ht="14.1" customHeight="1" x14ac:dyDescent="0.2">
      <c r="A35" s="271" t="s">
        <v>131</v>
      </c>
      <c r="B35" s="272">
        <v>11759</v>
      </c>
      <c r="C35" s="272">
        <f>'- 4 -'!E35</f>
        <v>11788</v>
      </c>
      <c r="D35" s="292">
        <v>13.847245983174309</v>
      </c>
      <c r="E35" s="292">
        <f>'- 9 -'!C35</f>
        <v>14.046688882894955</v>
      </c>
      <c r="F35" s="272">
        <v>420190</v>
      </c>
      <c r="G35" s="272">
        <f>'- 50 -'!F35</f>
        <v>428612</v>
      </c>
      <c r="H35" s="292">
        <v>13.359953121750669</v>
      </c>
      <c r="I35" s="292">
        <f>'- 47 -'!G35</f>
        <v>13.349366573748449</v>
      </c>
    </row>
    <row r="36" spans="1:9" ht="14.1" customHeight="1" x14ac:dyDescent="0.2">
      <c r="A36" s="15" t="s">
        <v>132</v>
      </c>
      <c r="B36" s="16">
        <v>14233</v>
      </c>
      <c r="C36" s="16">
        <f>'- 4 -'!E36</f>
        <v>14141</v>
      </c>
      <c r="D36" s="47">
        <v>12.364879770571367</v>
      </c>
      <c r="E36" s="47">
        <f>'- 9 -'!C36</f>
        <v>12.37596772434849</v>
      </c>
      <c r="F36" s="16">
        <v>588911</v>
      </c>
      <c r="G36" s="16">
        <f>'- 50 -'!F36</f>
        <v>643784</v>
      </c>
      <c r="H36" s="47">
        <v>11.969495353960687</v>
      </c>
      <c r="I36" s="47">
        <f>'- 47 -'!G36</f>
        <v>11.374173564208691</v>
      </c>
    </row>
    <row r="37" spans="1:9" ht="14.1" customHeight="1" x14ac:dyDescent="0.2">
      <c r="A37" s="271" t="s">
        <v>133</v>
      </c>
      <c r="B37" s="272">
        <v>12169</v>
      </c>
      <c r="C37" s="272">
        <f>'- 4 -'!E37</f>
        <v>12352</v>
      </c>
      <c r="D37" s="292">
        <v>13.740228696944246</v>
      </c>
      <c r="E37" s="292">
        <f>'- 9 -'!C37</f>
        <v>13.610978139460666</v>
      </c>
      <c r="F37" s="272">
        <v>317490</v>
      </c>
      <c r="G37" s="272">
        <f>'- 50 -'!F37</f>
        <v>335946</v>
      </c>
      <c r="H37" s="292">
        <v>14.453544902793038</v>
      </c>
      <c r="I37" s="292">
        <f>'- 47 -'!G37</f>
        <v>14.647972464335137</v>
      </c>
    </row>
    <row r="38" spans="1:9" ht="14.1" customHeight="1" x14ac:dyDescent="0.2">
      <c r="A38" s="15" t="s">
        <v>134</v>
      </c>
      <c r="B38" s="16">
        <v>12245</v>
      </c>
      <c r="C38" s="16">
        <f>'- 4 -'!E38</f>
        <v>12625</v>
      </c>
      <c r="D38" s="47">
        <v>13.791671247602645</v>
      </c>
      <c r="E38" s="47">
        <f>'- 9 -'!C38</f>
        <v>13.666780221919408</v>
      </c>
      <c r="F38" s="16">
        <v>319578</v>
      </c>
      <c r="G38" s="16">
        <f>'- 50 -'!F38</f>
        <v>327972</v>
      </c>
      <c r="H38" s="47">
        <v>16.163825222442334</v>
      </c>
      <c r="I38" s="47">
        <f>'- 47 -'!G38</f>
        <v>16.456050685732176</v>
      </c>
    </row>
    <row r="39" spans="1:9" ht="14.1" customHeight="1" x14ac:dyDescent="0.2">
      <c r="A39" s="271" t="s">
        <v>135</v>
      </c>
      <c r="B39" s="272">
        <v>15329</v>
      </c>
      <c r="C39" s="272">
        <f>'- 4 -'!E39</f>
        <v>15296</v>
      </c>
      <c r="D39" s="292">
        <v>11.521124608449844</v>
      </c>
      <c r="E39" s="292">
        <f>'- 9 -'!C39</f>
        <v>11.430082344942209</v>
      </c>
      <c r="F39" s="272">
        <v>789689</v>
      </c>
      <c r="G39" s="272">
        <f>'- 50 -'!F39</f>
        <v>816595</v>
      </c>
      <c r="H39" s="292">
        <v>10.552386038590681</v>
      </c>
      <c r="I39" s="292">
        <f>'- 47 -'!G39</f>
        <v>10.40118907652824</v>
      </c>
    </row>
    <row r="40" spans="1:9" ht="14.1" customHeight="1" x14ac:dyDescent="0.2">
      <c r="A40" s="15" t="s">
        <v>136</v>
      </c>
      <c r="B40" s="16">
        <v>12988</v>
      </c>
      <c r="C40" s="16">
        <f>'- 4 -'!E40</f>
        <v>12861</v>
      </c>
      <c r="D40" s="47">
        <v>13.61492082422315</v>
      </c>
      <c r="E40" s="47">
        <f>'- 9 -'!C40</f>
        <v>13.540264919988976</v>
      </c>
      <c r="F40" s="16">
        <v>571406</v>
      </c>
      <c r="G40" s="16">
        <f>'- 50 -'!F40</f>
        <v>610145</v>
      </c>
      <c r="H40" s="47">
        <v>13.098715885464619</v>
      </c>
      <c r="I40" s="47">
        <f>'- 47 -'!G40</f>
        <v>12.768238376888654</v>
      </c>
    </row>
    <row r="41" spans="1:9" ht="14.1" customHeight="1" x14ac:dyDescent="0.2">
      <c r="A41" s="271" t="s">
        <v>137</v>
      </c>
      <c r="B41" s="272">
        <v>14292</v>
      </c>
      <c r="C41" s="272">
        <f>'- 4 -'!E41</f>
        <v>14617</v>
      </c>
      <c r="D41" s="292">
        <v>12.717559882819231</v>
      </c>
      <c r="E41" s="292">
        <f>'- 9 -'!C41</f>
        <v>12.476386742229092</v>
      </c>
      <c r="F41" s="272">
        <v>544884</v>
      </c>
      <c r="G41" s="272">
        <f>'- 50 -'!F41</f>
        <v>555919</v>
      </c>
      <c r="H41" s="292">
        <v>13.718101059710044</v>
      </c>
      <c r="I41" s="292">
        <f>'- 47 -'!G41</f>
        <v>13.844166527257309</v>
      </c>
    </row>
    <row r="42" spans="1:9" ht="14.1" customHeight="1" x14ac:dyDescent="0.2">
      <c r="A42" s="15" t="s">
        <v>138</v>
      </c>
      <c r="B42" s="16">
        <v>15421</v>
      </c>
      <c r="C42" s="16">
        <f>'- 4 -'!E42</f>
        <v>15098</v>
      </c>
      <c r="D42" s="47">
        <v>12.196623285262048</v>
      </c>
      <c r="E42" s="47">
        <f>'- 9 -'!C42</f>
        <v>12.605343374574144</v>
      </c>
      <c r="F42" s="16">
        <v>400267</v>
      </c>
      <c r="G42" s="16">
        <f>'- 50 -'!F42</f>
        <v>421447</v>
      </c>
      <c r="H42" s="47">
        <v>14.03955062695027</v>
      </c>
      <c r="I42" s="47">
        <f>'- 47 -'!G42</f>
        <v>13.706920436023552</v>
      </c>
    </row>
    <row r="43" spans="1:9" ht="14.1" customHeight="1" x14ac:dyDescent="0.2">
      <c r="A43" s="271" t="s">
        <v>139</v>
      </c>
      <c r="B43" s="272">
        <v>14092</v>
      </c>
      <c r="C43" s="272">
        <f>'- 4 -'!E43</f>
        <v>14252</v>
      </c>
      <c r="D43" s="292">
        <v>11.991690796928115</v>
      </c>
      <c r="E43" s="292">
        <f>'- 9 -'!C43</f>
        <v>12.169956421430403</v>
      </c>
      <c r="F43" s="272">
        <v>611882</v>
      </c>
      <c r="G43" s="272">
        <f>'- 50 -'!F43</f>
        <v>644926</v>
      </c>
      <c r="H43" s="292">
        <v>12.025742958250314</v>
      </c>
      <c r="I43" s="292">
        <f>'- 47 -'!G43</f>
        <v>11.680394541064121</v>
      </c>
    </row>
    <row r="44" spans="1:9" ht="14.1" customHeight="1" x14ac:dyDescent="0.2">
      <c r="A44" s="15" t="s">
        <v>140</v>
      </c>
      <c r="B44" s="16">
        <v>15699</v>
      </c>
      <c r="C44" s="16">
        <f>'- 4 -'!E44</f>
        <v>16219</v>
      </c>
      <c r="D44" s="47">
        <v>11.456</v>
      </c>
      <c r="E44" s="47">
        <f>'- 9 -'!C44</f>
        <v>10.73415765069552</v>
      </c>
      <c r="F44" s="16">
        <v>269085</v>
      </c>
      <c r="G44" s="16">
        <f>'- 50 -'!F44</f>
        <v>312589</v>
      </c>
      <c r="H44" s="47">
        <v>16.431144694325873</v>
      </c>
      <c r="I44" s="47">
        <f>'- 47 -'!G44</f>
        <v>15.233409101015328</v>
      </c>
    </row>
    <row r="45" spans="1:9" ht="14.1" customHeight="1" x14ac:dyDescent="0.2">
      <c r="A45" s="271" t="s">
        <v>141</v>
      </c>
      <c r="B45" s="272">
        <v>11412</v>
      </c>
      <c r="C45" s="272">
        <f>'- 4 -'!E45</f>
        <v>11270</v>
      </c>
      <c r="D45" s="292">
        <v>13.666850785133748</v>
      </c>
      <c r="E45" s="292">
        <f>'- 9 -'!C45</f>
        <v>13.724143195175941</v>
      </c>
      <c r="F45" s="272">
        <v>327895</v>
      </c>
      <c r="G45" s="272">
        <f>'- 50 -'!F45</f>
        <v>354882</v>
      </c>
      <c r="H45" s="292">
        <v>16.605961149875736</v>
      </c>
      <c r="I45" s="292">
        <f>'- 47 -'!G45</f>
        <v>15.38011599528307</v>
      </c>
    </row>
    <row r="46" spans="1:9" ht="14.1" customHeight="1" x14ac:dyDescent="0.2">
      <c r="A46" s="15" t="s">
        <v>142</v>
      </c>
      <c r="B46" s="16">
        <v>12943</v>
      </c>
      <c r="C46" s="16">
        <f>'- 4 -'!E46</f>
        <v>13091</v>
      </c>
      <c r="D46" s="47">
        <v>13.362521968753589</v>
      </c>
      <c r="E46" s="47">
        <f>'- 9 -'!C46</f>
        <v>13.382253420204082</v>
      </c>
      <c r="F46" s="16">
        <v>409113</v>
      </c>
      <c r="G46" s="16">
        <f>'- 50 -'!F46</f>
        <v>438125</v>
      </c>
      <c r="H46" s="47">
        <v>15.031143382924444</v>
      </c>
      <c r="I46" s="47">
        <f>'- 47 -'!G46</f>
        <v>14.600930463851817</v>
      </c>
    </row>
    <row r="47" spans="1:9" ht="5.0999999999999996" customHeight="1" x14ac:dyDescent="0.2">
      <c r="B47" s="140"/>
      <c r="C47" s="140"/>
      <c r="D47" s="202"/>
      <c r="E47" s="202"/>
      <c r="F47" s="140"/>
      <c r="G47" s="140"/>
      <c r="H47" s="202"/>
      <c r="I47" s="202"/>
    </row>
    <row r="48" spans="1:9" ht="14.1" customHeight="1" x14ac:dyDescent="0.2">
      <c r="A48" s="274" t="s">
        <v>143</v>
      </c>
      <c r="B48" s="305">
        <v>13187</v>
      </c>
      <c r="C48" s="305">
        <f>'- 4 -'!E48</f>
        <v>13284</v>
      </c>
      <c r="D48" s="336">
        <v>13.102144393280184</v>
      </c>
      <c r="E48" s="336">
        <f>'- 9 -'!C48</f>
        <v>13.116758672589146</v>
      </c>
      <c r="F48" s="305">
        <v>433310.47371458152</v>
      </c>
      <c r="G48" s="305">
        <f>'- 50 -'!F48</f>
        <v>454967.648580771</v>
      </c>
      <c r="H48" s="336">
        <v>13.819810294287814</v>
      </c>
      <c r="I48" s="336">
        <f>'- 47 -'!G48</f>
        <v>13.562356267784009</v>
      </c>
    </row>
    <row r="49" spans="1:9" ht="5.0999999999999996" customHeight="1" x14ac:dyDescent="0.2">
      <c r="B49" s="140"/>
      <c r="C49" s="140"/>
      <c r="D49" s="202"/>
      <c r="E49" s="202"/>
      <c r="F49" s="140"/>
      <c r="G49" s="140"/>
      <c r="H49" s="202"/>
      <c r="I49" s="202"/>
    </row>
    <row r="50" spans="1:9" ht="14.45" customHeight="1" x14ac:dyDescent="0.2">
      <c r="A50" s="15" t="s">
        <v>144</v>
      </c>
      <c r="B50" s="16">
        <v>20785</v>
      </c>
      <c r="C50" s="16">
        <f>'- 4 -'!E50</f>
        <v>20238</v>
      </c>
      <c r="D50" s="200">
        <v>8.2108464267612771</v>
      </c>
      <c r="E50" s="200">
        <f>'- 9 -'!C50</f>
        <v>8.7295401402961801</v>
      </c>
      <c r="F50" s="139"/>
      <c r="G50" s="139"/>
      <c r="H50" s="200"/>
      <c r="I50" s="200"/>
    </row>
    <row r="51" spans="1:9" ht="50.1" customHeight="1" x14ac:dyDescent="0.2">
      <c r="A51" s="19"/>
      <c r="B51" s="19"/>
      <c r="C51" s="19"/>
      <c r="D51" s="19"/>
      <c r="E51" s="19"/>
      <c r="F51" s="19"/>
      <c r="G51" s="19"/>
      <c r="H51" s="19"/>
      <c r="I51" s="19"/>
    </row>
    <row r="52" spans="1:9" ht="15" customHeight="1" x14ac:dyDescent="0.2">
      <c r="A52" s="31" t="s">
        <v>325</v>
      </c>
      <c r="B52" s="31"/>
      <c r="C52" s="31"/>
      <c r="D52" s="31"/>
      <c r="E52" s="31"/>
      <c r="F52" s="31"/>
    </row>
    <row r="53" spans="1:9" ht="12" customHeight="1" x14ac:dyDescent="0.2">
      <c r="A53" s="31" t="s">
        <v>326</v>
      </c>
      <c r="B53" s="31"/>
      <c r="C53" s="31"/>
      <c r="D53" s="31"/>
      <c r="E53" s="31"/>
      <c r="F53" s="31"/>
    </row>
    <row r="54" spans="1:9" ht="12" customHeight="1" x14ac:dyDescent="0.2">
      <c r="A54" s="131" t="s">
        <v>542</v>
      </c>
      <c r="B54" s="31"/>
      <c r="C54" s="31"/>
      <c r="D54" s="31"/>
      <c r="E54" s="31"/>
      <c r="F54" s="31"/>
    </row>
    <row r="55" spans="1:9" x14ac:dyDescent="0.2">
      <c r="A55" s="131" t="s">
        <v>543</v>
      </c>
    </row>
  </sheetData>
  <mergeCells count="4">
    <mergeCell ref="H7:I8"/>
    <mergeCell ref="F6:G8"/>
    <mergeCell ref="D7:E8"/>
    <mergeCell ref="B6:C8"/>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Y74"/>
  <sheetViews>
    <sheetView showGridLines="0" defaultGridColor="0" colorId="22" workbookViewId="0">
      <pane xSplit="2" ySplit="10" topLeftCell="C11" activePane="bottomRight" state="frozen"/>
      <selection pane="topRight" activeCell="C1" sqref="C1"/>
      <selection pane="bottomLeft" activeCell="A11" sqref="A11"/>
      <selection pane="bottomRight" activeCell="R15" sqref="R15"/>
    </sheetView>
  </sheetViews>
  <sheetFormatPr defaultColWidth="15.83203125" defaultRowHeight="12" x14ac:dyDescent="0.2"/>
  <cols>
    <col min="1" max="1" width="5.83203125" style="1" customWidth="1"/>
    <col min="2" max="2" width="30.83203125" style="1" customWidth="1"/>
    <col min="3" max="18" width="15.83203125" style="1" customWidth="1"/>
    <col min="19" max="20" width="15.83203125" style="1"/>
    <col min="21" max="21" width="22.33203125" style="1" bestFit="1" customWidth="1"/>
    <col min="22" max="16384" width="15.83203125" style="1"/>
  </cols>
  <sheetData>
    <row r="1" spans="1:25" ht="6" customHeight="1" x14ac:dyDescent="0.2">
      <c r="A1" s="3"/>
      <c r="B1" s="180"/>
      <c r="C1" s="180"/>
      <c r="D1" s="180"/>
      <c r="E1" s="180"/>
      <c r="F1" s="180"/>
      <c r="G1" s="180"/>
      <c r="H1" s="180"/>
      <c r="I1" s="180"/>
      <c r="J1" s="180"/>
      <c r="K1" s="180"/>
      <c r="L1" s="180"/>
      <c r="M1" s="180"/>
      <c r="N1" s="180"/>
      <c r="O1" s="180"/>
      <c r="P1" s="180"/>
      <c r="Q1" s="180"/>
      <c r="R1" s="180"/>
    </row>
    <row r="2" spans="1:25" x14ac:dyDescent="0.2">
      <c r="A2" s="180"/>
      <c r="B2" s="453" t="s">
        <v>361</v>
      </c>
      <c r="C2" s="164"/>
      <c r="D2" s="164"/>
      <c r="E2" s="164"/>
      <c r="F2" s="164"/>
      <c r="G2" s="164"/>
      <c r="H2" s="164"/>
      <c r="I2" s="164"/>
      <c r="J2" s="164"/>
      <c r="K2" s="508" t="s">
        <v>553</v>
      </c>
      <c r="L2" s="508">
        <v>1682903.761648386</v>
      </c>
      <c r="M2" s="164" t="s">
        <v>556</v>
      </c>
      <c r="N2" s="525" t="s">
        <v>576</v>
      </c>
      <c r="O2" s="525">
        <v>0</v>
      </c>
      <c r="P2" s="164"/>
      <c r="Q2" s="164"/>
      <c r="R2" s="164"/>
      <c r="T2" s="247"/>
      <c r="U2" s="430" t="s">
        <v>345</v>
      </c>
      <c r="V2" s="431" t="s">
        <v>346</v>
      </c>
      <c r="Y2" s="1" t="s">
        <v>362</v>
      </c>
    </row>
    <row r="3" spans="1:25" x14ac:dyDescent="0.2">
      <c r="A3" s="203" t="s">
        <v>44</v>
      </c>
      <c r="B3" s="454"/>
      <c r="C3" s="180"/>
      <c r="D3" s="180"/>
      <c r="E3" s="180"/>
      <c r="F3" s="1" t="s">
        <v>76</v>
      </c>
      <c r="G3" s="180"/>
      <c r="H3" s="180"/>
      <c r="I3" s="180"/>
      <c r="J3" s="180"/>
      <c r="K3" s="180"/>
      <c r="L3" s="511">
        <v>1682904</v>
      </c>
      <c r="M3" s="510" t="s">
        <v>557</v>
      </c>
      <c r="N3" s="180"/>
      <c r="O3" s="180"/>
      <c r="P3" s="180"/>
      <c r="Q3" s="180"/>
      <c r="R3" s="180"/>
      <c r="T3" s="432" t="s">
        <v>347</v>
      </c>
      <c r="U3" s="444" t="s">
        <v>577</v>
      </c>
      <c r="V3" s="247"/>
      <c r="Y3" s="1" t="s">
        <v>363</v>
      </c>
    </row>
    <row r="4" spans="1:25" x14ac:dyDescent="0.2">
      <c r="B4" s="455"/>
      <c r="C4" s="164"/>
      <c r="D4" s="164"/>
      <c r="E4" s="164"/>
      <c r="F4" s="164"/>
      <c r="G4" s="164"/>
      <c r="H4" s="164"/>
      <c r="I4" s="164"/>
      <c r="J4" s="164"/>
      <c r="K4" s="164"/>
      <c r="L4" s="164"/>
      <c r="M4" s="164"/>
      <c r="N4" s="164"/>
      <c r="O4" s="164"/>
      <c r="P4" s="164"/>
      <c r="Q4" s="164"/>
      <c r="R4" s="164"/>
      <c r="T4" s="432" t="s">
        <v>348</v>
      </c>
      <c r="U4" s="444" t="s">
        <v>578</v>
      </c>
      <c r="V4" s="247"/>
      <c r="Y4" s="1">
        <v>1</v>
      </c>
    </row>
    <row r="5" spans="1:25" x14ac:dyDescent="0.2">
      <c r="B5" s="204" t="s">
        <v>98</v>
      </c>
      <c r="C5" s="205" t="s">
        <v>28</v>
      </c>
      <c r="D5" s="206"/>
      <c r="E5" s="206"/>
      <c r="F5" s="206"/>
      <c r="G5" s="206"/>
      <c r="H5" s="206"/>
      <c r="I5" s="206"/>
      <c r="J5" s="206"/>
      <c r="K5" s="206"/>
      <c r="L5" s="206"/>
      <c r="M5" s="206"/>
      <c r="N5" s="206"/>
      <c r="O5" s="164"/>
      <c r="P5" s="164"/>
      <c r="Q5" s="164"/>
      <c r="R5" s="164"/>
      <c r="T5" s="1" t="s">
        <v>355</v>
      </c>
    </row>
    <row r="6" spans="1:25" x14ac:dyDescent="0.2">
      <c r="B6" s="445">
        <v>2018</v>
      </c>
      <c r="O6" s="830" t="s">
        <v>544</v>
      </c>
      <c r="P6" s="512"/>
      <c r="S6" s="438" t="s">
        <v>595</v>
      </c>
      <c r="T6" s="438" t="s">
        <v>574</v>
      </c>
    </row>
    <row r="7" spans="1:25" x14ac:dyDescent="0.2">
      <c r="C7" s="90"/>
      <c r="N7" s="128" t="s">
        <v>225</v>
      </c>
      <c r="O7" s="830"/>
      <c r="P7" s="512"/>
      <c r="Q7" s="509" t="s">
        <v>554</v>
      </c>
      <c r="R7" s="509" t="s">
        <v>25</v>
      </c>
      <c r="S7" s="434" t="s">
        <v>349</v>
      </c>
      <c r="T7" s="434" t="s">
        <v>349</v>
      </c>
    </row>
    <row r="8" spans="1:25" x14ac:dyDescent="0.2">
      <c r="C8" s="208" t="s">
        <v>35</v>
      </c>
      <c r="D8" s="4"/>
      <c r="E8" s="4"/>
      <c r="F8" s="4"/>
      <c r="G8" s="4"/>
      <c r="H8" s="4"/>
      <c r="I8" s="4"/>
      <c r="J8" s="4">
        <v>700</v>
      </c>
      <c r="K8" s="4"/>
      <c r="L8" s="128" t="s">
        <v>25</v>
      </c>
      <c r="M8" s="128" t="s">
        <v>188</v>
      </c>
      <c r="N8" s="128" t="s">
        <v>189</v>
      </c>
      <c r="O8" s="830"/>
      <c r="P8" s="512" t="s">
        <v>563</v>
      </c>
      <c r="Q8" s="509" t="s">
        <v>555</v>
      </c>
      <c r="R8" s="509" t="s">
        <v>558</v>
      </c>
      <c r="S8" s="433" t="s">
        <v>350</v>
      </c>
      <c r="T8" s="433" t="s">
        <v>350</v>
      </c>
    </row>
    <row r="9" spans="1:25" x14ac:dyDescent="0.2">
      <c r="A9" s="209" t="s">
        <v>148</v>
      </c>
      <c r="B9" s="1" t="s">
        <v>149</v>
      </c>
      <c r="C9" s="1">
        <v>100</v>
      </c>
      <c r="D9" s="1">
        <v>200</v>
      </c>
      <c r="E9" s="1">
        <v>300</v>
      </c>
      <c r="F9" s="1">
        <v>400</v>
      </c>
      <c r="G9" s="1">
        <v>500</v>
      </c>
      <c r="H9" s="1">
        <v>600</v>
      </c>
      <c r="I9" s="1">
        <v>700</v>
      </c>
      <c r="J9" s="128" t="s">
        <v>41</v>
      </c>
      <c r="K9" s="4">
        <v>800</v>
      </c>
      <c r="L9" s="128" t="s">
        <v>42</v>
      </c>
      <c r="M9" s="128" t="s">
        <v>81</v>
      </c>
      <c r="N9" s="128" t="s">
        <v>97</v>
      </c>
      <c r="O9" s="830"/>
      <c r="P9" s="512" t="s">
        <v>564</v>
      </c>
      <c r="Q9" s="509" t="s">
        <v>34</v>
      </c>
      <c r="R9" s="509" t="s">
        <v>559</v>
      </c>
      <c r="S9" s="435" t="s">
        <v>351</v>
      </c>
      <c r="T9" s="435" t="s">
        <v>351</v>
      </c>
      <c r="U9" s="424" t="s">
        <v>310</v>
      </c>
      <c r="V9" s="424" t="s">
        <v>312</v>
      </c>
      <c r="W9" s="424" t="s">
        <v>313</v>
      </c>
      <c r="X9" s="425" t="s">
        <v>314</v>
      </c>
    </row>
    <row r="10" spans="1:25" ht="3.95" customHeight="1" x14ac:dyDescent="0.2">
      <c r="U10" s="424"/>
      <c r="V10" s="424"/>
      <c r="W10" s="424"/>
      <c r="X10" s="425"/>
    </row>
    <row r="11" spans="1:25" ht="10.9" customHeight="1" x14ac:dyDescent="0.2">
      <c r="A11" s="207" t="s">
        <v>150</v>
      </c>
      <c r="B11" s="1" t="s">
        <v>108</v>
      </c>
      <c r="C11" s="1">
        <v>85075</v>
      </c>
      <c r="D11" s="1">
        <v>0</v>
      </c>
      <c r="E11" s="1">
        <v>0</v>
      </c>
      <c r="F11" s="1">
        <v>0</v>
      </c>
      <c r="G11" s="1">
        <v>0</v>
      </c>
      <c r="H11" s="1">
        <v>7000</v>
      </c>
      <c r="I11" s="1">
        <v>0</v>
      </c>
      <c r="J11" s="1">
        <v>0</v>
      </c>
      <c r="K11" s="1">
        <v>0</v>
      </c>
      <c r="L11" s="72">
        <f t="shared" ref="L11:L37" si="0">SUM(C11:I11)-J11+K11</f>
        <v>92075</v>
      </c>
      <c r="M11" s="72">
        <v>30000</v>
      </c>
      <c r="N11" s="72">
        <v>0</v>
      </c>
      <c r="O11" s="72">
        <v>0</v>
      </c>
      <c r="P11" s="72">
        <v>11150</v>
      </c>
      <c r="Q11" s="72">
        <v>2554464</v>
      </c>
      <c r="R11" s="72">
        <v>2072216</v>
      </c>
      <c r="S11" s="436">
        <v>443623</v>
      </c>
      <c r="T11" s="436">
        <v>412611</v>
      </c>
      <c r="U11" s="424" t="s">
        <v>311</v>
      </c>
      <c r="V11" s="424">
        <f>+'- 3 -'!B48+'- 3 -'!B50+'- 3 -'!B51</f>
        <v>2468349894</v>
      </c>
      <c r="W11" s="424">
        <v>2468349894</v>
      </c>
      <c r="X11" s="425">
        <f>+V11-W11</f>
        <v>0</v>
      </c>
    </row>
    <row r="12" spans="1:25" ht="10.9" customHeight="1" x14ac:dyDescent="0.2">
      <c r="A12" s="207" t="s">
        <v>151</v>
      </c>
      <c r="B12" s="1" t="s">
        <v>109</v>
      </c>
      <c r="C12" s="1">
        <v>450000</v>
      </c>
      <c r="D12" s="1">
        <v>0</v>
      </c>
      <c r="E12" s="1">
        <v>0</v>
      </c>
      <c r="F12" s="1">
        <v>0</v>
      </c>
      <c r="G12" s="1">
        <v>0</v>
      </c>
      <c r="H12" s="1">
        <v>0</v>
      </c>
      <c r="I12" s="1">
        <v>0</v>
      </c>
      <c r="J12" s="1">
        <v>0</v>
      </c>
      <c r="K12" s="1">
        <v>0</v>
      </c>
      <c r="L12" s="72">
        <f t="shared" si="0"/>
        <v>450000</v>
      </c>
      <c r="M12" s="72">
        <v>37500</v>
      </c>
      <c r="N12" s="72">
        <v>0</v>
      </c>
      <c r="O12" s="72">
        <v>0</v>
      </c>
      <c r="P12" s="72">
        <v>7500</v>
      </c>
      <c r="Q12" s="72">
        <v>6579628</v>
      </c>
      <c r="R12" s="72">
        <v>3111983</v>
      </c>
      <c r="S12" s="436">
        <v>488257</v>
      </c>
      <c r="T12" s="436">
        <v>440889</v>
      </c>
      <c r="U12" s="424" t="s">
        <v>316</v>
      </c>
      <c r="V12" s="424">
        <f>+'- 43 -'!I48</f>
        <v>2451485916</v>
      </c>
      <c r="W12" s="424">
        <v>2451485916</v>
      </c>
      <c r="X12" s="425">
        <f>+V12-W12</f>
        <v>0</v>
      </c>
    </row>
    <row r="13" spans="1:25" ht="10.9" customHeight="1" x14ac:dyDescent="0.2">
      <c r="A13" s="207" t="s">
        <v>152</v>
      </c>
      <c r="B13" s="1" t="s">
        <v>110</v>
      </c>
      <c r="C13" s="1">
        <v>127100</v>
      </c>
      <c r="D13" s="1">
        <v>0</v>
      </c>
      <c r="E13" s="1">
        <v>0</v>
      </c>
      <c r="F13" s="1">
        <v>0</v>
      </c>
      <c r="G13" s="1">
        <v>0</v>
      </c>
      <c r="H13" s="1">
        <v>0</v>
      </c>
      <c r="I13" s="1">
        <v>0</v>
      </c>
      <c r="J13" s="1">
        <v>0</v>
      </c>
      <c r="K13" s="1">
        <v>0</v>
      </c>
      <c r="L13" s="72">
        <f t="shared" si="0"/>
        <v>127100</v>
      </c>
      <c r="M13" s="72">
        <v>84100</v>
      </c>
      <c r="N13" s="72">
        <v>0</v>
      </c>
      <c r="O13" s="72">
        <v>0</v>
      </c>
      <c r="P13" s="72">
        <v>49800</v>
      </c>
      <c r="Q13" s="72">
        <v>11806627</v>
      </c>
      <c r="R13" s="72">
        <v>7304700</v>
      </c>
      <c r="S13" s="436">
        <v>373941</v>
      </c>
      <c r="T13" s="436">
        <v>368373</v>
      </c>
      <c r="U13" s="424" t="s">
        <v>317</v>
      </c>
      <c r="V13" s="424">
        <v>4204.2700000000004</v>
      </c>
      <c r="W13" s="424">
        <f>+'- 7 -'!B48</f>
        <v>4204.2700000000004</v>
      </c>
      <c r="X13" s="425">
        <f>+V13-W13</f>
        <v>0</v>
      </c>
    </row>
    <row r="14" spans="1:25" ht="10.9" customHeight="1" x14ac:dyDescent="0.2">
      <c r="A14" s="207" t="s">
        <v>153</v>
      </c>
      <c r="B14" s="1" t="s">
        <v>319</v>
      </c>
      <c r="C14" s="1">
        <v>1324763</v>
      </c>
      <c r="D14" s="1">
        <v>0</v>
      </c>
      <c r="E14" s="1">
        <v>0</v>
      </c>
      <c r="F14" s="1">
        <v>0</v>
      </c>
      <c r="G14" s="1">
        <v>0</v>
      </c>
      <c r="H14" s="1">
        <v>7211</v>
      </c>
      <c r="I14" s="1">
        <v>0</v>
      </c>
      <c r="J14" s="1">
        <v>0</v>
      </c>
      <c r="K14" s="1">
        <v>0</v>
      </c>
      <c r="L14" s="72">
        <f t="shared" si="0"/>
        <v>1331974</v>
      </c>
      <c r="M14" s="72">
        <v>0</v>
      </c>
      <c r="N14" s="72">
        <v>0</v>
      </c>
      <c r="O14" s="72">
        <v>0</v>
      </c>
      <c r="P14" s="72">
        <v>0</v>
      </c>
      <c r="Q14" s="72">
        <v>28498403.761648387</v>
      </c>
      <c r="R14" s="72">
        <v>7930142</v>
      </c>
      <c r="S14" s="436">
        <v>469974</v>
      </c>
      <c r="T14" s="436">
        <v>449144</v>
      </c>
      <c r="U14" s="424" t="s">
        <v>318</v>
      </c>
      <c r="V14" s="424">
        <f>+'- 7 -'!E48</f>
        <v>179075</v>
      </c>
      <c r="W14" s="424">
        <v>179075</v>
      </c>
      <c r="X14" s="425">
        <f>+V14-W14</f>
        <v>0</v>
      </c>
    </row>
    <row r="15" spans="1:25" ht="10.9" customHeight="1" x14ac:dyDescent="0.2">
      <c r="A15" s="207" t="s">
        <v>154</v>
      </c>
      <c r="B15" s="1" t="s">
        <v>111</v>
      </c>
      <c r="C15" s="1">
        <v>80000</v>
      </c>
      <c r="D15" s="1">
        <v>0</v>
      </c>
      <c r="E15" s="1">
        <v>0</v>
      </c>
      <c r="F15" s="1">
        <v>0</v>
      </c>
      <c r="G15" s="1">
        <v>0</v>
      </c>
      <c r="H15" s="1">
        <v>5500</v>
      </c>
      <c r="I15" s="1">
        <v>0</v>
      </c>
      <c r="J15" s="1">
        <v>0</v>
      </c>
      <c r="K15" s="1">
        <v>0</v>
      </c>
      <c r="L15" s="72">
        <f t="shared" si="0"/>
        <v>85500</v>
      </c>
      <c r="M15" s="72">
        <v>31000</v>
      </c>
      <c r="N15" s="72">
        <v>0</v>
      </c>
      <c r="O15" s="72">
        <v>0</v>
      </c>
      <c r="P15" s="72">
        <v>15000</v>
      </c>
      <c r="Q15" s="72">
        <v>4792454</v>
      </c>
      <c r="R15" s="72">
        <v>2165577</v>
      </c>
      <c r="S15" s="436">
        <v>716133</v>
      </c>
      <c r="T15" s="436">
        <v>678168</v>
      </c>
      <c r="X15" s="423"/>
    </row>
    <row r="16" spans="1:25" ht="10.9" customHeight="1" x14ac:dyDescent="0.2">
      <c r="A16" s="207" t="s">
        <v>155</v>
      </c>
      <c r="B16" s="1" t="s">
        <v>112</v>
      </c>
      <c r="C16" s="1">
        <v>0</v>
      </c>
      <c r="D16" s="1">
        <v>0</v>
      </c>
      <c r="E16" s="1">
        <v>0</v>
      </c>
      <c r="F16" s="1">
        <v>0</v>
      </c>
      <c r="G16" s="1">
        <v>0</v>
      </c>
      <c r="H16" s="1">
        <v>0</v>
      </c>
      <c r="I16" s="1">
        <v>0</v>
      </c>
      <c r="J16" s="1">
        <v>0</v>
      </c>
      <c r="K16" s="1">
        <v>0</v>
      </c>
      <c r="L16" s="72">
        <f t="shared" si="0"/>
        <v>0</v>
      </c>
      <c r="M16" s="72">
        <v>25000</v>
      </c>
      <c r="N16" s="72">
        <v>0</v>
      </c>
      <c r="O16" s="72">
        <v>0</v>
      </c>
      <c r="P16" s="72">
        <v>5000</v>
      </c>
      <c r="Q16" s="72">
        <v>2059636</v>
      </c>
      <c r="R16" s="72">
        <v>1424288</v>
      </c>
      <c r="S16" s="436">
        <v>210306</v>
      </c>
      <c r="T16" s="436">
        <v>209029</v>
      </c>
    </row>
    <row r="17" spans="1:20" ht="10.9" customHeight="1" x14ac:dyDescent="0.2">
      <c r="A17" s="207" t="s">
        <v>156</v>
      </c>
      <c r="B17" s="1" t="s">
        <v>113</v>
      </c>
      <c r="C17" s="1">
        <v>70050</v>
      </c>
      <c r="D17" s="1">
        <v>0</v>
      </c>
      <c r="E17" s="1">
        <v>0</v>
      </c>
      <c r="F17" s="1">
        <v>0</v>
      </c>
      <c r="G17" s="1">
        <v>1000</v>
      </c>
      <c r="H17" s="1">
        <v>0</v>
      </c>
      <c r="I17" s="1">
        <v>0</v>
      </c>
      <c r="J17" s="1">
        <v>0</v>
      </c>
      <c r="K17" s="1">
        <v>0</v>
      </c>
      <c r="L17" s="72">
        <f t="shared" si="0"/>
        <v>71050</v>
      </c>
      <c r="M17" s="72">
        <v>29200</v>
      </c>
      <c r="N17" s="72">
        <v>0</v>
      </c>
      <c r="O17" s="72">
        <v>0</v>
      </c>
      <c r="P17" s="72">
        <v>6000</v>
      </c>
      <c r="Q17" s="72">
        <v>2593606</v>
      </c>
      <c r="R17" s="72">
        <v>1809957</v>
      </c>
      <c r="S17" s="436">
        <v>911122</v>
      </c>
      <c r="T17" s="436">
        <v>867598</v>
      </c>
    </row>
    <row r="18" spans="1:20" ht="10.9" customHeight="1" x14ac:dyDescent="0.2">
      <c r="A18" s="207" t="s">
        <v>157</v>
      </c>
      <c r="B18" s="1" t="s">
        <v>114</v>
      </c>
      <c r="C18" s="1">
        <v>3202500</v>
      </c>
      <c r="D18" s="1">
        <v>0</v>
      </c>
      <c r="E18" s="1">
        <v>1407500</v>
      </c>
      <c r="F18" s="1">
        <v>0</v>
      </c>
      <c r="G18" s="1">
        <v>98943</v>
      </c>
      <c r="H18" s="1">
        <v>43000</v>
      </c>
      <c r="I18" s="1">
        <v>200000</v>
      </c>
      <c r="J18" s="1">
        <v>0</v>
      </c>
      <c r="K18" s="1">
        <v>0</v>
      </c>
      <c r="L18" s="72">
        <f t="shared" si="0"/>
        <v>4951943</v>
      </c>
      <c r="M18" s="72">
        <v>0</v>
      </c>
      <c r="N18" s="72">
        <v>0</v>
      </c>
      <c r="O18" s="72">
        <v>0</v>
      </c>
      <c r="P18" s="72">
        <v>0</v>
      </c>
      <c r="Q18" s="72">
        <v>12006381</v>
      </c>
      <c r="R18" s="72">
        <v>6807391</v>
      </c>
      <c r="S18" s="436">
        <v>111404</v>
      </c>
      <c r="T18" s="436">
        <v>101725</v>
      </c>
    </row>
    <row r="19" spans="1:20" ht="10.9" customHeight="1" x14ac:dyDescent="0.2">
      <c r="A19" s="207" t="s">
        <v>158</v>
      </c>
      <c r="B19" s="1" t="s">
        <v>115</v>
      </c>
      <c r="C19" s="1">
        <v>415000</v>
      </c>
      <c r="D19" s="1">
        <v>0</v>
      </c>
      <c r="E19" s="1">
        <v>0</v>
      </c>
      <c r="F19" s="1">
        <v>27000</v>
      </c>
      <c r="G19" s="1">
        <v>0</v>
      </c>
      <c r="H19" s="1">
        <v>20000</v>
      </c>
      <c r="I19" s="1">
        <v>0</v>
      </c>
      <c r="J19" s="1">
        <v>0</v>
      </c>
      <c r="K19" s="1">
        <v>0</v>
      </c>
      <c r="L19" s="72">
        <f t="shared" si="0"/>
        <v>462000</v>
      </c>
      <c r="M19" s="72">
        <v>41000</v>
      </c>
      <c r="N19" s="72">
        <v>0</v>
      </c>
      <c r="O19" s="72">
        <v>0</v>
      </c>
      <c r="P19" s="72">
        <v>16000</v>
      </c>
      <c r="Q19" s="72">
        <v>5034325</v>
      </c>
      <c r="R19" s="72">
        <v>4871137</v>
      </c>
      <c r="S19" s="436">
        <v>292594</v>
      </c>
      <c r="T19" s="436">
        <v>272222</v>
      </c>
    </row>
    <row r="20" spans="1:20" ht="10.9" customHeight="1" x14ac:dyDescent="0.2">
      <c r="A20" s="207" t="s">
        <v>159</v>
      </c>
      <c r="B20" s="1" t="s">
        <v>116</v>
      </c>
      <c r="C20" s="1">
        <v>1918800</v>
      </c>
      <c r="D20" s="1">
        <v>0</v>
      </c>
      <c r="E20" s="1">
        <v>0</v>
      </c>
      <c r="F20" s="1">
        <v>0</v>
      </c>
      <c r="G20" s="1">
        <v>0</v>
      </c>
      <c r="H20" s="1">
        <v>0</v>
      </c>
      <c r="I20" s="1">
        <v>0</v>
      </c>
      <c r="J20" s="1">
        <v>0</v>
      </c>
      <c r="K20" s="1">
        <v>0</v>
      </c>
      <c r="L20" s="72">
        <f t="shared" si="0"/>
        <v>1918800</v>
      </c>
      <c r="M20" s="72">
        <v>74500</v>
      </c>
      <c r="N20" s="72">
        <v>0</v>
      </c>
      <c r="O20" s="72">
        <v>0</v>
      </c>
      <c r="P20" s="72">
        <v>35000</v>
      </c>
      <c r="Q20" s="72">
        <v>10051584</v>
      </c>
      <c r="R20" s="72">
        <v>8292279</v>
      </c>
      <c r="S20" s="436">
        <v>270159</v>
      </c>
      <c r="T20" s="436">
        <v>266510</v>
      </c>
    </row>
    <row r="21" spans="1:20" ht="10.9" customHeight="1" x14ac:dyDescent="0.2">
      <c r="A21" s="207" t="s">
        <v>160</v>
      </c>
      <c r="B21" s="1" t="s">
        <v>117</v>
      </c>
      <c r="C21" s="1">
        <v>195500</v>
      </c>
      <c r="D21" s="1">
        <v>110000</v>
      </c>
      <c r="E21" s="1">
        <v>0</v>
      </c>
      <c r="F21" s="1">
        <v>0</v>
      </c>
      <c r="G21" s="1">
        <v>10500</v>
      </c>
      <c r="H21" s="1">
        <v>19700</v>
      </c>
      <c r="I21" s="1">
        <v>0</v>
      </c>
      <c r="J21" s="1">
        <v>0</v>
      </c>
      <c r="K21" s="1">
        <v>0</v>
      </c>
      <c r="L21" s="72">
        <f t="shared" si="0"/>
        <v>335700</v>
      </c>
      <c r="M21" s="72">
        <v>44000</v>
      </c>
      <c r="N21" s="72">
        <v>0</v>
      </c>
      <c r="O21" s="72">
        <v>0</v>
      </c>
      <c r="P21" s="72">
        <v>15000</v>
      </c>
      <c r="Q21" s="72">
        <v>5664257</v>
      </c>
      <c r="R21" s="72">
        <v>3447314</v>
      </c>
      <c r="S21" s="436">
        <v>491652</v>
      </c>
      <c r="T21" s="436">
        <v>467783</v>
      </c>
    </row>
    <row r="22" spans="1:20" ht="10.9" customHeight="1" x14ac:dyDescent="0.2">
      <c r="A22" s="207" t="s">
        <v>161</v>
      </c>
      <c r="B22" s="1" t="s">
        <v>118</v>
      </c>
      <c r="C22" s="1">
        <v>0</v>
      </c>
      <c r="D22" s="1">
        <v>0</v>
      </c>
      <c r="E22" s="1">
        <v>0</v>
      </c>
      <c r="F22" s="1">
        <v>0</v>
      </c>
      <c r="G22" s="1">
        <v>0</v>
      </c>
      <c r="H22" s="1">
        <v>20500</v>
      </c>
      <c r="I22" s="1">
        <v>0</v>
      </c>
      <c r="J22" s="1">
        <v>0</v>
      </c>
      <c r="K22" s="1">
        <v>0</v>
      </c>
      <c r="L22" s="72">
        <f t="shared" si="0"/>
        <v>20500</v>
      </c>
      <c r="M22" s="72">
        <v>32000</v>
      </c>
      <c r="N22" s="72">
        <v>0</v>
      </c>
      <c r="O22" s="72">
        <v>0</v>
      </c>
      <c r="P22" s="72">
        <v>0</v>
      </c>
      <c r="Q22" s="72">
        <v>2910619</v>
      </c>
      <c r="R22" s="72">
        <v>2859446</v>
      </c>
      <c r="S22" s="436">
        <v>172077</v>
      </c>
      <c r="T22" s="436">
        <v>172842</v>
      </c>
    </row>
    <row r="23" spans="1:20" ht="10.9" customHeight="1" x14ac:dyDescent="0.2">
      <c r="A23" s="207" t="s">
        <v>162</v>
      </c>
      <c r="B23" s="1" t="s">
        <v>119</v>
      </c>
      <c r="C23" s="1">
        <v>74000</v>
      </c>
      <c r="D23" s="1">
        <v>0</v>
      </c>
      <c r="E23" s="1">
        <v>0</v>
      </c>
      <c r="F23" s="1">
        <v>0</v>
      </c>
      <c r="G23" s="1">
        <v>0</v>
      </c>
      <c r="H23" s="1">
        <v>1700</v>
      </c>
      <c r="I23" s="1">
        <v>0</v>
      </c>
      <c r="J23" s="1">
        <v>0</v>
      </c>
      <c r="K23" s="1">
        <v>0</v>
      </c>
      <c r="L23" s="72">
        <f t="shared" si="0"/>
        <v>75700</v>
      </c>
      <c r="M23" s="72">
        <v>27500</v>
      </c>
      <c r="N23" s="72">
        <v>0</v>
      </c>
      <c r="O23" s="72">
        <v>0</v>
      </c>
      <c r="P23" s="72">
        <v>5500</v>
      </c>
      <c r="Q23" s="72">
        <v>2219720</v>
      </c>
      <c r="R23" s="72">
        <v>2016662</v>
      </c>
      <c r="S23" s="436">
        <v>329425</v>
      </c>
      <c r="T23" s="436">
        <v>288728</v>
      </c>
    </row>
    <row r="24" spans="1:20" ht="10.9" customHeight="1" x14ac:dyDescent="0.2">
      <c r="A24" s="207" t="s">
        <v>163</v>
      </c>
      <c r="B24" s="1" t="s">
        <v>120</v>
      </c>
      <c r="C24" s="1">
        <v>186000</v>
      </c>
      <c r="D24" s="1">
        <v>0</v>
      </c>
      <c r="E24" s="1">
        <v>0</v>
      </c>
      <c r="F24" s="1">
        <v>0</v>
      </c>
      <c r="G24" s="1">
        <v>0</v>
      </c>
      <c r="H24" s="1">
        <v>0</v>
      </c>
      <c r="I24" s="1">
        <v>0</v>
      </c>
      <c r="J24" s="1">
        <v>0</v>
      </c>
      <c r="K24" s="1">
        <v>0</v>
      </c>
      <c r="L24" s="72">
        <f t="shared" si="0"/>
        <v>186000</v>
      </c>
      <c r="M24" s="72">
        <v>60000</v>
      </c>
      <c r="N24" s="72">
        <v>0</v>
      </c>
      <c r="O24" s="72">
        <v>0</v>
      </c>
      <c r="P24" s="72">
        <v>52660</v>
      </c>
      <c r="Q24" s="72">
        <v>10146798</v>
      </c>
      <c r="R24" s="72">
        <v>5131643</v>
      </c>
      <c r="S24" s="436">
        <v>525961</v>
      </c>
      <c r="T24" s="436">
        <v>524987</v>
      </c>
    </row>
    <row r="25" spans="1:20" ht="10.9" customHeight="1" x14ac:dyDescent="0.2">
      <c r="A25" s="207" t="s">
        <v>164</v>
      </c>
      <c r="B25" s="1" t="s">
        <v>121</v>
      </c>
      <c r="C25" s="1">
        <v>583196</v>
      </c>
      <c r="D25" s="1">
        <v>192000</v>
      </c>
      <c r="E25" s="1">
        <v>15804</v>
      </c>
      <c r="F25" s="1">
        <v>0</v>
      </c>
      <c r="G25" s="1">
        <v>9500</v>
      </c>
      <c r="H25" s="1">
        <v>32000</v>
      </c>
      <c r="I25" s="1">
        <v>0</v>
      </c>
      <c r="J25" s="1">
        <v>0</v>
      </c>
      <c r="K25" s="1">
        <v>0</v>
      </c>
      <c r="L25" s="72">
        <f t="shared" si="0"/>
        <v>832500</v>
      </c>
      <c r="M25" s="72">
        <v>22000</v>
      </c>
      <c r="N25" s="72">
        <v>920974</v>
      </c>
      <c r="O25" s="72">
        <v>0</v>
      </c>
      <c r="P25" s="72">
        <v>0</v>
      </c>
      <c r="Q25" s="72">
        <v>33051388</v>
      </c>
      <c r="R25" s="72">
        <v>16243906</v>
      </c>
      <c r="S25" s="436">
        <v>494398</v>
      </c>
      <c r="T25" s="436">
        <v>480970</v>
      </c>
    </row>
    <row r="26" spans="1:20" ht="10.9" customHeight="1" x14ac:dyDescent="0.2">
      <c r="A26" s="207" t="s">
        <v>165</v>
      </c>
      <c r="B26" s="1" t="s">
        <v>122</v>
      </c>
      <c r="C26" s="1">
        <v>0</v>
      </c>
      <c r="D26" s="1">
        <v>0</v>
      </c>
      <c r="E26" s="1">
        <v>0</v>
      </c>
      <c r="F26" s="1">
        <v>0</v>
      </c>
      <c r="G26" s="1">
        <v>0</v>
      </c>
      <c r="H26" s="1">
        <v>6000</v>
      </c>
      <c r="I26" s="1">
        <v>0</v>
      </c>
      <c r="J26" s="1">
        <v>0</v>
      </c>
      <c r="K26" s="1">
        <v>0</v>
      </c>
      <c r="L26" s="72">
        <f t="shared" si="0"/>
        <v>6000</v>
      </c>
      <c r="M26" s="72">
        <v>44000</v>
      </c>
      <c r="N26" s="72">
        <v>0</v>
      </c>
      <c r="O26" s="72">
        <v>0</v>
      </c>
      <c r="P26" s="72">
        <v>15000</v>
      </c>
      <c r="Q26" s="72">
        <v>5108278</v>
      </c>
      <c r="R26" s="72">
        <v>3918530</v>
      </c>
      <c r="S26" s="436">
        <v>380667</v>
      </c>
      <c r="T26" s="436">
        <v>357556</v>
      </c>
    </row>
    <row r="27" spans="1:20" ht="10.9" customHeight="1" x14ac:dyDescent="0.2">
      <c r="A27" s="207" t="s">
        <v>166</v>
      </c>
      <c r="B27" s="1" t="s">
        <v>123</v>
      </c>
      <c r="C27" s="1">
        <v>10300</v>
      </c>
      <c r="D27" s="1">
        <v>0</v>
      </c>
      <c r="E27" s="1">
        <v>0</v>
      </c>
      <c r="F27" s="1">
        <v>0</v>
      </c>
      <c r="G27" s="1">
        <v>0</v>
      </c>
      <c r="H27" s="1">
        <v>0</v>
      </c>
      <c r="I27" s="1">
        <v>0</v>
      </c>
      <c r="J27" s="1">
        <v>0</v>
      </c>
      <c r="K27" s="1">
        <v>0</v>
      </c>
      <c r="L27" s="72">
        <f t="shared" si="0"/>
        <v>10300</v>
      </c>
      <c r="M27" s="72">
        <v>70000</v>
      </c>
      <c r="N27" s="72">
        <v>0</v>
      </c>
      <c r="O27" s="72">
        <v>0</v>
      </c>
      <c r="P27" s="72">
        <v>36000</v>
      </c>
      <c r="Q27" s="72">
        <v>3603857</v>
      </c>
      <c r="R27" s="72">
        <v>5162209</v>
      </c>
      <c r="S27" s="436">
        <v>163924</v>
      </c>
      <c r="T27" s="436">
        <v>182469</v>
      </c>
    </row>
    <row r="28" spans="1:20" ht="10.9" customHeight="1" x14ac:dyDescent="0.2">
      <c r="A28" s="207" t="s">
        <v>167</v>
      </c>
      <c r="B28" s="1" t="s">
        <v>124</v>
      </c>
      <c r="C28" s="1">
        <v>90000</v>
      </c>
      <c r="D28" s="1">
        <v>0</v>
      </c>
      <c r="E28" s="1">
        <v>45000</v>
      </c>
      <c r="F28" s="1">
        <v>0</v>
      </c>
      <c r="G28" s="1">
        <v>0</v>
      </c>
      <c r="H28" s="1">
        <v>0</v>
      </c>
      <c r="I28" s="1">
        <v>0</v>
      </c>
      <c r="J28" s="1">
        <v>0</v>
      </c>
      <c r="K28" s="1">
        <v>0</v>
      </c>
      <c r="L28" s="72">
        <f t="shared" si="0"/>
        <v>135000</v>
      </c>
      <c r="M28" s="72">
        <v>30000</v>
      </c>
      <c r="N28" s="72">
        <v>0</v>
      </c>
      <c r="O28" s="72">
        <v>205704</v>
      </c>
      <c r="P28" s="72">
        <v>3000</v>
      </c>
      <c r="Q28" s="72">
        <v>3170103</v>
      </c>
      <c r="R28" s="72">
        <v>2408870</v>
      </c>
      <c r="S28" s="436">
        <v>615540</v>
      </c>
      <c r="T28" s="436">
        <v>540294</v>
      </c>
    </row>
    <row r="29" spans="1:20" ht="10.9" customHeight="1" x14ac:dyDescent="0.2">
      <c r="A29" s="207" t="s">
        <v>168</v>
      </c>
      <c r="B29" s="1" t="s">
        <v>125</v>
      </c>
      <c r="C29" s="1">
        <v>2002500</v>
      </c>
      <c r="D29" s="1">
        <v>0</v>
      </c>
      <c r="E29" s="1">
        <v>0</v>
      </c>
      <c r="F29" s="1">
        <v>0</v>
      </c>
      <c r="G29" s="1">
        <v>7000</v>
      </c>
      <c r="H29" s="1">
        <v>0</v>
      </c>
      <c r="I29" s="1">
        <v>0</v>
      </c>
      <c r="J29" s="1">
        <v>0</v>
      </c>
      <c r="K29" s="1">
        <v>0</v>
      </c>
      <c r="L29" s="72">
        <f t="shared" si="0"/>
        <v>2009500</v>
      </c>
      <c r="M29" s="72">
        <v>120000</v>
      </c>
      <c r="N29" s="72">
        <v>916805</v>
      </c>
      <c r="O29" s="72">
        <v>0</v>
      </c>
      <c r="P29" s="72">
        <v>122000</v>
      </c>
      <c r="Q29" s="72">
        <v>29782683</v>
      </c>
      <c r="R29" s="72">
        <v>13416252</v>
      </c>
      <c r="S29" s="436">
        <v>630272</v>
      </c>
      <c r="T29" s="436">
        <v>602579</v>
      </c>
    </row>
    <row r="30" spans="1:20" ht="10.9" customHeight="1" x14ac:dyDescent="0.2">
      <c r="A30" s="207" t="s">
        <v>169</v>
      </c>
      <c r="B30" s="1" t="s">
        <v>126</v>
      </c>
      <c r="C30" s="1">
        <v>32661</v>
      </c>
      <c r="D30" s="1">
        <v>0</v>
      </c>
      <c r="E30" s="1">
        <v>0</v>
      </c>
      <c r="F30" s="1">
        <v>0</v>
      </c>
      <c r="G30" s="1">
        <v>0</v>
      </c>
      <c r="H30" s="1">
        <v>0</v>
      </c>
      <c r="I30" s="1">
        <v>0</v>
      </c>
      <c r="J30" s="1">
        <v>0</v>
      </c>
      <c r="K30" s="1">
        <v>0</v>
      </c>
      <c r="L30" s="72">
        <f t="shared" si="0"/>
        <v>32661</v>
      </c>
      <c r="M30" s="72">
        <v>24500</v>
      </c>
      <c r="N30" s="72">
        <v>0</v>
      </c>
      <c r="O30" s="72">
        <v>0</v>
      </c>
      <c r="P30" s="72">
        <v>11400</v>
      </c>
      <c r="Q30" s="72">
        <v>1705400</v>
      </c>
      <c r="R30" s="72">
        <v>1643403</v>
      </c>
      <c r="S30" s="436">
        <v>543183</v>
      </c>
      <c r="T30" s="436">
        <v>473896</v>
      </c>
    </row>
    <row r="31" spans="1:20" ht="10.9" customHeight="1" x14ac:dyDescent="0.2">
      <c r="A31" s="207" t="s">
        <v>170</v>
      </c>
      <c r="B31" s="1" t="s">
        <v>127</v>
      </c>
      <c r="C31" s="1">
        <v>43000</v>
      </c>
      <c r="D31" s="1">
        <v>0</v>
      </c>
      <c r="E31" s="1">
        <v>0</v>
      </c>
      <c r="F31" s="1">
        <v>0</v>
      </c>
      <c r="G31" s="1">
        <v>0</v>
      </c>
      <c r="H31" s="1">
        <v>0</v>
      </c>
      <c r="I31" s="1">
        <v>0</v>
      </c>
      <c r="J31" s="1">
        <v>0</v>
      </c>
      <c r="K31" s="1">
        <v>0</v>
      </c>
      <c r="L31" s="72">
        <f t="shared" si="0"/>
        <v>43000</v>
      </c>
      <c r="M31" s="72">
        <v>47000</v>
      </c>
      <c r="N31" s="72">
        <v>0</v>
      </c>
      <c r="O31" s="72">
        <v>0</v>
      </c>
      <c r="P31" s="72">
        <v>0</v>
      </c>
      <c r="Q31" s="72">
        <v>4515280</v>
      </c>
      <c r="R31" s="72">
        <v>3775327</v>
      </c>
      <c r="S31" s="436">
        <v>426810</v>
      </c>
      <c r="T31" s="436">
        <v>408032</v>
      </c>
    </row>
    <row r="32" spans="1:20" ht="10.9" customHeight="1" x14ac:dyDescent="0.2">
      <c r="A32" s="207" t="s">
        <v>171</v>
      </c>
      <c r="B32" s="446" t="s">
        <v>128</v>
      </c>
      <c r="C32" s="1">
        <v>230000</v>
      </c>
      <c r="D32" s="1">
        <v>0</v>
      </c>
      <c r="E32" s="1">
        <v>0</v>
      </c>
      <c r="F32" s="1">
        <v>0</v>
      </c>
      <c r="G32" s="1">
        <v>0</v>
      </c>
      <c r="H32" s="1">
        <v>5100</v>
      </c>
      <c r="I32" s="1">
        <v>0</v>
      </c>
      <c r="J32" s="1">
        <v>0</v>
      </c>
      <c r="K32" s="1">
        <v>0</v>
      </c>
      <c r="L32" s="72">
        <f t="shared" si="0"/>
        <v>235100</v>
      </c>
      <c r="M32" s="72">
        <v>32000</v>
      </c>
      <c r="N32" s="72">
        <v>0</v>
      </c>
      <c r="O32" s="72">
        <v>0</v>
      </c>
      <c r="P32" s="72">
        <v>0</v>
      </c>
      <c r="Q32" s="526">
        <v>4520449</v>
      </c>
      <c r="R32" s="72">
        <v>3115989</v>
      </c>
      <c r="S32" s="436">
        <v>648173</v>
      </c>
      <c r="T32" s="436">
        <v>575743</v>
      </c>
    </row>
    <row r="33" spans="1:20" ht="10.9" customHeight="1" x14ac:dyDescent="0.2">
      <c r="A33" s="207" t="s">
        <v>172</v>
      </c>
      <c r="B33" s="1" t="s">
        <v>129</v>
      </c>
      <c r="C33" s="1">
        <v>90000</v>
      </c>
      <c r="D33" s="1">
        <v>0</v>
      </c>
      <c r="E33" s="1">
        <v>0</v>
      </c>
      <c r="F33" s="1">
        <v>0</v>
      </c>
      <c r="G33" s="1">
        <v>0</v>
      </c>
      <c r="H33" s="1">
        <v>7000</v>
      </c>
      <c r="I33" s="1">
        <v>0</v>
      </c>
      <c r="J33" s="1">
        <v>0</v>
      </c>
      <c r="K33" s="1">
        <v>0</v>
      </c>
      <c r="L33" s="72">
        <f t="shared" si="0"/>
        <v>97000</v>
      </c>
      <c r="M33" s="72">
        <v>43000</v>
      </c>
      <c r="N33" s="72">
        <v>0</v>
      </c>
      <c r="O33" s="72">
        <v>0</v>
      </c>
      <c r="P33" s="72">
        <v>22500</v>
      </c>
      <c r="Q33" s="72">
        <v>3428986</v>
      </c>
      <c r="R33" s="72">
        <v>3057577</v>
      </c>
      <c r="S33" s="436">
        <v>665193</v>
      </c>
      <c r="T33" s="436">
        <v>591214</v>
      </c>
    </row>
    <row r="34" spans="1:20" ht="10.9" customHeight="1" x14ac:dyDescent="0.2">
      <c r="A34" s="207" t="s">
        <v>173</v>
      </c>
      <c r="B34" s="1" t="s">
        <v>130</v>
      </c>
      <c r="C34" s="1">
        <v>447738</v>
      </c>
      <c r="D34" s="1">
        <v>5605</v>
      </c>
      <c r="E34" s="1">
        <v>0</v>
      </c>
      <c r="F34" s="1">
        <v>0</v>
      </c>
      <c r="G34" s="1">
        <v>0</v>
      </c>
      <c r="H34" s="1">
        <v>0</v>
      </c>
      <c r="I34" s="1">
        <v>0</v>
      </c>
      <c r="J34" s="1">
        <v>0</v>
      </c>
      <c r="K34" s="1">
        <v>0</v>
      </c>
      <c r="L34" s="72">
        <f t="shared" si="0"/>
        <v>453343</v>
      </c>
      <c r="M34" s="72">
        <v>44000</v>
      </c>
      <c r="N34" s="72">
        <v>0</v>
      </c>
      <c r="O34" s="72">
        <v>0</v>
      </c>
      <c r="P34" s="72">
        <v>0</v>
      </c>
      <c r="Q34" s="72">
        <v>3734643</v>
      </c>
      <c r="R34" s="72">
        <v>3583719</v>
      </c>
      <c r="S34" s="436">
        <v>669242</v>
      </c>
      <c r="T34" s="436">
        <v>616820</v>
      </c>
    </row>
    <row r="35" spans="1:20" ht="10.9" customHeight="1" x14ac:dyDescent="0.2">
      <c r="A35" s="207" t="s">
        <v>174</v>
      </c>
      <c r="B35" s="1" t="s">
        <v>131</v>
      </c>
      <c r="C35" s="1">
        <v>11000</v>
      </c>
      <c r="D35" s="1">
        <v>0</v>
      </c>
      <c r="E35" s="1">
        <v>0</v>
      </c>
      <c r="F35" s="1">
        <v>0</v>
      </c>
      <c r="G35" s="1">
        <v>3300</v>
      </c>
      <c r="H35" s="1">
        <v>44500</v>
      </c>
      <c r="I35" s="1">
        <v>0</v>
      </c>
      <c r="J35" s="1">
        <v>0</v>
      </c>
      <c r="K35" s="1">
        <v>0</v>
      </c>
      <c r="L35" s="72">
        <f t="shared" si="0"/>
        <v>58800</v>
      </c>
      <c r="M35" s="72">
        <v>125000</v>
      </c>
      <c r="N35" s="72">
        <v>0</v>
      </c>
      <c r="O35" s="72">
        <v>0</v>
      </c>
      <c r="P35" s="72">
        <v>0</v>
      </c>
      <c r="Q35" s="72">
        <v>30475673</v>
      </c>
      <c r="R35" s="72">
        <v>16758339</v>
      </c>
      <c r="S35" s="436">
        <v>428612</v>
      </c>
      <c r="T35" s="436">
        <v>420190</v>
      </c>
    </row>
    <row r="36" spans="1:20" ht="10.9" customHeight="1" x14ac:dyDescent="0.2">
      <c r="A36" s="207" t="s">
        <v>175</v>
      </c>
      <c r="B36" s="1" t="s">
        <v>132</v>
      </c>
      <c r="C36" s="1">
        <v>380000</v>
      </c>
      <c r="D36" s="1">
        <v>0</v>
      </c>
      <c r="E36" s="1">
        <v>0</v>
      </c>
      <c r="F36" s="1">
        <v>0</v>
      </c>
      <c r="G36" s="1">
        <v>0</v>
      </c>
      <c r="H36" s="1">
        <v>0</v>
      </c>
      <c r="I36" s="1">
        <v>0</v>
      </c>
      <c r="J36" s="1">
        <v>0</v>
      </c>
      <c r="K36" s="1">
        <v>0</v>
      </c>
      <c r="L36" s="72">
        <f t="shared" si="0"/>
        <v>380000</v>
      </c>
      <c r="M36" s="72">
        <v>39000</v>
      </c>
      <c r="N36" s="72">
        <v>0</v>
      </c>
      <c r="O36" s="72">
        <v>0</v>
      </c>
      <c r="P36" s="72">
        <v>21000</v>
      </c>
      <c r="Q36" s="72">
        <v>3494056</v>
      </c>
      <c r="R36" s="72">
        <v>2002943</v>
      </c>
      <c r="S36" s="436">
        <v>643784</v>
      </c>
      <c r="T36" s="436">
        <v>588911</v>
      </c>
    </row>
    <row r="37" spans="1:20" ht="10.9" customHeight="1" x14ac:dyDescent="0.2">
      <c r="A37" s="207" t="s">
        <v>176</v>
      </c>
      <c r="B37" s="1" t="s">
        <v>133</v>
      </c>
      <c r="C37" s="1">
        <v>439800</v>
      </c>
      <c r="D37" s="1">
        <v>0</v>
      </c>
      <c r="E37" s="1">
        <v>0</v>
      </c>
      <c r="F37" s="1">
        <v>0</v>
      </c>
      <c r="G37" s="1">
        <v>0</v>
      </c>
      <c r="H37" s="1">
        <v>10600</v>
      </c>
      <c r="I37" s="1">
        <v>0</v>
      </c>
      <c r="J37" s="1">
        <v>0</v>
      </c>
      <c r="K37" s="1">
        <v>0</v>
      </c>
      <c r="L37" s="72">
        <f t="shared" si="0"/>
        <v>450400</v>
      </c>
      <c r="M37" s="72">
        <v>50000</v>
      </c>
      <c r="N37" s="72">
        <v>0</v>
      </c>
      <c r="O37" s="72">
        <v>0</v>
      </c>
      <c r="P37" s="72">
        <v>0</v>
      </c>
      <c r="Q37" s="72">
        <v>7962630</v>
      </c>
      <c r="R37" s="72">
        <v>5748613</v>
      </c>
      <c r="S37" s="436">
        <v>335946</v>
      </c>
      <c r="T37" s="436">
        <v>317490</v>
      </c>
    </row>
    <row r="38" spans="1:20" ht="10.9" customHeight="1" x14ac:dyDescent="0.2">
      <c r="A38" s="207" t="s">
        <v>177</v>
      </c>
      <c r="B38" s="1" t="s">
        <v>134</v>
      </c>
      <c r="C38" s="1">
        <v>882200</v>
      </c>
      <c r="D38" s="1">
        <v>230000</v>
      </c>
      <c r="E38" s="1">
        <v>0</v>
      </c>
      <c r="F38" s="1">
        <v>0</v>
      </c>
      <c r="G38" s="1">
        <v>0</v>
      </c>
      <c r="H38" s="1">
        <v>130250</v>
      </c>
      <c r="I38" s="1">
        <v>0</v>
      </c>
      <c r="J38" s="1">
        <v>0</v>
      </c>
      <c r="K38" s="1">
        <v>0</v>
      </c>
      <c r="L38" s="72">
        <f>SUM(C38:I38)-J38+K38</f>
        <v>1242450</v>
      </c>
      <c r="M38" s="72">
        <v>86500</v>
      </c>
      <c r="N38" s="72">
        <v>0</v>
      </c>
      <c r="O38" s="72">
        <v>0</v>
      </c>
      <c r="P38" s="72">
        <v>0</v>
      </c>
      <c r="Q38" s="72">
        <v>21182795</v>
      </c>
      <c r="R38" s="72">
        <v>10702491</v>
      </c>
      <c r="S38" s="436">
        <v>327972</v>
      </c>
      <c r="T38" s="436">
        <v>319578</v>
      </c>
    </row>
    <row r="39" spans="1:20" ht="10.9" customHeight="1" x14ac:dyDescent="0.2">
      <c r="A39" s="207" t="s">
        <v>178</v>
      </c>
      <c r="B39" s="1" t="s">
        <v>135</v>
      </c>
      <c r="C39" s="1">
        <v>260000</v>
      </c>
      <c r="D39" s="1">
        <v>0</v>
      </c>
      <c r="E39" s="1">
        <v>0</v>
      </c>
      <c r="F39" s="1">
        <v>0</v>
      </c>
      <c r="G39" s="1">
        <v>0</v>
      </c>
      <c r="H39" s="1">
        <v>0</v>
      </c>
      <c r="I39" s="1">
        <v>0</v>
      </c>
      <c r="J39" s="1">
        <v>0</v>
      </c>
      <c r="K39" s="1">
        <v>0</v>
      </c>
      <c r="L39" s="72">
        <f t="shared" ref="L39:L46" si="1">SUM(C39:I39)-J39+K39</f>
        <v>260000</v>
      </c>
      <c r="M39" s="72">
        <v>37500</v>
      </c>
      <c r="N39" s="72">
        <v>0</v>
      </c>
      <c r="O39" s="72">
        <v>0</v>
      </c>
      <c r="P39" s="72">
        <v>25000</v>
      </c>
      <c r="Q39" s="72">
        <v>3010157</v>
      </c>
      <c r="R39" s="72">
        <v>2148141</v>
      </c>
      <c r="S39" s="436">
        <v>816595</v>
      </c>
      <c r="T39" s="436">
        <v>789689</v>
      </c>
    </row>
    <row r="40" spans="1:20" ht="10.9" customHeight="1" x14ac:dyDescent="0.2">
      <c r="A40" s="207" t="s">
        <v>179</v>
      </c>
      <c r="B40" s="1" t="s">
        <v>136</v>
      </c>
      <c r="C40" s="1">
        <v>421000</v>
      </c>
      <c r="D40" s="1">
        <v>0</v>
      </c>
      <c r="E40" s="1">
        <v>0</v>
      </c>
      <c r="F40" s="1">
        <v>6000</v>
      </c>
      <c r="G40" s="1">
        <v>0</v>
      </c>
      <c r="H40" s="1">
        <v>0</v>
      </c>
      <c r="I40" s="1">
        <v>0</v>
      </c>
      <c r="J40" s="1">
        <v>0</v>
      </c>
      <c r="K40" s="1">
        <v>0</v>
      </c>
      <c r="L40" s="72">
        <f t="shared" si="1"/>
        <v>427000</v>
      </c>
      <c r="M40" s="72">
        <v>86875</v>
      </c>
      <c r="N40" s="72">
        <v>223266</v>
      </c>
      <c r="O40" s="72">
        <v>0</v>
      </c>
      <c r="P40" s="72">
        <v>82000</v>
      </c>
      <c r="Q40" s="72">
        <v>19394860</v>
      </c>
      <c r="R40" s="72">
        <v>8384369</v>
      </c>
      <c r="S40" s="436">
        <v>610145</v>
      </c>
      <c r="T40" s="436">
        <v>571406</v>
      </c>
    </row>
    <row r="41" spans="1:20" ht="10.9" customHeight="1" x14ac:dyDescent="0.2">
      <c r="A41" s="207" t="s">
        <v>180</v>
      </c>
      <c r="B41" s="1" t="s">
        <v>137</v>
      </c>
      <c r="C41" s="1">
        <v>525000</v>
      </c>
      <c r="D41" s="1">
        <v>273000</v>
      </c>
      <c r="E41" s="1">
        <v>20000</v>
      </c>
      <c r="F41" s="1">
        <v>0</v>
      </c>
      <c r="G41" s="1">
        <v>-13000</v>
      </c>
      <c r="H41" s="1">
        <v>9000</v>
      </c>
      <c r="I41" s="1">
        <v>0</v>
      </c>
      <c r="J41" s="1">
        <v>0</v>
      </c>
      <c r="K41" s="1">
        <v>0</v>
      </c>
      <c r="L41" s="72">
        <f t="shared" si="1"/>
        <v>814000</v>
      </c>
      <c r="M41" s="72">
        <v>55579</v>
      </c>
      <c r="N41" s="72">
        <v>0</v>
      </c>
      <c r="O41" s="72">
        <v>0</v>
      </c>
      <c r="P41" s="72">
        <v>47000</v>
      </c>
      <c r="Q41" s="72">
        <v>12404459</v>
      </c>
      <c r="R41" s="72">
        <v>6759451</v>
      </c>
      <c r="S41" s="436">
        <v>555919</v>
      </c>
      <c r="T41" s="436">
        <v>544884</v>
      </c>
    </row>
    <row r="42" spans="1:20" ht="10.9" customHeight="1" x14ac:dyDescent="0.2">
      <c r="A42" s="207" t="s">
        <v>181</v>
      </c>
      <c r="B42" s="1" t="s">
        <v>138</v>
      </c>
      <c r="C42" s="1">
        <v>62600</v>
      </c>
      <c r="D42" s="1">
        <v>0</v>
      </c>
      <c r="E42" s="1">
        <v>0</v>
      </c>
      <c r="F42" s="1">
        <v>0</v>
      </c>
      <c r="G42" s="1">
        <v>0</v>
      </c>
      <c r="H42" s="1">
        <v>0</v>
      </c>
      <c r="I42" s="1">
        <v>0</v>
      </c>
      <c r="J42" s="1">
        <v>0</v>
      </c>
      <c r="K42" s="1">
        <v>0</v>
      </c>
      <c r="L42" s="72">
        <f t="shared" si="1"/>
        <v>62600</v>
      </c>
      <c r="M42" s="72">
        <v>32334</v>
      </c>
      <c r="N42" s="72">
        <v>0</v>
      </c>
      <c r="O42" s="72">
        <v>0</v>
      </c>
      <c r="P42" s="72">
        <v>0</v>
      </c>
      <c r="Q42" s="72">
        <v>3203601</v>
      </c>
      <c r="R42" s="72">
        <v>2293434</v>
      </c>
      <c r="S42" s="436">
        <v>421447</v>
      </c>
      <c r="T42" s="436">
        <v>400267</v>
      </c>
    </row>
    <row r="43" spans="1:20" ht="10.9" customHeight="1" x14ac:dyDescent="0.2">
      <c r="A43" s="207" t="s">
        <v>182</v>
      </c>
      <c r="B43" s="1" t="s">
        <v>139</v>
      </c>
      <c r="C43" s="1">
        <v>26000</v>
      </c>
      <c r="D43" s="1">
        <v>0</v>
      </c>
      <c r="E43" s="1">
        <v>0</v>
      </c>
      <c r="F43" s="1">
        <v>0</v>
      </c>
      <c r="G43" s="1">
        <v>0</v>
      </c>
      <c r="H43" s="1">
        <v>0</v>
      </c>
      <c r="I43" s="1">
        <v>0</v>
      </c>
      <c r="J43" s="1">
        <v>0</v>
      </c>
      <c r="K43" s="1">
        <v>0</v>
      </c>
      <c r="L43" s="72">
        <f t="shared" si="1"/>
        <v>26000</v>
      </c>
      <c r="M43" s="72">
        <v>23000</v>
      </c>
      <c r="N43" s="72">
        <v>0</v>
      </c>
      <c r="O43" s="72">
        <v>0</v>
      </c>
      <c r="P43" s="72">
        <v>0</v>
      </c>
      <c r="Q43" s="72">
        <v>1839811</v>
      </c>
      <c r="R43" s="72">
        <v>1297413</v>
      </c>
      <c r="S43" s="436">
        <v>644926</v>
      </c>
      <c r="T43" s="436">
        <v>611882</v>
      </c>
    </row>
    <row r="44" spans="1:20" ht="10.9" customHeight="1" x14ac:dyDescent="0.2">
      <c r="A44" s="207" t="s">
        <v>183</v>
      </c>
      <c r="B44" s="1" t="s">
        <v>140</v>
      </c>
      <c r="C44" s="1">
        <v>183436</v>
      </c>
      <c r="D44" s="1">
        <v>0</v>
      </c>
      <c r="E44" s="1">
        <v>0</v>
      </c>
      <c r="F44" s="1">
        <v>0</v>
      </c>
      <c r="G44" s="1">
        <v>0</v>
      </c>
      <c r="H44" s="1">
        <v>0</v>
      </c>
      <c r="I44" s="1">
        <v>0</v>
      </c>
      <c r="J44" s="1">
        <v>0</v>
      </c>
      <c r="K44" s="1">
        <v>0</v>
      </c>
      <c r="L44" s="72">
        <f t="shared" si="1"/>
        <v>183436</v>
      </c>
      <c r="M44" s="72">
        <v>19500</v>
      </c>
      <c r="N44" s="72">
        <v>0</v>
      </c>
      <c r="O44" s="72">
        <v>0</v>
      </c>
      <c r="P44" s="72">
        <v>1600</v>
      </c>
      <c r="Q44" s="72">
        <v>1491119</v>
      </c>
      <c r="R44" s="72">
        <v>1517635</v>
      </c>
      <c r="S44" s="436">
        <v>312589</v>
      </c>
      <c r="T44" s="436">
        <v>269085</v>
      </c>
    </row>
    <row r="45" spans="1:20" ht="10.9" customHeight="1" x14ac:dyDescent="0.2">
      <c r="A45" s="207" t="s">
        <v>184</v>
      </c>
      <c r="B45" s="1" t="s">
        <v>141</v>
      </c>
      <c r="C45" s="1">
        <v>262750</v>
      </c>
      <c r="D45" s="1">
        <v>0</v>
      </c>
      <c r="E45" s="1">
        <v>7000</v>
      </c>
      <c r="F45" s="1">
        <v>0</v>
      </c>
      <c r="G45" s="1">
        <v>-7000</v>
      </c>
      <c r="H45" s="1">
        <v>0</v>
      </c>
      <c r="I45" s="1">
        <v>0</v>
      </c>
      <c r="J45" s="1">
        <v>0</v>
      </c>
      <c r="K45" s="1">
        <v>0</v>
      </c>
      <c r="L45" s="72">
        <f t="shared" si="1"/>
        <v>262750</v>
      </c>
      <c r="M45" s="72">
        <v>26500</v>
      </c>
      <c r="N45" s="72">
        <v>0</v>
      </c>
      <c r="O45" s="72">
        <v>0</v>
      </c>
      <c r="P45" s="72">
        <v>20000</v>
      </c>
      <c r="Q45" s="72">
        <v>2956044</v>
      </c>
      <c r="R45" s="72">
        <v>1711276</v>
      </c>
      <c r="S45" s="436">
        <v>354882</v>
      </c>
      <c r="T45" s="436">
        <v>327895</v>
      </c>
    </row>
    <row r="46" spans="1:20" ht="10.9" customHeight="1" x14ac:dyDescent="0.2">
      <c r="A46" s="207" t="s">
        <v>185</v>
      </c>
      <c r="B46" s="1" t="s">
        <v>142</v>
      </c>
      <c r="C46" s="1">
        <v>1850000</v>
      </c>
      <c r="D46" s="1">
        <v>389950</v>
      </c>
      <c r="E46" s="1">
        <v>0</v>
      </c>
      <c r="F46" s="1">
        <v>0</v>
      </c>
      <c r="G46" s="1">
        <v>7900</v>
      </c>
      <c r="H46" s="1">
        <v>164000</v>
      </c>
      <c r="I46" s="1">
        <v>2300</v>
      </c>
      <c r="J46" s="1">
        <v>0</v>
      </c>
      <c r="K46" s="1">
        <v>0</v>
      </c>
      <c r="L46" s="72">
        <f t="shared" si="1"/>
        <v>2414150</v>
      </c>
      <c r="M46" s="72">
        <v>0</v>
      </c>
      <c r="N46" s="72">
        <v>190000</v>
      </c>
      <c r="O46" s="72">
        <v>0</v>
      </c>
      <c r="P46" s="72">
        <v>250000</v>
      </c>
      <c r="Q46" s="72">
        <v>58437971</v>
      </c>
      <c r="R46" s="72">
        <v>28965802</v>
      </c>
      <c r="S46" s="436">
        <v>438125</v>
      </c>
      <c r="T46" s="436">
        <v>409113</v>
      </c>
    </row>
    <row r="47" spans="1:20" ht="3.95" customHeight="1" x14ac:dyDescent="0.2">
      <c r="A47" s="207"/>
    </row>
    <row r="48" spans="1:20" x14ac:dyDescent="0.2">
      <c r="A48" s="207"/>
      <c r="B48" s="1" t="s">
        <v>143</v>
      </c>
      <c r="C48" s="1">
        <f t="shared" ref="C48:N48" si="2">SUM(C11:C46)</f>
        <v>16961969</v>
      </c>
      <c r="D48" s="1">
        <f t="shared" si="2"/>
        <v>1200555</v>
      </c>
      <c r="E48" s="1">
        <f t="shared" si="2"/>
        <v>1495304</v>
      </c>
      <c r="F48" s="1">
        <f t="shared" si="2"/>
        <v>33000</v>
      </c>
      <c r="G48" s="1">
        <f t="shared" si="2"/>
        <v>118143</v>
      </c>
      <c r="H48" s="1">
        <f t="shared" si="2"/>
        <v>533061</v>
      </c>
      <c r="I48" s="1">
        <f t="shared" si="2"/>
        <v>202300</v>
      </c>
      <c r="J48" s="1">
        <f t="shared" si="2"/>
        <v>0</v>
      </c>
      <c r="K48" s="1">
        <f t="shared" si="2"/>
        <v>0</v>
      </c>
      <c r="L48" s="1">
        <f t="shared" si="2"/>
        <v>20544332</v>
      </c>
      <c r="M48" s="1">
        <f t="shared" si="2"/>
        <v>1574088</v>
      </c>
      <c r="N48" s="1">
        <f t="shared" si="2"/>
        <v>2251045</v>
      </c>
      <c r="O48" s="1">
        <f>SUM(O11:O46)</f>
        <v>205704</v>
      </c>
      <c r="P48" s="1">
        <f>SUM(P11:P46)</f>
        <v>875110</v>
      </c>
      <c r="Q48" s="1">
        <f t="shared" ref="Q48:R48" si="3">SUM(Q11:Q46)</f>
        <v>365392745.76164842</v>
      </c>
      <c r="R48" s="1">
        <f t="shared" si="3"/>
        <v>203860424</v>
      </c>
      <c r="S48" s="436">
        <v>454967.648580771</v>
      </c>
      <c r="T48" s="436">
        <v>433310.47371458152</v>
      </c>
    </row>
    <row r="49" spans="1:20" ht="3.95" customHeight="1" x14ac:dyDescent="0.2">
      <c r="A49" s="207"/>
      <c r="B49" s="1" t="s">
        <v>1</v>
      </c>
    </row>
    <row r="50" spans="1:20" ht="11.1" customHeight="1" x14ac:dyDescent="0.2">
      <c r="A50" s="207" t="s">
        <v>187</v>
      </c>
      <c r="B50" s="1" t="s">
        <v>144</v>
      </c>
      <c r="C50" s="1">
        <v>0</v>
      </c>
      <c r="D50" s="1">
        <v>0</v>
      </c>
      <c r="E50" s="1">
        <v>0</v>
      </c>
      <c r="F50" s="1">
        <v>10000</v>
      </c>
      <c r="G50" s="1">
        <v>0</v>
      </c>
      <c r="H50" s="1">
        <v>0</v>
      </c>
      <c r="I50" s="1">
        <v>4200</v>
      </c>
      <c r="J50" s="1">
        <v>0</v>
      </c>
      <c r="K50" s="1">
        <v>0</v>
      </c>
      <c r="L50" s="72">
        <f>SUM(C50:I50)-J50+K50</f>
        <v>14200</v>
      </c>
      <c r="M50" s="72">
        <v>0</v>
      </c>
      <c r="N50" s="72">
        <v>0</v>
      </c>
      <c r="O50" s="72">
        <v>0</v>
      </c>
      <c r="P50" s="72">
        <v>0</v>
      </c>
      <c r="Q50" s="72">
        <v>514891</v>
      </c>
      <c r="R50" s="72">
        <v>122477</v>
      </c>
      <c r="S50" s="437" t="s">
        <v>352</v>
      </c>
      <c r="T50" s="437" t="s">
        <v>352</v>
      </c>
    </row>
    <row r="51" spans="1:20" ht="10.9" customHeight="1" x14ac:dyDescent="0.2">
      <c r="A51" s="207" t="s">
        <v>186</v>
      </c>
      <c r="B51" s="1" t="s">
        <v>358</v>
      </c>
      <c r="C51" s="1">
        <v>0</v>
      </c>
      <c r="D51" s="1">
        <v>0</v>
      </c>
      <c r="E51" s="1">
        <v>0</v>
      </c>
      <c r="F51" s="1">
        <v>0</v>
      </c>
      <c r="G51" s="1">
        <v>0</v>
      </c>
      <c r="H51" s="1">
        <v>0</v>
      </c>
      <c r="I51" s="1">
        <v>0</v>
      </c>
      <c r="J51" s="1">
        <v>0</v>
      </c>
      <c r="K51" s="1">
        <v>0</v>
      </c>
      <c r="L51" s="72">
        <f>SUM(C51:I51)-J51+K51</f>
        <v>0</v>
      </c>
      <c r="M51" s="72">
        <v>0</v>
      </c>
      <c r="N51" s="72">
        <v>0</v>
      </c>
      <c r="O51" s="72">
        <v>0</v>
      </c>
      <c r="P51" s="72">
        <v>0</v>
      </c>
      <c r="Q51" s="72">
        <v>10138459</v>
      </c>
      <c r="R51" s="72">
        <v>0</v>
      </c>
    </row>
    <row r="52" spans="1:20" ht="3.95" customHeight="1" x14ac:dyDescent="0.2"/>
    <row r="53" spans="1:20" ht="10.9" customHeight="1" x14ac:dyDescent="0.2">
      <c r="S53" s="515" t="s">
        <v>518</v>
      </c>
    </row>
    <row r="54" spans="1:20" ht="10.9" customHeight="1" x14ac:dyDescent="0.2">
      <c r="B54" s="1" t="s">
        <v>315</v>
      </c>
      <c r="C54" s="1">
        <v>16961969</v>
      </c>
      <c r="D54" s="1">
        <v>1200555</v>
      </c>
      <c r="E54" s="1">
        <v>1495304</v>
      </c>
      <c r="F54" s="1">
        <v>33000</v>
      </c>
      <c r="G54" s="1">
        <v>118143</v>
      </c>
      <c r="H54" s="1">
        <v>533061</v>
      </c>
      <c r="I54" s="1">
        <v>202300</v>
      </c>
      <c r="J54" s="1">
        <v>0</v>
      </c>
      <c r="K54" s="1">
        <v>0</v>
      </c>
      <c r="L54" s="72">
        <f>SUM(C54:I54)-J54+K54</f>
        <v>20544332</v>
      </c>
      <c r="S54" s="516" t="s">
        <v>520</v>
      </c>
    </row>
    <row r="55" spans="1:20" x14ac:dyDescent="0.2">
      <c r="B55" s="423" t="s">
        <v>314</v>
      </c>
      <c r="C55" s="423">
        <f>+C48-C54</f>
        <v>0</v>
      </c>
      <c r="D55" s="423">
        <f t="shared" ref="D55:L55" si="4">+D48-D54</f>
        <v>0</v>
      </c>
      <c r="E55" s="423">
        <f t="shared" si="4"/>
        <v>0</v>
      </c>
      <c r="F55" s="423">
        <f t="shared" si="4"/>
        <v>0</v>
      </c>
      <c r="G55" s="423">
        <f t="shared" si="4"/>
        <v>0</v>
      </c>
      <c r="H55" s="423">
        <f t="shared" si="4"/>
        <v>0</v>
      </c>
      <c r="I55" s="423">
        <f t="shared" si="4"/>
        <v>0</v>
      </c>
      <c r="J55" s="423">
        <f t="shared" si="4"/>
        <v>0</v>
      </c>
      <c r="K55" s="423">
        <f t="shared" si="4"/>
        <v>0</v>
      </c>
      <c r="L55" s="423">
        <f t="shared" si="4"/>
        <v>0</v>
      </c>
      <c r="M55" s="423"/>
      <c r="N55" s="423"/>
      <c r="O55" s="423"/>
      <c r="P55" s="423"/>
      <c r="Q55" s="423"/>
      <c r="R55" s="423"/>
      <c r="S55" s="515" t="s">
        <v>519</v>
      </c>
    </row>
    <row r="58" spans="1:20" x14ac:dyDescent="0.2">
      <c r="B58" s="513" t="s">
        <v>560</v>
      </c>
      <c r="C58" s="831" t="s">
        <v>561</v>
      </c>
      <c r="D58" s="832"/>
      <c r="E58" s="832"/>
      <c r="F58" s="833"/>
      <c r="G58" s="513" t="s">
        <v>562</v>
      </c>
    </row>
    <row r="59" spans="1:20" x14ac:dyDescent="0.2">
      <c r="B59" s="424">
        <v>18</v>
      </c>
      <c r="C59" s="424">
        <v>0</v>
      </c>
      <c r="D59" s="424">
        <v>0</v>
      </c>
      <c r="E59" s="424"/>
      <c r="F59" s="424"/>
      <c r="G59" s="424">
        <v>100</v>
      </c>
    </row>
    <row r="60" spans="1:20" x14ac:dyDescent="0.2">
      <c r="B60" s="514">
        <f>+B59+1</f>
        <v>19</v>
      </c>
      <c r="C60" s="514">
        <v>0</v>
      </c>
      <c r="D60" s="514">
        <v>0</v>
      </c>
      <c r="E60" s="514">
        <v>0</v>
      </c>
      <c r="F60" s="514"/>
      <c r="G60" s="514">
        <v>100</v>
      </c>
    </row>
    <row r="61" spans="1:20" x14ac:dyDescent="0.2">
      <c r="B61" s="424">
        <f t="shared" ref="B61:B74" si="5">+B60+1</f>
        <v>20</v>
      </c>
      <c r="C61" s="424">
        <v>0</v>
      </c>
      <c r="D61" s="424"/>
      <c r="E61" s="424"/>
      <c r="F61" s="424"/>
      <c r="G61" s="424">
        <v>100</v>
      </c>
    </row>
    <row r="62" spans="1:20" x14ac:dyDescent="0.2">
      <c r="B62" s="514">
        <f t="shared" si="5"/>
        <v>21</v>
      </c>
      <c r="C62" s="514">
        <v>0</v>
      </c>
      <c r="D62" s="514">
        <v>0</v>
      </c>
      <c r="E62" s="514">
        <v>0</v>
      </c>
      <c r="F62" s="514"/>
      <c r="G62" s="514">
        <v>200</v>
      </c>
    </row>
    <row r="63" spans="1:20" x14ac:dyDescent="0.2">
      <c r="B63" s="424">
        <f t="shared" si="5"/>
        <v>22</v>
      </c>
      <c r="C63" s="424">
        <v>0</v>
      </c>
      <c r="D63" s="424">
        <v>0</v>
      </c>
      <c r="E63" s="424">
        <v>0</v>
      </c>
      <c r="F63" s="424"/>
      <c r="G63" s="424">
        <v>200</v>
      </c>
    </row>
    <row r="64" spans="1:20" x14ac:dyDescent="0.2">
      <c r="B64" s="514">
        <f t="shared" si="5"/>
        <v>23</v>
      </c>
      <c r="C64" s="514">
        <v>0</v>
      </c>
      <c r="D64" s="514">
        <v>0</v>
      </c>
      <c r="E64" s="514"/>
      <c r="F64" s="514"/>
      <c r="G64" s="514">
        <v>300</v>
      </c>
    </row>
    <row r="65" spans="2:7" x14ac:dyDescent="0.2">
      <c r="B65" s="424">
        <f t="shared" si="5"/>
        <v>24</v>
      </c>
      <c r="C65" s="424">
        <v>0</v>
      </c>
      <c r="D65" s="424">
        <v>0</v>
      </c>
      <c r="E65" s="424">
        <v>0</v>
      </c>
      <c r="F65" s="424">
        <v>0</v>
      </c>
      <c r="G65" s="424">
        <v>400</v>
      </c>
    </row>
    <row r="66" spans="2:7" x14ac:dyDescent="0.2">
      <c r="B66" s="514">
        <f t="shared" si="5"/>
        <v>25</v>
      </c>
      <c r="C66" s="514">
        <v>0</v>
      </c>
      <c r="D66" s="514">
        <v>0</v>
      </c>
      <c r="E66" s="514">
        <v>0</v>
      </c>
      <c r="F66" s="514"/>
      <c r="G66" s="514">
        <v>500</v>
      </c>
    </row>
    <row r="67" spans="2:7" x14ac:dyDescent="0.2">
      <c r="B67" s="424">
        <f t="shared" si="5"/>
        <v>26</v>
      </c>
      <c r="C67" s="424">
        <v>0</v>
      </c>
      <c r="D67" s="424"/>
      <c r="E67" s="424"/>
      <c r="F67" s="424"/>
      <c r="G67" s="424">
        <v>500</v>
      </c>
    </row>
    <row r="68" spans="2:7" x14ac:dyDescent="0.2">
      <c r="B68" s="514">
        <f t="shared" si="5"/>
        <v>27</v>
      </c>
      <c r="C68" s="514">
        <v>0</v>
      </c>
      <c r="D68" s="514">
        <v>0</v>
      </c>
      <c r="E68" s="514">
        <v>0</v>
      </c>
      <c r="F68" s="514"/>
      <c r="G68" s="514">
        <v>600</v>
      </c>
    </row>
    <row r="69" spans="2:7" x14ac:dyDescent="0.2">
      <c r="B69" s="424">
        <f t="shared" si="5"/>
        <v>28</v>
      </c>
      <c r="C69" s="424">
        <v>0</v>
      </c>
      <c r="D69" s="424">
        <v>0</v>
      </c>
      <c r="E69" s="424"/>
      <c r="F69" s="424"/>
      <c r="G69" s="424">
        <v>600</v>
      </c>
    </row>
    <row r="70" spans="2:7" x14ac:dyDescent="0.2">
      <c r="B70" s="514">
        <f t="shared" si="5"/>
        <v>29</v>
      </c>
      <c r="C70" s="514">
        <v>0</v>
      </c>
      <c r="D70" s="514">
        <v>0</v>
      </c>
      <c r="E70" s="514">
        <v>0</v>
      </c>
      <c r="F70" s="514"/>
      <c r="G70" s="514">
        <v>700</v>
      </c>
    </row>
    <row r="71" spans="2:7" x14ac:dyDescent="0.2">
      <c r="B71" s="424">
        <f t="shared" si="5"/>
        <v>30</v>
      </c>
      <c r="C71" s="424">
        <v>0</v>
      </c>
      <c r="D71" s="424">
        <v>0</v>
      </c>
      <c r="E71" s="424"/>
      <c r="F71" s="424"/>
      <c r="G71" s="424">
        <v>700</v>
      </c>
    </row>
    <row r="72" spans="2:7" x14ac:dyDescent="0.2">
      <c r="B72" s="514">
        <f t="shared" si="5"/>
        <v>31</v>
      </c>
      <c r="C72" s="514">
        <v>0</v>
      </c>
      <c r="D72" s="514">
        <v>0</v>
      </c>
      <c r="E72" s="514">
        <v>0</v>
      </c>
      <c r="F72" s="514"/>
      <c r="G72" s="514">
        <v>800</v>
      </c>
    </row>
    <row r="73" spans="2:7" x14ac:dyDescent="0.2">
      <c r="B73" s="424">
        <f t="shared" si="5"/>
        <v>32</v>
      </c>
      <c r="C73" s="424">
        <v>0</v>
      </c>
      <c r="D73" s="424">
        <v>0</v>
      </c>
      <c r="E73" s="424"/>
      <c r="F73" s="424"/>
      <c r="G73" s="424">
        <v>800</v>
      </c>
    </row>
    <row r="74" spans="2:7" x14ac:dyDescent="0.2">
      <c r="B74" s="514">
        <f t="shared" si="5"/>
        <v>33</v>
      </c>
      <c r="C74" s="514">
        <v>0</v>
      </c>
      <c r="D74" s="514">
        <v>0</v>
      </c>
      <c r="E74" s="514"/>
      <c r="F74" s="514"/>
      <c r="G74" s="514">
        <v>900</v>
      </c>
    </row>
  </sheetData>
  <mergeCells count="2">
    <mergeCell ref="O6:O9"/>
    <mergeCell ref="C58:F58"/>
  </mergeCells>
  <phoneticPr fontId="0" type="noConversion"/>
  <pageMargins left="0.25" right="0.6" top="0.6" bottom="0.2" header="0.5" footer="0.5"/>
  <pageSetup paperSize="5" scale="87"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0641" r:id="rId4" name="Button 1">
              <controlPr defaultSize="0" print="0" autoFill="0" autoPict="0" macro="[0]!_xludf.replace">
                <anchor moveWithCells="1" sizeWithCells="1">
                  <from>
                    <xdr:col>21</xdr:col>
                    <xdr:colOff>19050</xdr:colOff>
                    <xdr:row>2</xdr:row>
                    <xdr:rowOff>9525</xdr:rowOff>
                  </from>
                  <to>
                    <xdr:col>21</xdr:col>
                    <xdr:colOff>885825</xdr:colOff>
                    <xdr:row>3</xdr:row>
                    <xdr:rowOff>133350</xdr:rowOff>
                  </to>
                </anchor>
              </controlPr>
            </control>
          </mc:Choice>
        </mc:AlternateContent>
        <mc:AlternateContent xmlns:mc="http://schemas.openxmlformats.org/markup-compatibility/2006">
          <mc:Choice Requires="x14">
            <control shapeId="240646" r:id="rId5" name="Drop Down 6">
              <controlPr defaultSize="0" autoLine="0" autoPict="0">
                <anchor moveWithCells="1">
                  <from>
                    <xdr:col>1</xdr:col>
                    <xdr:colOff>228600</xdr:colOff>
                    <xdr:row>2</xdr:row>
                    <xdr:rowOff>9525</xdr:rowOff>
                  </from>
                  <to>
                    <xdr:col>1</xdr:col>
                    <xdr:colOff>1343025</xdr:colOff>
                    <xdr:row>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B63"/>
  <sheetViews>
    <sheetView showGridLines="0" showZeros="0" workbookViewId="0"/>
  </sheetViews>
  <sheetFormatPr defaultColWidth="16.83203125" defaultRowHeight="12" x14ac:dyDescent="0.2"/>
  <cols>
    <col min="1" max="1" width="32.83203125" style="1" customWidth="1"/>
    <col min="2" max="7" width="16.83203125" style="1" customWidth="1"/>
    <col min="8" max="16384" width="16.83203125" style="1"/>
  </cols>
  <sheetData>
    <row r="1" spans="1:54" ht="6.95" customHeight="1" x14ac:dyDescent="0.2">
      <c r="A1" s="3"/>
      <c r="B1" s="4"/>
      <c r="C1" s="4"/>
      <c r="D1" s="4"/>
      <c r="E1" s="4"/>
      <c r="F1" s="4"/>
    </row>
    <row r="2" spans="1:54" ht="15.95" customHeight="1" x14ac:dyDescent="0.2">
      <c r="A2" s="33"/>
      <c r="B2" s="34" t="str">
        <f>IF(Lang=1,BA2,BB2)</f>
        <v>ENROLMENTS - HEADCOUNT, FRAME AND ELIGIBLE</v>
      </c>
      <c r="C2" s="6"/>
      <c r="D2" s="6"/>
      <c r="E2" s="6"/>
      <c r="F2" s="85"/>
      <c r="G2" s="85"/>
      <c r="BA2" s="463" t="s">
        <v>78</v>
      </c>
      <c r="BB2" s="463" t="s">
        <v>381</v>
      </c>
    </row>
    <row r="3" spans="1:54" ht="15.95" customHeight="1" x14ac:dyDescent="0.2">
      <c r="A3" s="37"/>
      <c r="B3" s="38" t="str">
        <f>IF(Lang=1,BA3,BB3)</f>
        <v>ACTUAL AND ESTIMATES AS OF SEPTEMBER 30</v>
      </c>
      <c r="C3" s="8"/>
      <c r="D3" s="8"/>
      <c r="E3" s="8"/>
      <c r="F3" s="87"/>
      <c r="G3" s="87"/>
      <c r="BA3" s="461" t="s">
        <v>229</v>
      </c>
      <c r="BB3" s="461" t="s">
        <v>382</v>
      </c>
    </row>
    <row r="4" spans="1:54" ht="15.95" customHeight="1" x14ac:dyDescent="0.2">
      <c r="B4" s="4"/>
      <c r="C4" s="4"/>
      <c r="D4" s="4"/>
      <c r="E4" s="4"/>
      <c r="F4" s="4"/>
    </row>
    <row r="5" spans="1:54" ht="15.95" customHeight="1" x14ac:dyDescent="0.2">
      <c r="B5" s="286" t="s">
        <v>233</v>
      </c>
      <c r="C5" s="287"/>
      <c r="D5" s="288"/>
      <c r="E5" s="289" t="s">
        <v>234</v>
      </c>
      <c r="F5" s="290" t="s">
        <v>235</v>
      </c>
      <c r="G5" s="291" t="s">
        <v>235</v>
      </c>
    </row>
    <row r="6" spans="1:54" ht="15.95" customHeight="1" x14ac:dyDescent="0.2">
      <c r="B6" s="570" t="s">
        <v>598</v>
      </c>
      <c r="C6" s="571"/>
      <c r="D6" s="572"/>
      <c r="E6" s="576" t="s">
        <v>596</v>
      </c>
      <c r="F6" s="576" t="s">
        <v>597</v>
      </c>
      <c r="G6" s="576" t="s">
        <v>572</v>
      </c>
    </row>
    <row r="7" spans="1:54" ht="15.95" customHeight="1" x14ac:dyDescent="0.2">
      <c r="B7" s="573"/>
      <c r="C7" s="574"/>
      <c r="D7" s="575"/>
      <c r="E7" s="577"/>
      <c r="F7" s="577" t="s">
        <v>371</v>
      </c>
      <c r="G7" s="577" t="s">
        <v>371</v>
      </c>
    </row>
    <row r="8" spans="1:54" ht="15.95" customHeight="1" x14ac:dyDescent="0.2">
      <c r="A8" s="82"/>
      <c r="B8" s="579" t="s">
        <v>378</v>
      </c>
      <c r="C8" s="581" t="s">
        <v>379</v>
      </c>
      <c r="D8" s="581" t="s">
        <v>380</v>
      </c>
      <c r="E8" s="581" t="s">
        <v>376</v>
      </c>
      <c r="F8" s="581" t="s">
        <v>380</v>
      </c>
      <c r="G8" s="529" t="s">
        <v>380</v>
      </c>
    </row>
    <row r="9" spans="1:54" ht="15.95" customHeight="1" x14ac:dyDescent="0.2">
      <c r="A9" s="27" t="s">
        <v>37</v>
      </c>
      <c r="B9" s="580"/>
      <c r="C9" s="582"/>
      <c r="D9" s="582"/>
      <c r="E9" s="582"/>
      <c r="F9" s="582"/>
      <c r="G9" s="531"/>
    </row>
    <row r="10" spans="1:54" ht="5.0999999999999996" customHeight="1" x14ac:dyDescent="0.2">
      <c r="A10" s="29"/>
    </row>
    <row r="11" spans="1:54" ht="14.1" customHeight="1" x14ac:dyDescent="0.2">
      <c r="A11" s="271" t="s">
        <v>108</v>
      </c>
      <c r="B11" s="272">
        <v>1864</v>
      </c>
      <c r="C11" s="272">
        <v>0</v>
      </c>
      <c r="D11" s="272">
        <f>+B11-C11</f>
        <v>1864</v>
      </c>
      <c r="E11" s="292">
        <f>'- 7 -'!E11</f>
        <v>1803.5</v>
      </c>
      <c r="F11" s="292">
        <v>1783.2</v>
      </c>
      <c r="G11" s="292">
        <v>1756</v>
      </c>
    </row>
    <row r="12" spans="1:54" ht="14.1" customHeight="1" x14ac:dyDescent="0.2">
      <c r="A12" s="15" t="s">
        <v>109</v>
      </c>
      <c r="B12" s="16">
        <v>2162</v>
      </c>
      <c r="C12" s="16">
        <v>0</v>
      </c>
      <c r="D12" s="16">
        <f t="shared" ref="D12:D46" si="0">+B12-C12</f>
        <v>2162</v>
      </c>
      <c r="E12" s="47">
        <f>'- 7 -'!E12</f>
        <v>2130.5</v>
      </c>
      <c r="F12" s="47">
        <v>1976.1</v>
      </c>
      <c r="G12" s="47">
        <v>1984.8</v>
      </c>
      <c r="I12" s="79"/>
    </row>
    <row r="13" spans="1:54" ht="14.1" customHeight="1" x14ac:dyDescent="0.2">
      <c r="A13" s="271" t="s">
        <v>110</v>
      </c>
      <c r="B13" s="272">
        <v>8805</v>
      </c>
      <c r="C13" s="272">
        <v>0</v>
      </c>
      <c r="D13" s="272">
        <f t="shared" si="0"/>
        <v>8805</v>
      </c>
      <c r="E13" s="292">
        <f>'- 7 -'!E13</f>
        <v>8594</v>
      </c>
      <c r="F13" s="292">
        <v>8406.7999999999993</v>
      </c>
      <c r="G13" s="292">
        <v>8322.2999999999993</v>
      </c>
      <c r="I13" s="79"/>
    </row>
    <row r="14" spans="1:54" ht="14.1" customHeight="1" x14ac:dyDescent="0.2">
      <c r="A14" s="15" t="s">
        <v>319</v>
      </c>
      <c r="B14" s="16">
        <v>5642</v>
      </c>
      <c r="C14" s="16">
        <v>34</v>
      </c>
      <c r="D14" s="16">
        <f t="shared" si="0"/>
        <v>5608</v>
      </c>
      <c r="E14" s="47">
        <f>'- 7 -'!E14</f>
        <v>5790</v>
      </c>
      <c r="F14" s="47">
        <v>5320.8</v>
      </c>
      <c r="G14" s="47">
        <v>5199.5</v>
      </c>
    </row>
    <row r="15" spans="1:54" ht="14.1" customHeight="1" x14ac:dyDescent="0.2">
      <c r="A15" s="271" t="s">
        <v>111</v>
      </c>
      <c r="B15" s="272">
        <v>1443</v>
      </c>
      <c r="C15" s="272">
        <v>0</v>
      </c>
      <c r="D15" s="272">
        <f t="shared" si="0"/>
        <v>1443</v>
      </c>
      <c r="E15" s="292">
        <f>'- 7 -'!E15</f>
        <v>1349</v>
      </c>
      <c r="F15" s="292">
        <v>1362.8</v>
      </c>
      <c r="G15" s="292">
        <v>1381.1999999999998</v>
      </c>
    </row>
    <row r="16" spans="1:54" ht="14.1" customHeight="1" x14ac:dyDescent="0.2">
      <c r="A16" s="15" t="s">
        <v>112</v>
      </c>
      <c r="B16" s="16">
        <v>950</v>
      </c>
      <c r="C16" s="16">
        <v>0</v>
      </c>
      <c r="D16" s="16">
        <f t="shared" si="0"/>
        <v>950</v>
      </c>
      <c r="E16" s="47">
        <f>'- 7 -'!E16</f>
        <v>923</v>
      </c>
      <c r="F16" s="47">
        <v>890.9</v>
      </c>
      <c r="G16" s="47">
        <v>885.8</v>
      </c>
    </row>
    <row r="17" spans="1:7" ht="14.1" customHeight="1" x14ac:dyDescent="0.2">
      <c r="A17" s="271" t="s">
        <v>113</v>
      </c>
      <c r="B17" s="272">
        <v>1448</v>
      </c>
      <c r="C17" s="272">
        <v>5</v>
      </c>
      <c r="D17" s="272">
        <f t="shared" si="0"/>
        <v>1443</v>
      </c>
      <c r="E17" s="292">
        <f>'- 7 -'!E17</f>
        <v>1394</v>
      </c>
      <c r="F17" s="292">
        <v>1320.8</v>
      </c>
      <c r="G17" s="292">
        <v>1320.5</v>
      </c>
    </row>
    <row r="18" spans="1:7" ht="14.1" customHeight="1" x14ac:dyDescent="0.2">
      <c r="A18" s="15" t="s">
        <v>114</v>
      </c>
      <c r="B18" s="16">
        <v>6656</v>
      </c>
      <c r="C18" s="16">
        <v>469</v>
      </c>
      <c r="D18" s="16">
        <f t="shared" si="0"/>
        <v>6187</v>
      </c>
      <c r="E18" s="47">
        <f>'- 7 -'!E18</f>
        <v>6135.2</v>
      </c>
      <c r="F18" s="47">
        <v>2210.9</v>
      </c>
      <c r="G18" s="47">
        <v>2256.5</v>
      </c>
    </row>
    <row r="19" spans="1:7" ht="14.1" customHeight="1" x14ac:dyDescent="0.2">
      <c r="A19" s="271" t="s">
        <v>115</v>
      </c>
      <c r="B19" s="272">
        <v>4576</v>
      </c>
      <c r="C19" s="272">
        <v>0</v>
      </c>
      <c r="D19" s="272">
        <f t="shared" si="0"/>
        <v>4576</v>
      </c>
      <c r="E19" s="292">
        <f>'- 7 -'!E19</f>
        <v>4361.5</v>
      </c>
      <c r="F19" s="292">
        <v>4386.1000000000004</v>
      </c>
      <c r="G19" s="292">
        <v>4264.8999999999996</v>
      </c>
    </row>
    <row r="20" spans="1:7" ht="14.1" customHeight="1" x14ac:dyDescent="0.2">
      <c r="A20" s="15" t="s">
        <v>116</v>
      </c>
      <c r="B20" s="16">
        <v>8101</v>
      </c>
      <c r="C20" s="16">
        <v>0</v>
      </c>
      <c r="D20" s="16">
        <f t="shared" si="0"/>
        <v>8101</v>
      </c>
      <c r="E20" s="47">
        <f>'- 7 -'!E20</f>
        <v>7864</v>
      </c>
      <c r="F20" s="47">
        <v>7792.6</v>
      </c>
      <c r="G20" s="47">
        <v>7630.2</v>
      </c>
    </row>
    <row r="21" spans="1:7" ht="14.1" customHeight="1" x14ac:dyDescent="0.2">
      <c r="A21" s="271" t="s">
        <v>117</v>
      </c>
      <c r="B21" s="272">
        <v>2901</v>
      </c>
      <c r="C21" s="272">
        <v>0</v>
      </c>
      <c r="D21" s="272">
        <f t="shared" si="0"/>
        <v>2901</v>
      </c>
      <c r="E21" s="292">
        <f>'- 7 -'!E21</f>
        <v>2805.5</v>
      </c>
      <c r="F21" s="292">
        <v>2780.8</v>
      </c>
      <c r="G21" s="292">
        <v>2742.1</v>
      </c>
    </row>
    <row r="22" spans="1:7" ht="14.1" customHeight="1" x14ac:dyDescent="0.2">
      <c r="A22" s="15" t="s">
        <v>118</v>
      </c>
      <c r="B22" s="16">
        <v>1569</v>
      </c>
      <c r="C22" s="16">
        <v>0</v>
      </c>
      <c r="D22" s="16">
        <f t="shared" si="0"/>
        <v>1569</v>
      </c>
      <c r="E22" s="47">
        <f>'- 7 -'!E22</f>
        <v>1457.2</v>
      </c>
      <c r="F22" s="47">
        <v>1493.4</v>
      </c>
      <c r="G22" s="47">
        <v>1523.6</v>
      </c>
    </row>
    <row r="23" spans="1:7" ht="14.1" customHeight="1" x14ac:dyDescent="0.2">
      <c r="A23" s="271" t="s">
        <v>119</v>
      </c>
      <c r="B23" s="272">
        <v>1072</v>
      </c>
      <c r="C23" s="272">
        <v>0</v>
      </c>
      <c r="D23" s="272">
        <f t="shared" si="0"/>
        <v>1072</v>
      </c>
      <c r="E23" s="292">
        <f>'- 7 -'!E23</f>
        <v>1040</v>
      </c>
      <c r="F23" s="292">
        <v>955</v>
      </c>
      <c r="G23" s="292">
        <v>990.8</v>
      </c>
    </row>
    <row r="24" spans="1:7" ht="14.1" customHeight="1" x14ac:dyDescent="0.2">
      <c r="A24" s="15" t="s">
        <v>120</v>
      </c>
      <c r="B24" s="16">
        <v>4021</v>
      </c>
      <c r="C24" s="16">
        <v>0</v>
      </c>
      <c r="D24" s="16">
        <f t="shared" si="0"/>
        <v>4021</v>
      </c>
      <c r="E24" s="47">
        <f>'- 7 -'!E24</f>
        <v>3776</v>
      </c>
      <c r="F24" s="47">
        <v>3814.3</v>
      </c>
      <c r="G24" s="47">
        <v>3863.8</v>
      </c>
    </row>
    <row r="25" spans="1:7" ht="14.1" customHeight="1" x14ac:dyDescent="0.2">
      <c r="A25" s="271" t="s">
        <v>121</v>
      </c>
      <c r="B25" s="272">
        <v>15263</v>
      </c>
      <c r="C25" s="272">
        <v>0</v>
      </c>
      <c r="D25" s="272">
        <f t="shared" si="0"/>
        <v>15263</v>
      </c>
      <c r="E25" s="292">
        <f>'- 7 -'!E25</f>
        <v>14885</v>
      </c>
      <c r="F25" s="292">
        <v>14333.2</v>
      </c>
      <c r="G25" s="292">
        <v>14048.5</v>
      </c>
    </row>
    <row r="26" spans="1:7" ht="14.1" customHeight="1" x14ac:dyDescent="0.2">
      <c r="A26" s="15" t="s">
        <v>122</v>
      </c>
      <c r="B26" s="16">
        <v>3055</v>
      </c>
      <c r="C26" s="16">
        <v>0</v>
      </c>
      <c r="D26" s="16">
        <f t="shared" si="0"/>
        <v>3055</v>
      </c>
      <c r="E26" s="47">
        <f>'- 7 -'!E26</f>
        <v>2838.5</v>
      </c>
      <c r="F26" s="47">
        <v>2846.7</v>
      </c>
      <c r="G26" s="47">
        <v>2903.2</v>
      </c>
    </row>
    <row r="27" spans="1:7" ht="14.1" customHeight="1" x14ac:dyDescent="0.2">
      <c r="A27" s="271" t="s">
        <v>123</v>
      </c>
      <c r="B27" s="272">
        <v>3163</v>
      </c>
      <c r="C27" s="272">
        <v>0</v>
      </c>
      <c r="D27" s="272">
        <f t="shared" si="0"/>
        <v>3163</v>
      </c>
      <c r="E27" s="292">
        <f>'- 7 -'!E27</f>
        <v>3047</v>
      </c>
      <c r="F27" s="292">
        <v>2983.9</v>
      </c>
      <c r="G27" s="292">
        <v>2925.8</v>
      </c>
    </row>
    <row r="28" spans="1:7" ht="14.1" customHeight="1" x14ac:dyDescent="0.2">
      <c r="A28" s="15" t="s">
        <v>124</v>
      </c>
      <c r="B28" s="16">
        <v>2059</v>
      </c>
      <c r="C28" s="16">
        <v>34</v>
      </c>
      <c r="D28" s="16">
        <f t="shared" si="0"/>
        <v>2025</v>
      </c>
      <c r="E28" s="47">
        <f>'- 7 -'!E28</f>
        <v>1957</v>
      </c>
      <c r="F28" s="47">
        <v>1462.5</v>
      </c>
      <c r="G28" s="47">
        <v>1490.5</v>
      </c>
    </row>
    <row r="29" spans="1:7" ht="14.1" customHeight="1" x14ac:dyDescent="0.2">
      <c r="A29" s="271" t="s">
        <v>125</v>
      </c>
      <c r="B29" s="272">
        <v>13920</v>
      </c>
      <c r="C29" s="272">
        <v>0</v>
      </c>
      <c r="D29" s="272">
        <f t="shared" si="0"/>
        <v>13920</v>
      </c>
      <c r="E29" s="292">
        <f>'- 7 -'!E29</f>
        <v>13510.9</v>
      </c>
      <c r="F29" s="292">
        <v>13186.699999999999</v>
      </c>
      <c r="G29" s="292">
        <v>12903.099999999999</v>
      </c>
    </row>
    <row r="30" spans="1:7" ht="14.1" customHeight="1" x14ac:dyDescent="0.2">
      <c r="A30" s="15" t="s">
        <v>126</v>
      </c>
      <c r="B30" s="16">
        <v>1053</v>
      </c>
      <c r="C30" s="16">
        <v>0</v>
      </c>
      <c r="D30" s="16">
        <f t="shared" si="0"/>
        <v>1053</v>
      </c>
      <c r="E30" s="47">
        <f>'- 7 -'!E30</f>
        <v>1010</v>
      </c>
      <c r="F30" s="47">
        <v>1007.2</v>
      </c>
      <c r="G30" s="47">
        <v>990</v>
      </c>
    </row>
    <row r="31" spans="1:7" ht="14.1" customHeight="1" x14ac:dyDescent="0.2">
      <c r="A31" s="271" t="s">
        <v>127</v>
      </c>
      <c r="B31" s="272">
        <v>3502</v>
      </c>
      <c r="C31" s="272">
        <v>0</v>
      </c>
      <c r="D31" s="272">
        <f t="shared" si="0"/>
        <v>3502</v>
      </c>
      <c r="E31" s="292">
        <f>'- 7 -'!E31</f>
        <v>3246.9</v>
      </c>
      <c r="F31" s="292">
        <v>3110.4</v>
      </c>
      <c r="G31" s="292">
        <v>3120.5</v>
      </c>
    </row>
    <row r="32" spans="1:7" ht="14.1" customHeight="1" x14ac:dyDescent="0.2">
      <c r="A32" s="15" t="s">
        <v>128</v>
      </c>
      <c r="B32" s="16">
        <v>2282</v>
      </c>
      <c r="C32" s="16">
        <v>0</v>
      </c>
      <c r="D32" s="16">
        <f t="shared" si="0"/>
        <v>2282</v>
      </c>
      <c r="E32" s="47">
        <f>'- 7 -'!E32</f>
        <v>2263.5</v>
      </c>
      <c r="F32" s="47">
        <v>2184.3000000000002</v>
      </c>
      <c r="G32" s="47">
        <v>2153.1999999999998</v>
      </c>
    </row>
    <row r="33" spans="1:7" ht="14.1" customHeight="1" x14ac:dyDescent="0.2">
      <c r="A33" s="271" t="s">
        <v>129</v>
      </c>
      <c r="B33" s="272">
        <v>2169</v>
      </c>
      <c r="C33" s="272">
        <v>0</v>
      </c>
      <c r="D33" s="272">
        <f t="shared" si="0"/>
        <v>2169</v>
      </c>
      <c r="E33" s="292">
        <f>'- 7 -'!E33</f>
        <v>2052.5</v>
      </c>
      <c r="F33" s="292">
        <v>2057.7999999999997</v>
      </c>
      <c r="G33" s="292">
        <v>1991.1</v>
      </c>
    </row>
    <row r="34" spans="1:7" ht="14.1" customHeight="1" x14ac:dyDescent="0.2">
      <c r="A34" s="15" t="s">
        <v>130</v>
      </c>
      <c r="B34" s="16">
        <v>2188</v>
      </c>
      <c r="C34" s="16">
        <v>0</v>
      </c>
      <c r="D34" s="16">
        <f t="shared" si="0"/>
        <v>2188</v>
      </c>
      <c r="E34" s="47">
        <f>'- 7 -'!E34</f>
        <v>2169.3000000000002</v>
      </c>
      <c r="F34" s="47">
        <v>2100.8000000000002</v>
      </c>
      <c r="G34" s="47">
        <v>2040.9</v>
      </c>
    </row>
    <row r="35" spans="1:7" ht="14.1" customHeight="1" x14ac:dyDescent="0.2">
      <c r="A35" s="271" t="s">
        <v>131</v>
      </c>
      <c r="B35" s="272">
        <v>16497</v>
      </c>
      <c r="C35" s="272">
        <v>0</v>
      </c>
      <c r="D35" s="272">
        <f t="shared" si="0"/>
        <v>16497</v>
      </c>
      <c r="E35" s="292">
        <f>'- 7 -'!E35</f>
        <v>16144</v>
      </c>
      <c r="F35" s="292">
        <v>15713.5</v>
      </c>
      <c r="G35" s="292">
        <v>15492</v>
      </c>
    </row>
    <row r="36" spans="1:7" ht="14.1" customHeight="1" x14ac:dyDescent="0.2">
      <c r="A36" s="15" t="s">
        <v>132</v>
      </c>
      <c r="B36" s="16">
        <v>1751</v>
      </c>
      <c r="C36" s="16">
        <v>0</v>
      </c>
      <c r="D36" s="16">
        <f t="shared" si="0"/>
        <v>1751</v>
      </c>
      <c r="E36" s="47">
        <f>'- 7 -'!E36</f>
        <v>1702.5</v>
      </c>
      <c r="F36" s="47">
        <v>1576.6</v>
      </c>
      <c r="G36" s="47">
        <v>1552.6</v>
      </c>
    </row>
    <row r="37" spans="1:7" ht="14.1" customHeight="1" x14ac:dyDescent="0.2">
      <c r="A37" s="271" t="s">
        <v>133</v>
      </c>
      <c r="B37" s="272">
        <v>4385</v>
      </c>
      <c r="C37" s="272">
        <v>0</v>
      </c>
      <c r="D37" s="272">
        <f t="shared" si="0"/>
        <v>4385</v>
      </c>
      <c r="E37" s="292">
        <f>'- 7 -'!E37</f>
        <v>4265</v>
      </c>
      <c r="F37" s="292">
        <v>4188.1000000000004</v>
      </c>
      <c r="G37" s="292">
        <v>4183.7</v>
      </c>
    </row>
    <row r="38" spans="1:7" ht="14.1" customHeight="1" x14ac:dyDescent="0.2">
      <c r="A38" s="15" t="s">
        <v>134</v>
      </c>
      <c r="B38" s="16">
        <v>11523</v>
      </c>
      <c r="C38" s="16">
        <v>0</v>
      </c>
      <c r="D38" s="16">
        <f t="shared" si="0"/>
        <v>11523</v>
      </c>
      <c r="E38" s="47">
        <f>'- 7 -'!E38</f>
        <v>11233</v>
      </c>
      <c r="F38" s="47">
        <v>10968.7</v>
      </c>
      <c r="G38" s="47">
        <v>10888.8</v>
      </c>
    </row>
    <row r="39" spans="1:7" ht="14.1" customHeight="1" x14ac:dyDescent="0.2">
      <c r="A39" s="271" t="s">
        <v>135</v>
      </c>
      <c r="B39" s="272">
        <v>1590</v>
      </c>
      <c r="C39" s="272">
        <v>0</v>
      </c>
      <c r="D39" s="272">
        <f t="shared" si="0"/>
        <v>1590</v>
      </c>
      <c r="E39" s="292">
        <f>'- 7 -'!E39</f>
        <v>1513</v>
      </c>
      <c r="F39" s="292">
        <v>1513</v>
      </c>
      <c r="G39" s="292">
        <v>1500.8000000000002</v>
      </c>
    </row>
    <row r="40" spans="1:7" ht="14.1" customHeight="1" x14ac:dyDescent="0.2">
      <c r="A40" s="15" t="s">
        <v>136</v>
      </c>
      <c r="B40" s="16">
        <v>8430</v>
      </c>
      <c r="C40" s="16">
        <v>0</v>
      </c>
      <c r="D40" s="16">
        <f t="shared" si="0"/>
        <v>8430</v>
      </c>
      <c r="E40" s="47">
        <f>'- 7 -'!E40</f>
        <v>8351.5</v>
      </c>
      <c r="F40" s="47">
        <v>7973.3</v>
      </c>
      <c r="G40" s="47">
        <v>7987.5</v>
      </c>
    </row>
    <row r="41" spans="1:7" ht="14.1" customHeight="1" x14ac:dyDescent="0.2">
      <c r="A41" s="271" t="s">
        <v>137</v>
      </c>
      <c r="B41" s="272">
        <v>4613</v>
      </c>
      <c r="C41" s="272">
        <v>0</v>
      </c>
      <c r="D41" s="272">
        <f t="shared" si="0"/>
        <v>4613</v>
      </c>
      <c r="E41" s="292">
        <f>'- 7 -'!E41</f>
        <v>4359</v>
      </c>
      <c r="F41" s="292">
        <v>4402</v>
      </c>
      <c r="G41" s="292">
        <v>4391</v>
      </c>
    </row>
    <row r="42" spans="1:7" ht="14.1" customHeight="1" x14ac:dyDescent="0.2">
      <c r="A42" s="15" t="s">
        <v>138</v>
      </c>
      <c r="B42" s="16">
        <v>1465</v>
      </c>
      <c r="C42" s="16">
        <v>0</v>
      </c>
      <c r="D42" s="16">
        <f t="shared" si="0"/>
        <v>1465</v>
      </c>
      <c r="E42" s="47">
        <f>'- 7 -'!E42</f>
        <v>1406</v>
      </c>
      <c r="F42" s="47">
        <v>1369.5</v>
      </c>
      <c r="G42" s="47">
        <v>1343.6</v>
      </c>
    </row>
    <row r="43" spans="1:7" ht="14.1" customHeight="1" x14ac:dyDescent="0.2">
      <c r="A43" s="271" t="s">
        <v>139</v>
      </c>
      <c r="B43" s="272">
        <v>1005</v>
      </c>
      <c r="C43" s="272">
        <v>0</v>
      </c>
      <c r="D43" s="272">
        <f t="shared" si="0"/>
        <v>1005</v>
      </c>
      <c r="E43" s="292">
        <f>'- 7 -'!E43</f>
        <v>949.5</v>
      </c>
      <c r="F43" s="292">
        <v>969</v>
      </c>
      <c r="G43" s="292">
        <v>962.69999999999993</v>
      </c>
    </row>
    <row r="44" spans="1:7" ht="14.1" customHeight="1" x14ac:dyDescent="0.2">
      <c r="A44" s="15" t="s">
        <v>140</v>
      </c>
      <c r="B44" s="16">
        <v>721</v>
      </c>
      <c r="C44" s="16">
        <v>0</v>
      </c>
      <c r="D44" s="16">
        <f t="shared" si="0"/>
        <v>721</v>
      </c>
      <c r="E44" s="47">
        <f>'- 7 -'!E44</f>
        <v>694.5</v>
      </c>
      <c r="F44" s="47">
        <v>693.8</v>
      </c>
      <c r="G44" s="47">
        <v>693.3</v>
      </c>
    </row>
    <row r="45" spans="1:7" ht="14.1" customHeight="1" x14ac:dyDescent="0.2">
      <c r="A45" s="271" t="s">
        <v>141</v>
      </c>
      <c r="B45" s="272">
        <v>1797</v>
      </c>
      <c r="C45" s="272">
        <v>0</v>
      </c>
      <c r="D45" s="272">
        <f t="shared" si="0"/>
        <v>1797</v>
      </c>
      <c r="E45" s="292">
        <f>'- 7 -'!E45</f>
        <v>1798</v>
      </c>
      <c r="F45" s="292">
        <v>1701.3999999999999</v>
      </c>
      <c r="G45" s="292">
        <v>1662.4</v>
      </c>
    </row>
    <row r="46" spans="1:7" ht="14.1" customHeight="1" x14ac:dyDescent="0.2">
      <c r="A46" s="15" t="s">
        <v>142</v>
      </c>
      <c r="B46" s="16">
        <v>33231</v>
      </c>
      <c r="C46" s="16">
        <v>1785</v>
      </c>
      <c r="D46" s="16">
        <f t="shared" si="0"/>
        <v>31446</v>
      </c>
      <c r="E46" s="47">
        <f>'- 7 -'!E46</f>
        <v>30255</v>
      </c>
      <c r="F46" s="47">
        <v>29591</v>
      </c>
      <c r="G46" s="47">
        <v>29638.2</v>
      </c>
    </row>
    <row r="47" spans="1:7" ht="5.0999999999999996" customHeight="1" x14ac:dyDescent="0.2">
      <c r="A47"/>
      <c r="B47"/>
      <c r="C47"/>
      <c r="D47"/>
      <c r="E47"/>
      <c r="F47"/>
      <c r="G47"/>
    </row>
    <row r="48" spans="1:7" ht="14.1" customHeight="1" x14ac:dyDescent="0.2">
      <c r="A48" s="274" t="s">
        <v>143</v>
      </c>
      <c r="B48" s="275">
        <f t="shared" ref="B48:G48" si="1">SUM(B11:B46)</f>
        <v>186872</v>
      </c>
      <c r="C48" s="275">
        <f t="shared" si="1"/>
        <v>2327</v>
      </c>
      <c r="D48" s="275">
        <f t="shared" si="1"/>
        <v>184545</v>
      </c>
      <c r="E48" s="293">
        <f t="shared" si="1"/>
        <v>179075</v>
      </c>
      <c r="F48" s="293">
        <f t="shared" si="1"/>
        <v>170427.9</v>
      </c>
      <c r="G48" s="293">
        <f t="shared" si="1"/>
        <v>168985.40000000002</v>
      </c>
    </row>
    <row r="49" spans="1:7" ht="5.0999999999999996" customHeight="1" x14ac:dyDescent="0.2">
      <c r="A49" s="17" t="s">
        <v>1</v>
      </c>
      <c r="B49" s="18"/>
      <c r="C49" s="18"/>
      <c r="D49" s="18"/>
      <c r="E49" s="50"/>
      <c r="F49" s="50"/>
      <c r="G49" s="50"/>
    </row>
    <row r="50" spans="1:7" ht="14.1" customHeight="1" x14ac:dyDescent="0.2">
      <c r="A50" s="15" t="s">
        <v>144</v>
      </c>
      <c r="B50" s="16">
        <v>164</v>
      </c>
      <c r="C50" s="16">
        <v>0</v>
      </c>
      <c r="D50" s="16">
        <f t="shared" ref="D50:D51" si="2">+B50-C50</f>
        <v>164</v>
      </c>
      <c r="E50" s="47">
        <f>'- 7 -'!E50</f>
        <v>168</v>
      </c>
      <c r="F50" s="47">
        <v>154</v>
      </c>
      <c r="G50" s="47">
        <v>155</v>
      </c>
    </row>
    <row r="51" spans="1:7" ht="14.1" customHeight="1" x14ac:dyDescent="0.2">
      <c r="A51" s="360" t="s">
        <v>514</v>
      </c>
      <c r="B51" s="272">
        <v>0</v>
      </c>
      <c r="C51" s="272">
        <v>0</v>
      </c>
      <c r="D51" s="272">
        <f t="shared" si="2"/>
        <v>0</v>
      </c>
      <c r="E51" s="292">
        <f>'- 7 -'!E51</f>
        <v>1370</v>
      </c>
      <c r="F51" s="292"/>
      <c r="G51" s="292"/>
    </row>
    <row r="52" spans="1:7" ht="50.1" customHeight="1" x14ac:dyDescent="0.2">
      <c r="A52" s="19"/>
      <c r="B52" s="19"/>
      <c r="C52" s="19"/>
      <c r="D52" s="19"/>
      <c r="E52" s="19"/>
      <c r="F52" s="99"/>
      <c r="G52" s="99"/>
    </row>
    <row r="53" spans="1:7" ht="15" customHeight="1" x14ac:dyDescent="0.2">
      <c r="A53" s="20" t="s">
        <v>339</v>
      </c>
      <c r="C53" s="90"/>
      <c r="D53" s="90"/>
      <c r="E53" s="90"/>
      <c r="F53" s="90"/>
    </row>
    <row r="54" spans="1:7" ht="12" customHeight="1" x14ac:dyDescent="0.2">
      <c r="A54" s="558" t="s">
        <v>377</v>
      </c>
      <c r="B54" s="578"/>
      <c r="C54" s="578"/>
      <c r="D54" s="578"/>
      <c r="E54" s="578"/>
      <c r="F54" s="578"/>
      <c r="G54" s="578"/>
    </row>
    <row r="55" spans="1:7" ht="12" customHeight="1" x14ac:dyDescent="0.2">
      <c r="A55" s="578"/>
      <c r="B55" s="578"/>
      <c r="C55" s="578"/>
      <c r="D55" s="578"/>
      <c r="E55" s="578"/>
      <c r="F55" s="578"/>
      <c r="G55" s="578"/>
    </row>
    <row r="56" spans="1:7" ht="12" customHeight="1" x14ac:dyDescent="0.2">
      <c r="A56" s="131" t="s">
        <v>599</v>
      </c>
      <c r="C56" s="90"/>
      <c r="D56" s="90"/>
      <c r="E56" s="90"/>
      <c r="F56" s="91"/>
    </row>
    <row r="57" spans="1:7" ht="14.45" customHeight="1" x14ac:dyDescent="0.2">
      <c r="A57" s="20"/>
      <c r="B57" s="90"/>
      <c r="C57" s="90"/>
      <c r="D57" s="90"/>
      <c r="E57" s="90"/>
      <c r="F57" s="90"/>
    </row>
    <row r="58" spans="1:7" ht="14.45" customHeight="1" x14ac:dyDescent="0.2">
      <c r="F58" s="428"/>
      <c r="G58" s="428"/>
    </row>
    <row r="59" spans="1:7" ht="14.45" customHeight="1" x14ac:dyDescent="0.2">
      <c r="F59" s="428"/>
      <c r="G59" s="428"/>
    </row>
    <row r="60" spans="1:7" x14ac:dyDescent="0.2">
      <c r="F60" s="428"/>
      <c r="G60" s="428"/>
    </row>
    <row r="61" spans="1:7" x14ac:dyDescent="0.2">
      <c r="F61" s="428"/>
      <c r="G61" s="428"/>
    </row>
    <row r="62" spans="1:7" x14ac:dyDescent="0.2">
      <c r="F62" s="428"/>
      <c r="G62" s="428"/>
    </row>
    <row r="63" spans="1:7" x14ac:dyDescent="0.2">
      <c r="F63" s="428"/>
      <c r="G63" s="428"/>
    </row>
  </sheetData>
  <mergeCells count="11">
    <mergeCell ref="B6:D7"/>
    <mergeCell ref="E6:E7"/>
    <mergeCell ref="F6:F7"/>
    <mergeCell ref="G6:G7"/>
    <mergeCell ref="A54:G55"/>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B58"/>
  <sheetViews>
    <sheetView showGridLines="0" showZeros="0" workbookViewId="0"/>
  </sheetViews>
  <sheetFormatPr defaultRowHeight="12" x14ac:dyDescent="0.2"/>
  <cols>
    <col min="1" max="1" width="39.83203125" style="1" customWidth="1"/>
    <col min="2" max="3" width="31.83203125" style="1" customWidth="1"/>
    <col min="4" max="4" width="29.83203125" style="1" customWidth="1"/>
    <col min="5" max="16384" width="9.33203125" style="1"/>
  </cols>
  <sheetData>
    <row r="1" spans="1:54" ht="6.95" customHeight="1" x14ac:dyDescent="0.2">
      <c r="A1" s="3"/>
      <c r="B1" s="4"/>
      <c r="C1" s="4"/>
      <c r="D1" s="4"/>
    </row>
    <row r="2" spans="1:54" ht="15.95" customHeight="1" x14ac:dyDescent="0.2">
      <c r="A2" s="33"/>
      <c r="B2" s="34" t="str">
        <f>IF(Lang=1,BA2,BB2)</f>
        <v>PUPIL / TEACHER RATIOS</v>
      </c>
      <c r="C2" s="6"/>
      <c r="D2" s="80"/>
      <c r="BA2" s="458" t="s">
        <v>80</v>
      </c>
      <c r="BB2" s="458" t="s">
        <v>383</v>
      </c>
    </row>
    <row r="3" spans="1:54" ht="15.95" customHeight="1" x14ac:dyDescent="0.2">
      <c r="A3" s="37"/>
      <c r="B3" s="7" t="str">
        <f>STATDATE</f>
        <v>ESTIMATE SEPTEMBER 30, 2018</v>
      </c>
      <c r="C3" s="8"/>
      <c r="D3" s="81"/>
    </row>
    <row r="4" spans="1:54" ht="15.95" customHeight="1" x14ac:dyDescent="0.2">
      <c r="B4" s="4"/>
      <c r="C4" s="4"/>
      <c r="D4" s="4"/>
    </row>
    <row r="5" spans="1:54" ht="15.95" customHeight="1" x14ac:dyDescent="0.2">
      <c r="B5" s="4"/>
      <c r="C5" s="4"/>
      <c r="D5" s="4"/>
    </row>
    <row r="6" spans="1:54" ht="15.95" customHeight="1" x14ac:dyDescent="0.2">
      <c r="B6" s="4"/>
      <c r="C6" s="4"/>
      <c r="D6" s="4"/>
    </row>
    <row r="7" spans="1:54" ht="15.95" customHeight="1" x14ac:dyDescent="0.2">
      <c r="B7" s="586" t="s">
        <v>79</v>
      </c>
      <c r="C7" s="587"/>
      <c r="D7" s="4"/>
    </row>
    <row r="8" spans="1:54" ht="15.95" customHeight="1" x14ac:dyDescent="0.2">
      <c r="A8" s="82"/>
      <c r="B8" s="583" t="s">
        <v>384</v>
      </c>
      <c r="C8" s="585" t="s">
        <v>385</v>
      </c>
      <c r="D8" s="84"/>
    </row>
    <row r="9" spans="1:54" ht="15.95" customHeight="1" x14ac:dyDescent="0.2">
      <c r="A9" s="27" t="s">
        <v>37</v>
      </c>
      <c r="B9" s="584"/>
      <c r="C9" s="567"/>
    </row>
    <row r="10" spans="1:54" ht="5.0999999999999996" customHeight="1" x14ac:dyDescent="0.2">
      <c r="A10" s="29"/>
    </row>
    <row r="11" spans="1:54" ht="14.1" customHeight="1" x14ac:dyDescent="0.2">
      <c r="A11" s="271" t="s">
        <v>108</v>
      </c>
      <c r="B11" s="292">
        <v>16.296195897713925</v>
      </c>
      <c r="C11" s="292">
        <v>13.860282815862281</v>
      </c>
    </row>
    <row r="12" spans="1:54" ht="14.1" customHeight="1" x14ac:dyDescent="0.2">
      <c r="A12" s="15" t="s">
        <v>109</v>
      </c>
      <c r="B12" s="47">
        <v>13.434859376970612</v>
      </c>
      <c r="C12" s="47">
        <v>11.048878516789836</v>
      </c>
    </row>
    <row r="13" spans="1:54" ht="14.1" customHeight="1" x14ac:dyDescent="0.2">
      <c r="A13" s="271" t="s">
        <v>110</v>
      </c>
      <c r="B13" s="292">
        <v>17.061743101052215</v>
      </c>
      <c r="C13" s="292">
        <v>12.8433511671698</v>
      </c>
    </row>
    <row r="14" spans="1:54" ht="14.1" customHeight="1" x14ac:dyDescent="0.2">
      <c r="A14" s="15" t="s">
        <v>319</v>
      </c>
      <c r="B14" s="47">
        <v>14.945792462570987</v>
      </c>
      <c r="C14" s="47">
        <v>11.957868649318463</v>
      </c>
    </row>
    <row r="15" spans="1:54" ht="14.1" customHeight="1" x14ac:dyDescent="0.2">
      <c r="A15" s="271" t="s">
        <v>111</v>
      </c>
      <c r="B15" s="292">
        <v>15.550432276657061</v>
      </c>
      <c r="C15" s="292">
        <v>12.186088527551941</v>
      </c>
    </row>
    <row r="16" spans="1:54" ht="14.1" customHeight="1" x14ac:dyDescent="0.2">
      <c r="A16" s="15" t="s">
        <v>112</v>
      </c>
      <c r="B16" s="47">
        <v>15.697278911564627</v>
      </c>
      <c r="C16" s="47">
        <v>11.676154332700822</v>
      </c>
    </row>
    <row r="17" spans="1:3" ht="14.1" customHeight="1" x14ac:dyDescent="0.2">
      <c r="A17" s="271" t="s">
        <v>113</v>
      </c>
      <c r="B17" s="292">
        <v>14.604504976427448</v>
      </c>
      <c r="C17" s="292">
        <v>12.57328402633715</v>
      </c>
    </row>
    <row r="18" spans="1:3" ht="14.1" customHeight="1" x14ac:dyDescent="0.2">
      <c r="A18" s="15" t="s">
        <v>114</v>
      </c>
      <c r="B18" s="47">
        <v>15.370662658148566</v>
      </c>
      <c r="C18" s="47">
        <v>12.070512316046274</v>
      </c>
    </row>
    <row r="19" spans="1:3" ht="14.1" customHeight="1" x14ac:dyDescent="0.2">
      <c r="A19" s="271" t="s">
        <v>115</v>
      </c>
      <c r="B19" s="292">
        <v>18.267297704808175</v>
      </c>
      <c r="C19" s="292">
        <v>14.438706260138376</v>
      </c>
    </row>
    <row r="20" spans="1:3" ht="14.1" customHeight="1" x14ac:dyDescent="0.2">
      <c r="A20" s="15" t="s">
        <v>116</v>
      </c>
      <c r="B20" s="47">
        <v>17.694694516759782</v>
      </c>
      <c r="C20" s="47">
        <v>14.341153127917835</v>
      </c>
    </row>
    <row r="21" spans="1:3" ht="14.1" customHeight="1" x14ac:dyDescent="0.2">
      <c r="A21" s="271" t="s">
        <v>117</v>
      </c>
      <c r="B21" s="292">
        <v>15.826140914988434</v>
      </c>
      <c r="C21" s="292">
        <v>12.066147692572361</v>
      </c>
    </row>
    <row r="22" spans="1:3" ht="14.1" customHeight="1" x14ac:dyDescent="0.2">
      <c r="A22" s="15" t="s">
        <v>118</v>
      </c>
      <c r="B22" s="47">
        <v>15.420105820105821</v>
      </c>
      <c r="C22" s="47">
        <v>11.464988198269081</v>
      </c>
    </row>
    <row r="23" spans="1:3" ht="14.1" customHeight="1" x14ac:dyDescent="0.2">
      <c r="A23" s="271" t="s">
        <v>119</v>
      </c>
      <c r="B23" s="292">
        <v>14.647887323943662</v>
      </c>
      <c r="C23" s="292">
        <v>11.491712707182321</v>
      </c>
    </row>
    <row r="24" spans="1:3" ht="14.1" customHeight="1" x14ac:dyDescent="0.2">
      <c r="A24" s="15" t="s">
        <v>120</v>
      </c>
      <c r="B24" s="47">
        <v>15.164658634538153</v>
      </c>
      <c r="C24" s="47">
        <v>11.809225957779516</v>
      </c>
    </row>
    <row r="25" spans="1:3" ht="14.1" customHeight="1" x14ac:dyDescent="0.2">
      <c r="A25" s="271" t="s">
        <v>121</v>
      </c>
      <c r="B25" s="292">
        <v>17.544169819549051</v>
      </c>
      <c r="C25" s="292">
        <v>13.668503213957759</v>
      </c>
    </row>
    <row r="26" spans="1:3" ht="14.1" customHeight="1" x14ac:dyDescent="0.2">
      <c r="A26" s="15" t="s">
        <v>122</v>
      </c>
      <c r="B26" s="47">
        <v>15.364005412719893</v>
      </c>
      <c r="C26" s="47">
        <v>12.279904823707549</v>
      </c>
    </row>
    <row r="27" spans="1:3" ht="14.1" customHeight="1" x14ac:dyDescent="0.2">
      <c r="A27" s="271" t="s">
        <v>123</v>
      </c>
      <c r="B27" s="292">
        <v>15.719149814279819</v>
      </c>
      <c r="C27" s="292">
        <v>12.387689555636866</v>
      </c>
    </row>
    <row r="28" spans="1:3" ht="14.1" customHeight="1" x14ac:dyDescent="0.2">
      <c r="A28" s="15" t="s">
        <v>124</v>
      </c>
      <c r="B28" s="47">
        <v>13.84114859608176</v>
      </c>
      <c r="C28" s="47">
        <v>11.378568521425665</v>
      </c>
    </row>
    <row r="29" spans="1:3" ht="14.1" customHeight="1" x14ac:dyDescent="0.2">
      <c r="A29" s="271" t="s">
        <v>125</v>
      </c>
      <c r="B29" s="292">
        <v>17.486669082625802</v>
      </c>
      <c r="C29" s="292">
        <v>13.942273956204982</v>
      </c>
    </row>
    <row r="30" spans="1:3" ht="14.1" customHeight="1" x14ac:dyDescent="0.2">
      <c r="A30" s="15" t="s">
        <v>126</v>
      </c>
      <c r="B30" s="47">
        <v>13.923352633030051</v>
      </c>
      <c r="C30" s="47">
        <v>11.224716603689707</v>
      </c>
    </row>
    <row r="31" spans="1:3" ht="14.1" customHeight="1" x14ac:dyDescent="0.2">
      <c r="A31" s="271" t="s">
        <v>127</v>
      </c>
      <c r="B31" s="292">
        <v>16.498475609756095</v>
      </c>
      <c r="C31" s="292">
        <v>12.75996227304881</v>
      </c>
    </row>
    <row r="32" spans="1:3" ht="14.1" customHeight="1" x14ac:dyDescent="0.2">
      <c r="A32" s="15" t="s">
        <v>128</v>
      </c>
      <c r="B32" s="47">
        <v>14.863090156937423</v>
      </c>
      <c r="C32" s="47">
        <v>12.055925432756325</v>
      </c>
    </row>
    <row r="33" spans="1:4" ht="14.1" customHeight="1" x14ac:dyDescent="0.2">
      <c r="A33" s="271" t="s">
        <v>129</v>
      </c>
      <c r="B33" s="292">
        <v>15.136430678466077</v>
      </c>
      <c r="C33" s="292">
        <v>12.457513959698957</v>
      </c>
    </row>
    <row r="34" spans="1:4" ht="14.1" customHeight="1" x14ac:dyDescent="0.2">
      <c r="A34" s="15" t="s">
        <v>130</v>
      </c>
      <c r="B34" s="47">
        <v>15.814682510753084</v>
      </c>
      <c r="C34" s="47">
        <v>12.32486790523266</v>
      </c>
    </row>
    <row r="35" spans="1:4" ht="14.1" customHeight="1" x14ac:dyDescent="0.2">
      <c r="A35" s="271" t="s">
        <v>131</v>
      </c>
      <c r="B35" s="292">
        <v>17.88947619205922</v>
      </c>
      <c r="C35" s="292">
        <v>14.046688882894955</v>
      </c>
    </row>
    <row r="36" spans="1:4" ht="14.1" customHeight="1" x14ac:dyDescent="0.2">
      <c r="A36" s="15" t="s">
        <v>132</v>
      </c>
      <c r="B36" s="47">
        <v>15.107817907533944</v>
      </c>
      <c r="C36" s="47">
        <v>12.37596772434849</v>
      </c>
    </row>
    <row r="37" spans="1:4" ht="14.1" customHeight="1" x14ac:dyDescent="0.2">
      <c r="A37" s="271" t="s">
        <v>133</v>
      </c>
      <c r="B37" s="292">
        <v>17.613049762543877</v>
      </c>
      <c r="C37" s="292">
        <v>13.610978139460666</v>
      </c>
    </row>
    <row r="38" spans="1:4" ht="14.1" customHeight="1" x14ac:dyDescent="0.2">
      <c r="A38" s="15" t="s">
        <v>134</v>
      </c>
      <c r="B38" s="47">
        <v>16.898844626308822</v>
      </c>
      <c r="C38" s="47">
        <v>13.666780221919408</v>
      </c>
    </row>
    <row r="39" spans="1:4" ht="14.1" customHeight="1" x14ac:dyDescent="0.2">
      <c r="A39" s="271" t="s">
        <v>135</v>
      </c>
      <c r="B39" s="292">
        <v>13.496877787689563</v>
      </c>
      <c r="C39" s="292">
        <v>11.430082344942209</v>
      </c>
    </row>
    <row r="40" spans="1:4" ht="14.1" customHeight="1" x14ac:dyDescent="0.2">
      <c r="A40" s="15" t="s">
        <v>136</v>
      </c>
      <c r="B40" s="47">
        <v>17.732551967216594</v>
      </c>
      <c r="C40" s="47">
        <v>13.540264919988976</v>
      </c>
    </row>
    <row r="41" spans="1:4" ht="14.1" customHeight="1" x14ac:dyDescent="0.2">
      <c r="A41" s="271" t="s">
        <v>137</v>
      </c>
      <c r="B41" s="292">
        <v>16.139662322274884</v>
      </c>
      <c r="C41" s="292">
        <v>12.476386742229092</v>
      </c>
    </row>
    <row r="42" spans="1:4" ht="14.1" customHeight="1" x14ac:dyDescent="0.2">
      <c r="A42" s="15" t="s">
        <v>138</v>
      </c>
      <c r="B42" s="47">
        <v>15.113404278189831</v>
      </c>
      <c r="C42" s="47">
        <v>12.605343374574144</v>
      </c>
    </row>
    <row r="43" spans="1:4" ht="14.1" customHeight="1" x14ac:dyDescent="0.2">
      <c r="A43" s="271" t="s">
        <v>139</v>
      </c>
      <c r="B43" s="292">
        <v>15.336779195606526</v>
      </c>
      <c r="C43" s="292">
        <v>12.169956421430403</v>
      </c>
    </row>
    <row r="44" spans="1:4" ht="14.1" customHeight="1" x14ac:dyDescent="0.2">
      <c r="A44" s="15" t="s">
        <v>140</v>
      </c>
      <c r="B44" s="47">
        <v>12.764197757765118</v>
      </c>
      <c r="C44" s="47">
        <v>10.73415765069552</v>
      </c>
    </row>
    <row r="45" spans="1:4" ht="14.1" customHeight="1" x14ac:dyDescent="0.2">
      <c r="A45" s="271" t="s">
        <v>141</v>
      </c>
      <c r="B45" s="292">
        <v>16.445623342175068</v>
      </c>
      <c r="C45" s="292">
        <v>13.724143195175941</v>
      </c>
    </row>
    <row r="46" spans="1:4" ht="14.1" customHeight="1" x14ac:dyDescent="0.2">
      <c r="A46" s="15" t="s">
        <v>142</v>
      </c>
      <c r="B46" s="47">
        <v>17.631324374409957</v>
      </c>
      <c r="C46" s="47">
        <v>13.382253420204082</v>
      </c>
    </row>
    <row r="47" spans="1:4" ht="5.0999999999999996" customHeight="1" x14ac:dyDescent="0.2">
      <c r="A47"/>
      <c r="B47"/>
      <c r="C47"/>
      <c r="D47"/>
    </row>
    <row r="48" spans="1:4" ht="14.1" customHeight="1" x14ac:dyDescent="0.2">
      <c r="A48" s="350" t="s">
        <v>143</v>
      </c>
      <c r="B48" s="351">
        <v>16.703655831653638</v>
      </c>
      <c r="C48" s="352">
        <v>13.116758672589146</v>
      </c>
      <c r="D48" s="29"/>
    </row>
    <row r="49" spans="1:4" ht="5.0999999999999996" customHeight="1" x14ac:dyDescent="0.2">
      <c r="A49" s="17" t="s">
        <v>1</v>
      </c>
      <c r="B49" s="50"/>
      <c r="C49" s="50"/>
    </row>
    <row r="50" spans="1:4" ht="14.1" customHeight="1" x14ac:dyDescent="0.2">
      <c r="A50" s="15" t="s">
        <v>144</v>
      </c>
      <c r="B50" s="47">
        <v>10.108303249097473</v>
      </c>
      <c r="C50" s="47">
        <v>8.7295401402961801</v>
      </c>
    </row>
    <row r="51" spans="1:4" ht="14.1" customHeight="1" x14ac:dyDescent="0.2">
      <c r="A51" s="360" t="s">
        <v>514</v>
      </c>
      <c r="B51" s="292">
        <v>29.148936170212767</v>
      </c>
      <c r="C51" s="292">
        <v>25.37037037037037</v>
      </c>
    </row>
    <row r="52" spans="1:4" ht="50.1" customHeight="1" x14ac:dyDescent="0.2">
      <c r="A52" s="19"/>
      <c r="B52" s="19"/>
      <c r="C52" s="19"/>
      <c r="D52" s="19"/>
    </row>
    <row r="53" spans="1:4" ht="15" customHeight="1" x14ac:dyDescent="0.2">
      <c r="A53" s="557" t="s">
        <v>386</v>
      </c>
      <c r="B53" s="588"/>
      <c r="C53" s="588"/>
      <c r="D53" s="588"/>
    </row>
    <row r="54" spans="1:4" ht="12" customHeight="1" x14ac:dyDescent="0.2">
      <c r="A54" s="578"/>
      <c r="B54" s="578"/>
      <c r="C54" s="578"/>
      <c r="D54" s="578"/>
    </row>
    <row r="55" spans="1:4" ht="9.75" customHeight="1" x14ac:dyDescent="0.2">
      <c r="A55" s="578"/>
      <c r="B55" s="578"/>
      <c r="C55" s="578"/>
      <c r="D55" s="578"/>
    </row>
    <row r="56" spans="1:4" ht="12" customHeight="1" x14ac:dyDescent="0.2">
      <c r="A56" s="558" t="s">
        <v>522</v>
      </c>
      <c r="B56" s="558"/>
      <c r="C56" s="558"/>
      <c r="D56" s="558"/>
    </row>
    <row r="57" spans="1:4" ht="12" customHeight="1" x14ac:dyDescent="0.2">
      <c r="A57" s="558"/>
      <c r="B57" s="558"/>
      <c r="C57" s="558"/>
      <c r="D57" s="558"/>
    </row>
    <row r="58" spans="1:4" ht="12" customHeight="1" x14ac:dyDescent="0.2">
      <c r="A58" s="558"/>
      <c r="B58" s="558"/>
      <c r="C58" s="558"/>
      <c r="D58" s="558"/>
    </row>
  </sheetData>
  <mergeCells count="5">
    <mergeCell ref="B8:B9"/>
    <mergeCell ref="C8:C9"/>
    <mergeCell ref="B7:C7"/>
    <mergeCell ref="A53:D55"/>
    <mergeCell ref="A56:D58"/>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B50"/>
  <sheetViews>
    <sheetView showGridLines="0" showZeros="0" workbookViewId="0"/>
  </sheetViews>
  <sheetFormatPr defaultColWidth="15.83203125" defaultRowHeight="12" x14ac:dyDescent="0.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54" x14ac:dyDescent="0.2">
      <c r="A2" s="52"/>
      <c r="B2" s="52"/>
      <c r="C2" s="53" t="str">
        <f>OPYEAR</f>
        <v>OPERATING FUND 2018/2019 BUDGET</v>
      </c>
      <c r="D2" s="53"/>
      <c r="E2" s="53"/>
      <c r="F2" s="53"/>
      <c r="G2" s="53"/>
      <c r="H2" s="53"/>
      <c r="I2" s="53"/>
      <c r="J2" s="53"/>
      <c r="K2" s="52"/>
    </row>
    <row r="5" spans="1:54" ht="15.75" x14ac:dyDescent="0.25">
      <c r="C5" s="255" t="str">
        <f>IF(Lang=1,BA5,BB5)</f>
        <v>EXPENSE BY FUNCTION AND OBJECT</v>
      </c>
      <c r="D5" s="55"/>
      <c r="E5" s="55"/>
      <c r="F5" s="55"/>
      <c r="G5" s="55"/>
      <c r="H5" s="55"/>
      <c r="I5" s="55"/>
      <c r="J5" s="55"/>
      <c r="K5" s="4"/>
      <c r="BA5" s="456" t="s">
        <v>255</v>
      </c>
      <c r="BB5" s="456" t="s">
        <v>387</v>
      </c>
    </row>
    <row r="6" spans="1:54" x14ac:dyDescent="0.2">
      <c r="C6" s="54"/>
      <c r="D6" s="55"/>
      <c r="E6" s="55"/>
      <c r="F6" s="55"/>
      <c r="G6" s="55"/>
      <c r="H6" s="55"/>
      <c r="I6" s="55"/>
      <c r="J6" s="55"/>
      <c r="K6" s="4"/>
    </row>
    <row r="7" spans="1:54" x14ac:dyDescent="0.2">
      <c r="C7" s="54"/>
      <c r="D7" s="55"/>
      <c r="E7" s="55"/>
      <c r="F7" s="55"/>
      <c r="G7" s="55"/>
      <c r="H7" s="55"/>
      <c r="I7" s="55"/>
      <c r="J7" s="4"/>
      <c r="K7" s="4"/>
    </row>
    <row r="8" spans="1:54" x14ac:dyDescent="0.2">
      <c r="C8" s="4"/>
      <c r="D8" s="4"/>
      <c r="E8" s="4"/>
      <c r="F8" s="4"/>
      <c r="G8" s="4"/>
      <c r="H8" s="4"/>
      <c r="I8" s="4"/>
      <c r="J8" s="4"/>
      <c r="K8" s="4"/>
    </row>
    <row r="9" spans="1:54" x14ac:dyDescent="0.2">
      <c r="C9" s="4"/>
      <c r="D9" s="4"/>
      <c r="E9" s="4"/>
      <c r="F9" s="4"/>
      <c r="G9" s="4"/>
      <c r="H9" s="4"/>
      <c r="I9" s="4"/>
      <c r="J9" s="4"/>
      <c r="K9" s="4"/>
    </row>
    <row r="10" spans="1:54" x14ac:dyDescent="0.2">
      <c r="C10" s="592" t="s">
        <v>63</v>
      </c>
      <c r="D10" s="593"/>
      <c r="E10" s="593"/>
      <c r="F10" s="593"/>
      <c r="G10" s="593"/>
      <c r="H10" s="593"/>
      <c r="I10" s="593"/>
      <c r="J10" s="594"/>
      <c r="K10" s="4"/>
    </row>
    <row r="11" spans="1:54" x14ac:dyDescent="0.2">
      <c r="C11" s="4"/>
      <c r="D11" s="4"/>
      <c r="E11" s="4"/>
      <c r="F11" s="4"/>
      <c r="G11" s="4"/>
      <c r="H11" s="4"/>
      <c r="I11" s="4"/>
      <c r="J11" s="4"/>
      <c r="K11" s="4"/>
    </row>
    <row r="12" spans="1:54" x14ac:dyDescent="0.2">
      <c r="A12" s="56"/>
      <c r="B12" s="57"/>
      <c r="C12" s="595" t="s">
        <v>64</v>
      </c>
      <c r="D12" s="597" t="s">
        <v>82</v>
      </c>
      <c r="E12" s="595" t="s">
        <v>58</v>
      </c>
      <c r="F12" s="597" t="s">
        <v>388</v>
      </c>
      <c r="G12" s="599" t="s">
        <v>32</v>
      </c>
      <c r="H12" s="601" t="s">
        <v>389</v>
      </c>
      <c r="I12" s="603" t="s">
        <v>42</v>
      </c>
      <c r="J12" s="604"/>
      <c r="K12" s="595" t="s">
        <v>65</v>
      </c>
    </row>
    <row r="13" spans="1:54" x14ac:dyDescent="0.2">
      <c r="A13" s="590" t="s">
        <v>70</v>
      </c>
      <c r="B13" s="591"/>
      <c r="C13" s="596"/>
      <c r="D13" s="598"/>
      <c r="E13" s="596"/>
      <c r="F13" s="598"/>
      <c r="G13" s="600"/>
      <c r="H13" s="602"/>
      <c r="I13" s="605"/>
      <c r="J13" s="606"/>
      <c r="K13" s="596"/>
      <c r="N13" s="128" t="str">
        <f>IF($N$27=0,"","Variance")</f>
        <v/>
      </c>
    </row>
    <row r="15" spans="1:54" x14ac:dyDescent="0.2">
      <c r="A15" s="58">
        <v>100</v>
      </c>
      <c r="B15" s="29" t="s">
        <v>21</v>
      </c>
      <c r="C15" s="59">
        <f>'- 12 -'!B22</f>
        <v>1156310166</v>
      </c>
      <c r="D15" s="60">
        <f>'- 12 -'!B23</f>
        <v>70935439</v>
      </c>
      <c r="E15" s="60">
        <f>'- 12 -'!B40</f>
        <v>33644127</v>
      </c>
      <c r="F15" s="60">
        <f>'- 12 -'!B46</f>
        <v>82216163</v>
      </c>
      <c r="G15" s="61"/>
      <c r="H15" s="164"/>
      <c r="I15" s="62"/>
      <c r="K15" s="59">
        <f>SUM(C15:F15)</f>
        <v>1343105895</v>
      </c>
      <c r="N15" s="1" t="str">
        <f>IF($N$27=0,"",K15-'- 12 -'!$B$51)</f>
        <v/>
      </c>
    </row>
    <row r="16" spans="1:54" ht="24" customHeight="1" x14ac:dyDescent="0.2">
      <c r="A16" s="58">
        <v>200</v>
      </c>
      <c r="B16" s="29" t="s">
        <v>245</v>
      </c>
      <c r="C16" s="59">
        <f>'- 12 -'!D22</f>
        <v>390111104</v>
      </c>
      <c r="D16" s="60">
        <f>'- 12 -'!D23</f>
        <v>40127656</v>
      </c>
      <c r="E16" s="60">
        <f>'- 12 -'!D40</f>
        <v>12248449</v>
      </c>
      <c r="F16" s="60">
        <f>'- 12 -'!D46</f>
        <v>5287064</v>
      </c>
      <c r="G16" s="61"/>
      <c r="H16" s="164"/>
      <c r="I16" s="62"/>
      <c r="K16" s="59">
        <f>SUM(C16:F16)</f>
        <v>447774273</v>
      </c>
      <c r="N16" s="1" t="str">
        <f>IF($N$27=0,"",K16-'- 12 -'!$D$51)</f>
        <v/>
      </c>
    </row>
    <row r="17" spans="1:14" ht="24" customHeight="1" x14ac:dyDescent="0.2">
      <c r="A17" s="58">
        <v>300</v>
      </c>
      <c r="B17" s="29" t="s">
        <v>101</v>
      </c>
      <c r="C17" s="59">
        <f>'- 12 -'!F22</f>
        <v>7316229</v>
      </c>
      <c r="D17" s="60">
        <f>'- 12 -'!F23</f>
        <v>500960</v>
      </c>
      <c r="E17" s="60">
        <f>'- 12 -'!F40</f>
        <v>822461</v>
      </c>
      <c r="F17" s="60">
        <f>'- 12 -'!F46</f>
        <v>309059</v>
      </c>
      <c r="G17" s="61"/>
      <c r="H17" s="164"/>
      <c r="I17" s="63">
        <f>'- 12 -'!F48</f>
        <v>27000</v>
      </c>
      <c r="J17" s="64" t="s">
        <v>89</v>
      </c>
      <c r="K17" s="59">
        <f>SUM(C17:F17,I17)</f>
        <v>8975709</v>
      </c>
      <c r="N17" s="1" t="str">
        <f>IF($N$27=0,"",K17-'- 12 -'!$F$51)</f>
        <v/>
      </c>
    </row>
    <row r="18" spans="1:14" ht="24" customHeight="1" x14ac:dyDescent="0.2">
      <c r="A18" s="58">
        <v>400</v>
      </c>
      <c r="B18" s="29" t="s">
        <v>66</v>
      </c>
      <c r="C18" s="59">
        <f>'- 12 -'!H22</f>
        <v>17301591</v>
      </c>
      <c r="D18" s="60">
        <f>'- 12 -'!H23</f>
        <v>1639713</v>
      </c>
      <c r="E18" s="60">
        <f>'- 12 -'!H40</f>
        <v>2641508</v>
      </c>
      <c r="F18" s="60">
        <f>'- 12 -'!H46</f>
        <v>1923172</v>
      </c>
      <c r="G18" s="61"/>
      <c r="H18" s="164"/>
      <c r="I18" s="62"/>
      <c r="K18" s="59">
        <f>SUM(C18:F18)</f>
        <v>23505984</v>
      </c>
      <c r="N18" s="1" t="str">
        <f>IF($N$27=0,"",K18-'- 12 -'!$H$51)</f>
        <v/>
      </c>
    </row>
    <row r="19" spans="1:14" ht="24" customHeight="1" x14ac:dyDescent="0.2">
      <c r="A19" s="58">
        <v>500</v>
      </c>
      <c r="B19" s="29" t="s">
        <v>86</v>
      </c>
      <c r="C19" s="59">
        <f>'- 12 -'!J22</f>
        <v>52227650</v>
      </c>
      <c r="D19" s="60">
        <f>'- 12 -'!J23</f>
        <v>7539691</v>
      </c>
      <c r="E19" s="60">
        <f>'- 12 -'!J40</f>
        <v>19316850</v>
      </c>
      <c r="F19" s="60">
        <f>'- 12 -'!J46</f>
        <v>2644756</v>
      </c>
      <c r="G19" s="61"/>
      <c r="H19" s="164"/>
      <c r="I19" s="63">
        <f>'- 12 -'!J48</f>
        <v>-27000</v>
      </c>
      <c r="J19" s="64" t="s">
        <v>89</v>
      </c>
      <c r="K19" s="59">
        <f>SUM(C19:F19,I19)</f>
        <v>81701947</v>
      </c>
      <c r="N19" s="1" t="str">
        <f>IF($N$27=0,"",K19-'- 12 -'!$J$51)</f>
        <v/>
      </c>
    </row>
    <row r="20" spans="1:14" ht="12" customHeight="1" x14ac:dyDescent="0.2">
      <c r="A20" s="58"/>
      <c r="B20" s="29"/>
      <c r="C20" s="65"/>
      <c r="D20" s="66"/>
      <c r="E20" s="66"/>
      <c r="F20" s="66"/>
      <c r="G20" s="61"/>
      <c r="H20" s="164"/>
      <c r="I20" s="62"/>
      <c r="K20" s="59"/>
      <c r="L20" s="589" t="s">
        <v>90</v>
      </c>
    </row>
    <row r="21" spans="1:14" ht="24" customHeight="1" x14ac:dyDescent="0.2">
      <c r="A21" s="67">
        <v>600</v>
      </c>
      <c r="B21" s="366" t="s">
        <v>249</v>
      </c>
      <c r="C21" s="59">
        <f>'- 13 -'!B22</f>
        <v>54084982</v>
      </c>
      <c r="D21" s="60">
        <f>'- 13 -'!B23</f>
        <v>5260300</v>
      </c>
      <c r="E21" s="60">
        <f>'- 13 -'!B40</f>
        <v>14655658</v>
      </c>
      <c r="F21" s="60">
        <f>'- 13 -'!B46</f>
        <v>8361032</v>
      </c>
      <c r="G21" s="61"/>
      <c r="H21" s="164"/>
      <c r="I21" s="62"/>
      <c r="K21" s="59">
        <f>SUM(C21:F21)</f>
        <v>82361972</v>
      </c>
      <c r="L21" s="589"/>
      <c r="N21" s="1" t="str">
        <f>IF($N$27=0,"",K21-'- 13 -'!$B$54)</f>
        <v/>
      </c>
    </row>
    <row r="22" spans="1:14" ht="24" customHeight="1" x14ac:dyDescent="0.2">
      <c r="A22" s="58">
        <v>700</v>
      </c>
      <c r="B22" s="29" t="s">
        <v>67</v>
      </c>
      <c r="C22" s="59">
        <f>'- 13 -'!D22</f>
        <v>49280969</v>
      </c>
      <c r="D22" s="60">
        <f>'- 13 -'!D23</f>
        <v>7837472</v>
      </c>
      <c r="E22" s="60">
        <f>'- 13 -'!D40</f>
        <v>28819893</v>
      </c>
      <c r="F22" s="60">
        <f>'- 13 -'!D46</f>
        <v>19075900</v>
      </c>
      <c r="G22" s="61"/>
      <c r="H22" s="164"/>
      <c r="I22" s="62"/>
      <c r="K22" s="59">
        <f>SUM(C22:F22)</f>
        <v>105014234</v>
      </c>
      <c r="L22" s="68"/>
      <c r="N22" s="1" t="str">
        <f>IF($N$27=0,"",K22-'- 13 -'!$D$54)</f>
        <v/>
      </c>
    </row>
    <row r="23" spans="1:14" ht="24" customHeight="1" x14ac:dyDescent="0.2">
      <c r="A23" s="58">
        <v>800</v>
      </c>
      <c r="B23" s="29" t="s">
        <v>68</v>
      </c>
      <c r="C23" s="59">
        <f>'- 13 -'!F22</f>
        <v>122339144</v>
      </c>
      <c r="D23" s="60">
        <f>'- 13 -'!F23</f>
        <v>21060580</v>
      </c>
      <c r="E23" s="60">
        <f>'- 13 -'!F40</f>
        <v>106872568</v>
      </c>
      <c r="F23" s="60">
        <f>'- 13 -'!F46</f>
        <v>27686304</v>
      </c>
      <c r="G23" s="61"/>
      <c r="H23" s="164"/>
      <c r="I23" s="63">
        <f>'- 13 -'!F52</f>
        <v>0</v>
      </c>
      <c r="J23" s="70"/>
      <c r="K23" s="59">
        <f>SUM(C23:F23,I23)</f>
        <v>277958596</v>
      </c>
      <c r="N23" s="1" t="str">
        <f>IF($N$27=0,"",K23-'- 13 -'!$F$54)</f>
        <v/>
      </c>
    </row>
    <row r="24" spans="1:14" ht="24" customHeight="1" x14ac:dyDescent="0.2">
      <c r="A24" s="58">
        <v>900</v>
      </c>
      <c r="B24" s="29" t="s">
        <v>24</v>
      </c>
      <c r="C24" s="65"/>
      <c r="D24" s="66"/>
      <c r="E24" s="66"/>
      <c r="F24" s="66"/>
      <c r="G24" s="60">
        <v>2386930</v>
      </c>
      <c r="H24" s="60">
        <v>10500</v>
      </c>
      <c r="I24" s="69">
        <v>38547780</v>
      </c>
      <c r="J24" s="70" t="s">
        <v>230</v>
      </c>
      <c r="K24" s="59">
        <f>SUM(G24:I24)</f>
        <v>40945210</v>
      </c>
      <c r="N24" s="1" t="str">
        <f>IF($N$27=0,"",K24-'- 13 -'!$H$54)</f>
        <v/>
      </c>
    </row>
    <row r="25" spans="1:14" x14ac:dyDescent="0.2">
      <c r="A25" s="58"/>
      <c r="B25" s="29"/>
      <c r="C25" s="65"/>
      <c r="D25" s="66"/>
      <c r="E25" s="66"/>
      <c r="F25" s="66"/>
      <c r="G25" s="66"/>
      <c r="H25" s="23"/>
      <c r="I25" s="71"/>
      <c r="K25" s="65"/>
    </row>
    <row r="26" spans="1:14" x14ac:dyDescent="0.2">
      <c r="B26" s="29"/>
      <c r="C26" s="72"/>
      <c r="D26" s="72"/>
      <c r="E26" s="72"/>
      <c r="F26" s="72"/>
      <c r="G26" s="72"/>
      <c r="H26" s="72"/>
      <c r="I26" s="72"/>
      <c r="K26" s="72"/>
    </row>
    <row r="27" spans="1:14" x14ac:dyDescent="0.2">
      <c r="A27" s="73"/>
      <c r="B27" s="74" t="s">
        <v>65</v>
      </c>
      <c r="C27" s="75">
        <f>SUM(C15:C24)</f>
        <v>1848971835</v>
      </c>
      <c r="D27" s="76">
        <f>SUM(D15:D24)</f>
        <v>154901811</v>
      </c>
      <c r="E27" s="76">
        <f>SUM(E15:E24)</f>
        <v>219021514</v>
      </c>
      <c r="F27" s="76">
        <f>SUM(F15:F24)</f>
        <v>147503450</v>
      </c>
      <c r="G27" s="76">
        <f>G24</f>
        <v>2386930</v>
      </c>
      <c r="H27" s="76">
        <f>H24</f>
        <v>10500</v>
      </c>
      <c r="I27" s="77">
        <f>SUM(I15:I24)</f>
        <v>38547780</v>
      </c>
      <c r="J27" s="78"/>
      <c r="K27" s="75">
        <f>SUM(K15:K24)</f>
        <v>2411343820</v>
      </c>
      <c r="N27" s="1">
        <f>K27-'- 3 -'!D48</f>
        <v>0</v>
      </c>
    </row>
    <row r="28" spans="1:14" x14ac:dyDescent="0.2">
      <c r="C28" s="72"/>
      <c r="D28" s="72"/>
      <c r="E28" s="72"/>
      <c r="F28" s="72"/>
      <c r="G28" s="72"/>
      <c r="H28" s="72"/>
      <c r="I28" s="72"/>
    </row>
    <row r="29" spans="1:14" ht="60" customHeight="1" x14ac:dyDescent="0.2"/>
    <row r="30" spans="1:14" x14ac:dyDescent="0.2">
      <c r="A30" s="256" t="s">
        <v>89</v>
      </c>
      <c r="B30" s="131" t="s">
        <v>359</v>
      </c>
      <c r="C30" s="29"/>
    </row>
    <row r="31" spans="1:14" hidden="1" x14ac:dyDescent="0.2">
      <c r="A31" s="256" t="s">
        <v>230</v>
      </c>
      <c r="B31" s="127" t="s">
        <v>247</v>
      </c>
      <c r="C31" s="29"/>
    </row>
    <row r="32" spans="1:14" x14ac:dyDescent="0.2">
      <c r="A32" s="256" t="s">
        <v>230</v>
      </c>
      <c r="B32" s="131" t="s">
        <v>568</v>
      </c>
      <c r="C32" s="72"/>
      <c r="K32" s="72"/>
    </row>
    <row r="33" spans="3:3" x14ac:dyDescent="0.2">
      <c r="C33" s="72"/>
    </row>
    <row r="34" spans="3:3" ht="12.75" customHeight="1" x14ac:dyDescent="0.2"/>
    <row r="35" spans="3:3" ht="12.75" customHeight="1" x14ac:dyDescent="0.2"/>
    <row r="36" spans="3:3" ht="12.75" customHeight="1" x14ac:dyDescent="0.2"/>
    <row r="37" spans="3:3" ht="12.75" customHeight="1" x14ac:dyDescent="0.2"/>
    <row r="38" spans="3:3" ht="12.75" customHeight="1" x14ac:dyDescent="0.2"/>
    <row r="39" spans="3:3" ht="12.75" customHeight="1" x14ac:dyDescent="0.2"/>
    <row r="40" spans="3:3" ht="12.75" customHeight="1" x14ac:dyDescent="0.2"/>
    <row r="41" spans="3:3" ht="12.75" customHeight="1" x14ac:dyDescent="0.2"/>
    <row r="42" spans="3:3" ht="12.75" customHeight="1" x14ac:dyDescent="0.2"/>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ht="12.75" customHeight="1" x14ac:dyDescent="0.2"/>
    <row r="50" ht="12.75" customHeight="1" x14ac:dyDescent="0.2"/>
  </sheetData>
  <mergeCells count="11">
    <mergeCell ref="L20:L21"/>
    <mergeCell ref="A13:B13"/>
    <mergeCell ref="C10:J10"/>
    <mergeCell ref="C12:C13"/>
    <mergeCell ref="D12:D13"/>
    <mergeCell ref="E12:E13"/>
    <mergeCell ref="F12:F13"/>
    <mergeCell ref="G12:G13"/>
    <mergeCell ref="H12:H13"/>
    <mergeCell ref="I12:J13"/>
    <mergeCell ref="K12:K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BB52"/>
  <sheetViews>
    <sheetView showGridLines="0" showZeros="0" workbookViewId="0"/>
  </sheetViews>
  <sheetFormatPr defaultColWidth="15.83203125" defaultRowHeight="12" x14ac:dyDescent="0.2"/>
  <cols>
    <col min="1" max="1" width="49"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54" x14ac:dyDescent="0.2">
      <c r="A2" s="52"/>
      <c r="B2" s="52"/>
      <c r="C2" s="52"/>
      <c r="D2" s="100" t="str">
        <f>OPYEAR</f>
        <v>OPERATING FUND 2018/2019 BUDGET</v>
      </c>
      <c r="E2" s="100"/>
      <c r="F2" s="100"/>
      <c r="G2" s="100"/>
      <c r="H2" s="101"/>
      <c r="I2" s="101"/>
      <c r="J2" s="102"/>
      <c r="K2" s="103" t="s">
        <v>4</v>
      </c>
    </row>
    <row r="3" spans="1:54" ht="9.9499999999999993" customHeight="1" x14ac:dyDescent="0.2">
      <c r="J3" s="90"/>
      <c r="K3" s="90"/>
    </row>
    <row r="4" spans="1:54" ht="15.75" x14ac:dyDescent="0.25">
      <c r="B4" s="257" t="str">
        <f>IF(Lang=1,BA4,BB4)</f>
        <v>EXPENSE BY 2ND LEVEL OBJECT</v>
      </c>
      <c r="C4" s="90"/>
      <c r="D4" s="90"/>
      <c r="E4" s="90"/>
      <c r="F4" s="90"/>
      <c r="G4" s="90"/>
      <c r="H4" s="90"/>
      <c r="I4" s="90"/>
      <c r="J4" s="90"/>
      <c r="K4" s="90"/>
      <c r="BA4" s="456" t="s">
        <v>263</v>
      </c>
      <c r="BB4" s="465" t="s">
        <v>390</v>
      </c>
    </row>
    <row r="5" spans="1:54" ht="15.75" x14ac:dyDescent="0.25">
      <c r="B5" s="257" t="str">
        <f>IF(Lang=1,BA5,BB5)</f>
        <v>AS A PERCENTAGE OF TOTAL OPERATING FUND EXPENSES</v>
      </c>
      <c r="C5" s="90"/>
      <c r="D5" s="90"/>
      <c r="E5" s="90"/>
      <c r="F5" s="90"/>
      <c r="G5" s="90"/>
      <c r="H5" s="90"/>
      <c r="I5" s="90"/>
      <c r="J5" s="90"/>
      <c r="K5" s="90"/>
      <c r="BA5" s="456" t="s">
        <v>264</v>
      </c>
      <c r="BB5" s="465" t="s">
        <v>391</v>
      </c>
    </row>
    <row r="6" spans="1:54" ht="9.9499999999999993" customHeight="1" x14ac:dyDescent="0.2"/>
    <row r="7" spans="1:54" x14ac:dyDescent="0.2">
      <c r="B7" s="607" t="s">
        <v>70</v>
      </c>
      <c r="C7" s="608"/>
      <c r="D7" s="608"/>
      <c r="E7" s="608"/>
      <c r="F7" s="608"/>
      <c r="G7" s="608"/>
      <c r="H7" s="608"/>
      <c r="I7" s="608"/>
      <c r="J7" s="608"/>
      <c r="K7" s="609"/>
    </row>
    <row r="8" spans="1:54" ht="6" customHeight="1" x14ac:dyDescent="0.2"/>
    <row r="9" spans="1:54" x14ac:dyDescent="0.2">
      <c r="A9" s="4"/>
      <c r="B9" s="611" t="s">
        <v>392</v>
      </c>
      <c r="C9" s="612"/>
      <c r="D9" s="615" t="s">
        <v>393</v>
      </c>
      <c r="E9" s="612"/>
      <c r="F9" s="615" t="s">
        <v>101</v>
      </c>
      <c r="G9" s="612"/>
      <c r="H9" s="611" t="s">
        <v>394</v>
      </c>
      <c r="I9" s="612"/>
      <c r="J9" s="615" t="s">
        <v>86</v>
      </c>
      <c r="K9" s="612"/>
    </row>
    <row r="10" spans="1:54" x14ac:dyDescent="0.2">
      <c r="A10" s="4"/>
      <c r="B10" s="613"/>
      <c r="C10" s="614"/>
      <c r="D10" s="613"/>
      <c r="E10" s="614"/>
      <c r="F10" s="613"/>
      <c r="G10" s="614"/>
      <c r="H10" s="613"/>
      <c r="I10" s="614"/>
      <c r="J10" s="613"/>
      <c r="K10" s="614"/>
    </row>
    <row r="11" spans="1:54" x14ac:dyDescent="0.2">
      <c r="A11" s="107" t="s">
        <v>63</v>
      </c>
      <c r="B11" s="108" t="s">
        <v>38</v>
      </c>
      <c r="C11" s="108" t="s">
        <v>39</v>
      </c>
      <c r="D11" s="108" t="s">
        <v>38</v>
      </c>
      <c r="E11" s="108" t="s">
        <v>39</v>
      </c>
      <c r="F11" s="108" t="s">
        <v>38</v>
      </c>
      <c r="G11" s="108" t="s">
        <v>39</v>
      </c>
      <c r="H11" s="108" t="s">
        <v>38</v>
      </c>
      <c r="I11" s="108" t="s">
        <v>39</v>
      </c>
      <c r="J11" s="108" t="s">
        <v>38</v>
      </c>
      <c r="K11" s="109" t="s">
        <v>39</v>
      </c>
    </row>
    <row r="12" spans="1:54" ht="5.0999999999999996" customHeight="1" x14ac:dyDescent="0.2">
      <c r="A12" s="110"/>
      <c r="B12" s="4"/>
      <c r="C12" s="4"/>
      <c r="D12" s="4"/>
      <c r="E12" s="4"/>
      <c r="F12" s="4"/>
      <c r="G12" s="4"/>
      <c r="H12" s="4"/>
      <c r="I12" s="4"/>
      <c r="J12" s="4"/>
      <c r="K12" s="4"/>
    </row>
    <row r="13" spans="1:54" x14ac:dyDescent="0.2">
      <c r="A13" s="281" t="s">
        <v>64</v>
      </c>
      <c r="B13" s="111"/>
      <c r="C13" s="262"/>
      <c r="D13" s="111"/>
      <c r="E13" s="262"/>
      <c r="F13" s="111"/>
      <c r="G13" s="262"/>
      <c r="H13" s="111"/>
      <c r="I13" s="262"/>
      <c r="J13" s="111"/>
      <c r="K13" s="262"/>
    </row>
    <row r="14" spans="1:54" x14ac:dyDescent="0.2">
      <c r="A14" s="112" t="s">
        <v>192</v>
      </c>
      <c r="B14" s="113"/>
      <c r="C14" s="259"/>
      <c r="D14" s="113"/>
      <c r="E14" s="259"/>
      <c r="F14" s="113"/>
      <c r="G14" s="259"/>
      <c r="H14" s="113"/>
      <c r="I14" s="259"/>
      <c r="J14" s="113">
        <v>4000598</v>
      </c>
      <c r="K14" s="259"/>
    </row>
    <row r="15" spans="1:54" x14ac:dyDescent="0.2">
      <c r="A15" s="112" t="s">
        <v>193</v>
      </c>
      <c r="B15" s="113">
        <v>95575055</v>
      </c>
      <c r="C15" s="259">
        <f>B15/'- 13 -'!$J$54*100</f>
        <v>3.9635598294730117</v>
      </c>
      <c r="D15" s="113">
        <v>7467269</v>
      </c>
      <c r="E15" s="259">
        <f>D15/'- 13 -'!$J$54*100</f>
        <v>0.30967251281486685</v>
      </c>
      <c r="F15" s="113">
        <v>727809</v>
      </c>
      <c r="G15" s="259">
        <f>F15/'- 13 -'!$J$54*100</f>
        <v>3.0182713637244812E-2</v>
      </c>
      <c r="H15" s="113">
        <v>880624</v>
      </c>
      <c r="I15" s="259">
        <f>H15/'- 13 -'!$J$54*100</f>
        <v>3.6520051296542191E-2</v>
      </c>
      <c r="J15" s="113">
        <v>22660895</v>
      </c>
      <c r="K15" s="259">
        <f>J15/'- 13 -'!$J$54*100</f>
        <v>0.93976208668575512</v>
      </c>
    </row>
    <row r="16" spans="1:54" x14ac:dyDescent="0.2">
      <c r="A16" s="112" t="s">
        <v>194</v>
      </c>
      <c r="B16" s="113">
        <v>976167263</v>
      </c>
      <c r="C16" s="259">
        <f>B16/'- 13 -'!$J$54*100</f>
        <v>40.482292691052244</v>
      </c>
      <c r="D16" s="113">
        <v>165034293</v>
      </c>
      <c r="E16" s="259">
        <f>D16/'- 13 -'!$J$54*100</f>
        <v>6.8440797049008131</v>
      </c>
      <c r="F16" s="113">
        <v>5641309</v>
      </c>
      <c r="G16" s="259">
        <f>F16/'- 13 -'!$J$54*100</f>
        <v>0.23394876140060361</v>
      </c>
      <c r="H16" s="113">
        <v>8701474</v>
      </c>
      <c r="I16" s="259">
        <f>H16/'- 13 -'!$J$54*100</f>
        <v>0.36085579865587147</v>
      </c>
      <c r="J16" s="113"/>
      <c r="K16" s="259">
        <f>J16/'- 13 -'!$J$54*100</f>
        <v>0</v>
      </c>
    </row>
    <row r="17" spans="1:12" x14ac:dyDescent="0.2">
      <c r="A17" s="112" t="s">
        <v>195</v>
      </c>
      <c r="B17" s="113">
        <v>24165148</v>
      </c>
      <c r="C17" s="259">
        <f>B17/'- 13 -'!$J$54*100</f>
        <v>1.0021444391119638</v>
      </c>
      <c r="D17" s="113">
        <v>171760769</v>
      </c>
      <c r="E17" s="259">
        <f>D17/'- 13 -'!$J$54*100</f>
        <v>7.1230310491350837</v>
      </c>
      <c r="F17" s="113">
        <v>409662</v>
      </c>
      <c r="G17" s="259">
        <f>F17/'- 13 -'!$J$54*100</f>
        <v>1.698895016970247E-2</v>
      </c>
      <c r="H17" s="113">
        <v>4141157</v>
      </c>
      <c r="I17" s="259">
        <f>H17/'- 13 -'!$J$54*100</f>
        <v>0.17173648011754708</v>
      </c>
      <c r="J17" s="113"/>
      <c r="K17" s="259">
        <f>J17/'- 13 -'!$J$54*100</f>
        <v>0</v>
      </c>
    </row>
    <row r="18" spans="1:12" x14ac:dyDescent="0.2">
      <c r="A18" s="112" t="s">
        <v>196</v>
      </c>
      <c r="B18" s="113">
        <v>5997187</v>
      </c>
      <c r="C18" s="259">
        <f>B18/'- 13 -'!$J$54*100</f>
        <v>0.24870725403231797</v>
      </c>
      <c r="D18" s="113">
        <v>1984636</v>
      </c>
      <c r="E18" s="259">
        <f>D18/'- 13 -'!$J$54*100</f>
        <v>8.2304148563932283E-2</v>
      </c>
      <c r="F18" s="113">
        <v>211766</v>
      </c>
      <c r="G18" s="259">
        <f>F18/'- 13 -'!$J$54*100</f>
        <v>8.7820740552875618E-3</v>
      </c>
      <c r="H18" s="113">
        <v>2113984</v>
      </c>
      <c r="I18" s="259">
        <f>H18/'- 13 -'!$J$54*100</f>
        <v>8.7668294436751032E-2</v>
      </c>
      <c r="J18" s="113">
        <v>6554766</v>
      </c>
      <c r="K18" s="259">
        <f>J18/'- 13 -'!$J$54*100</f>
        <v>0.27183041860865781</v>
      </c>
    </row>
    <row r="19" spans="1:12" x14ac:dyDescent="0.2">
      <c r="A19" s="114" t="s">
        <v>197</v>
      </c>
      <c r="B19" s="115">
        <v>41512536</v>
      </c>
      <c r="C19" s="260">
        <f>B19/'- 13 -'!$J$54*100</f>
        <v>1.7215519270080697</v>
      </c>
      <c r="D19" s="115">
        <v>2853891</v>
      </c>
      <c r="E19" s="260">
        <f>D19/'- 13 -'!$J$54*100</f>
        <v>0.11835272001982697</v>
      </c>
      <c r="F19" s="115">
        <v>325683</v>
      </c>
      <c r="G19" s="260">
        <f>F19/'- 13 -'!$J$54*100</f>
        <v>1.3506286299728091E-2</v>
      </c>
      <c r="H19" s="115">
        <v>745863</v>
      </c>
      <c r="I19" s="260">
        <f>H19/'- 13 -'!$J$54*100</f>
        <v>3.093142478537134E-2</v>
      </c>
      <c r="J19" s="115">
        <v>16418830</v>
      </c>
      <c r="K19" s="260">
        <f>J19/'- 13 -'!$J$54*100</f>
        <v>0.68089958237477721</v>
      </c>
    </row>
    <row r="20" spans="1:12" x14ac:dyDescent="0.2">
      <c r="A20" s="114" t="s">
        <v>198</v>
      </c>
      <c r="B20" s="116"/>
      <c r="C20" s="260"/>
      <c r="D20" s="116">
        <v>40816304</v>
      </c>
      <c r="E20" s="260">
        <f>D20/'- 13 -'!$J$54*100</f>
        <v>1.6926787321436394</v>
      </c>
      <c r="F20" s="116"/>
      <c r="G20" s="260"/>
      <c r="H20" s="116">
        <v>687489</v>
      </c>
      <c r="I20" s="260"/>
      <c r="J20" s="116"/>
      <c r="K20" s="260"/>
    </row>
    <row r="21" spans="1:12" x14ac:dyDescent="0.2">
      <c r="A21" s="117" t="s">
        <v>199</v>
      </c>
      <c r="B21" s="118">
        <v>12892977</v>
      </c>
      <c r="C21" s="261">
        <f>B21/'- 13 -'!$J$54*100</f>
        <v>0.53468016021041742</v>
      </c>
      <c r="D21" s="118">
        <v>193942</v>
      </c>
      <c r="E21" s="261">
        <f>D21/'- 13 -'!$J$54*100</f>
        <v>8.0429011570817797E-3</v>
      </c>
      <c r="F21" s="118">
        <v>0</v>
      </c>
      <c r="G21" s="261">
        <f>F21/'- 13 -'!$J$54*100</f>
        <v>0</v>
      </c>
      <c r="H21" s="118">
        <v>31000</v>
      </c>
      <c r="I21" s="261">
        <f>H21/'- 13 -'!$J$54*100</f>
        <v>1.2855902067088882E-3</v>
      </c>
      <c r="J21" s="118">
        <v>2592561</v>
      </c>
      <c r="K21" s="261">
        <f>J21/'- 13 -'!$J$54*100</f>
        <v>0.10751519457727103</v>
      </c>
    </row>
    <row r="22" spans="1:12" ht="12.75" customHeight="1" x14ac:dyDescent="0.2">
      <c r="A22" s="119" t="s">
        <v>200</v>
      </c>
      <c r="B22" s="125">
        <f>SUM(B14:B21)</f>
        <v>1156310166</v>
      </c>
      <c r="C22" s="263">
        <f>B22/'- 13 -'!$J$54*100</f>
        <v>47.952936300888027</v>
      </c>
      <c r="D22" s="125">
        <f>SUM(D14:D21)</f>
        <v>390111104</v>
      </c>
      <c r="E22" s="263">
        <f>D22/'- 13 -'!$J$54*100</f>
        <v>16.178161768735244</v>
      </c>
      <c r="F22" s="125">
        <f>SUM(F14:F21)</f>
        <v>7316229</v>
      </c>
      <c r="G22" s="263">
        <f>F22/'- 13 -'!$J$54*100</f>
        <v>0.30340878556256656</v>
      </c>
      <c r="H22" s="125">
        <f>SUM(H14:H21)</f>
        <v>17301591</v>
      </c>
      <c r="I22" s="263">
        <f>H22/'- 13 -'!$J$54*100</f>
        <v>0.71750825645427874</v>
      </c>
      <c r="J22" s="125">
        <f>SUM(J14:J21)</f>
        <v>52227650</v>
      </c>
      <c r="K22" s="263">
        <f>J22/'- 13 -'!$J$54*100</f>
        <v>2.165914689013531</v>
      </c>
    </row>
    <row r="23" spans="1:12" x14ac:dyDescent="0.2">
      <c r="A23" s="281" t="s">
        <v>72</v>
      </c>
      <c r="B23" s="125">
        <v>70935439</v>
      </c>
      <c r="C23" s="263">
        <f>B23/'- 13 -'!$J$54*100</f>
        <v>2.9417388931288944</v>
      </c>
      <c r="D23" s="125">
        <v>40127656</v>
      </c>
      <c r="E23" s="263">
        <f>D23/'- 13 -'!$J$54*100</f>
        <v>1.6641200507026825</v>
      </c>
      <c r="F23" s="125">
        <v>500960</v>
      </c>
      <c r="G23" s="263">
        <f>F23/'- 13 -'!$J$54*100</f>
        <v>2.0775137740415631E-2</v>
      </c>
      <c r="H23" s="125">
        <v>1639713</v>
      </c>
      <c r="I23" s="263">
        <f>H23/'- 13 -'!$J$54*100</f>
        <v>6.7999966923008096E-2</v>
      </c>
      <c r="J23" s="125">
        <v>7539691</v>
      </c>
      <c r="K23" s="263">
        <f>J23/'- 13 -'!$J$54*100</f>
        <v>0.31267590036164977</v>
      </c>
    </row>
    <row r="24" spans="1:12" x14ac:dyDescent="0.2">
      <c r="A24" s="281" t="s">
        <v>58</v>
      </c>
      <c r="B24" s="113"/>
      <c r="C24" s="259"/>
      <c r="D24" s="113"/>
      <c r="E24" s="259"/>
      <c r="F24" s="113"/>
      <c r="G24" s="259"/>
      <c r="H24" s="113"/>
      <c r="I24" s="259"/>
      <c r="J24" s="113"/>
      <c r="K24" s="259"/>
    </row>
    <row r="25" spans="1:12" x14ac:dyDescent="0.2">
      <c r="A25" s="114" t="s">
        <v>201</v>
      </c>
      <c r="B25" s="115">
        <v>6174322</v>
      </c>
      <c r="C25" s="260">
        <f>B25/'- 13 -'!$J$54*100</f>
        <v>0.25605315794410438</v>
      </c>
      <c r="D25" s="115">
        <v>7737572</v>
      </c>
      <c r="E25" s="260">
        <f>D25/'- 13 -'!$J$54*100</f>
        <v>0.32088215441628726</v>
      </c>
      <c r="F25" s="115">
        <v>45645</v>
      </c>
      <c r="G25" s="260">
        <f>F25/'- 13 -'!$J$54*100</f>
        <v>1.8929279027492644E-3</v>
      </c>
      <c r="H25" s="115">
        <v>1651925</v>
      </c>
      <c r="I25" s="260">
        <f>H25/'- 13 -'!$J$54*100</f>
        <v>6.8506406523147739E-2</v>
      </c>
      <c r="J25" s="115">
        <v>4956779</v>
      </c>
      <c r="K25" s="260">
        <f>J25/'- 13 -'!$J$54*100</f>
        <v>0.20556085610387986</v>
      </c>
    </row>
    <row r="26" spans="1:12" ht="12" customHeight="1" x14ac:dyDescent="0.2">
      <c r="A26" s="114" t="s">
        <v>202</v>
      </c>
      <c r="B26" s="115">
        <v>4270968</v>
      </c>
      <c r="C26" s="260">
        <f>B26/'- 13 -'!$J$54*100</f>
        <v>0.1771198269021628</v>
      </c>
      <c r="D26" s="115">
        <v>338573</v>
      </c>
      <c r="E26" s="260">
        <f>D26/'- 13 -'!$J$54*100</f>
        <v>1.4040843001808013E-2</v>
      </c>
      <c r="F26" s="115">
        <v>49558</v>
      </c>
      <c r="G26" s="260">
        <f>F26/'- 13 -'!$J$54*100</f>
        <v>2.0552025633573897E-3</v>
      </c>
      <c r="H26" s="115">
        <v>33154</v>
      </c>
      <c r="I26" s="260">
        <f>H26/'- 13 -'!$J$54*100</f>
        <v>1.3749179907492411E-3</v>
      </c>
      <c r="J26" s="115">
        <v>1189705</v>
      </c>
      <c r="K26" s="260">
        <f>J26/'- 13 -'!$J$54*100</f>
        <v>4.9337841834599924E-2</v>
      </c>
      <c r="L26" s="610" t="s">
        <v>103</v>
      </c>
    </row>
    <row r="27" spans="1:12" ht="12.75" customHeight="1" x14ac:dyDescent="0.2">
      <c r="A27" s="114" t="s">
        <v>203</v>
      </c>
      <c r="B27" s="115"/>
      <c r="C27" s="260">
        <f>B27/'- 13 -'!$J$54*100</f>
        <v>0</v>
      </c>
      <c r="D27" s="115"/>
      <c r="E27" s="260">
        <f>D27/'- 13 -'!$J$54*100</f>
        <v>0</v>
      </c>
      <c r="F27" s="115">
        <v>50701</v>
      </c>
      <c r="G27" s="260">
        <f>F27/'- 13 -'!$J$54*100</f>
        <v>2.1026035183983015E-3</v>
      </c>
      <c r="H27" s="115"/>
      <c r="I27" s="260">
        <f>H27/'- 13 -'!$J$54*100</f>
        <v>0</v>
      </c>
      <c r="J27" s="115"/>
      <c r="K27" s="260">
        <f>J27/'- 13 -'!$J$54*100</f>
        <v>0</v>
      </c>
      <c r="L27" s="610"/>
    </row>
    <row r="28" spans="1:12" ht="12.75" customHeight="1" x14ac:dyDescent="0.2">
      <c r="A28" s="114" t="s">
        <v>242</v>
      </c>
      <c r="B28" s="115">
        <v>2814814</v>
      </c>
      <c r="C28" s="260">
        <f>B28/'- 13 -'!$J$54*100</f>
        <v>0.11673217135829266</v>
      </c>
      <c r="D28" s="115">
        <v>2440318</v>
      </c>
      <c r="E28" s="260">
        <f>D28/'- 13 -'!$J$54*100</f>
        <v>0.10120157813082002</v>
      </c>
      <c r="F28" s="115">
        <v>85794</v>
      </c>
      <c r="G28" s="260">
        <f>F28/'- 13 -'!$J$54*100</f>
        <v>3.5579331030445921E-3</v>
      </c>
      <c r="H28" s="115">
        <v>113026</v>
      </c>
      <c r="I28" s="260">
        <f>H28/'- 13 -'!$J$54*100</f>
        <v>4.6872618936606063E-3</v>
      </c>
      <c r="J28" s="115">
        <v>2546519</v>
      </c>
      <c r="K28" s="260">
        <f>J28/'- 13 -'!$J$54*100</f>
        <v>0.10560580282574553</v>
      </c>
      <c r="L28" s="610"/>
    </row>
    <row r="29" spans="1:12" ht="12.75" customHeight="1" x14ac:dyDescent="0.2">
      <c r="A29" s="114" t="s">
        <v>204</v>
      </c>
      <c r="B29" s="115"/>
      <c r="C29" s="260">
        <f>B29/'- 13 -'!$J$54*100</f>
        <v>0</v>
      </c>
      <c r="D29" s="115"/>
      <c r="E29" s="260">
        <f>D29/'- 13 -'!$J$54*100</f>
        <v>0</v>
      </c>
      <c r="F29" s="115"/>
      <c r="G29" s="260">
        <f>F29/'- 13 -'!$J$54*100</f>
        <v>0</v>
      </c>
      <c r="H29" s="115"/>
      <c r="I29" s="260">
        <f>H29/'- 13 -'!$J$54*100</f>
        <v>0</v>
      </c>
      <c r="J29" s="115"/>
      <c r="K29" s="260">
        <f>J29/'- 13 -'!$J$54*100</f>
        <v>0</v>
      </c>
      <c r="L29" s="610"/>
    </row>
    <row r="30" spans="1:12" ht="12.75" customHeight="1" x14ac:dyDescent="0.2">
      <c r="A30" s="114" t="s">
        <v>205</v>
      </c>
      <c r="B30" s="115">
        <v>1432290</v>
      </c>
      <c r="C30" s="260">
        <f>B30/'- 13 -'!$J$54*100</f>
        <v>5.9397999908615266E-2</v>
      </c>
      <c r="D30" s="115">
        <v>844200</v>
      </c>
      <c r="E30" s="260">
        <f>D30/'- 13 -'!$J$54*100</f>
        <v>3.5009524274311074E-2</v>
      </c>
      <c r="F30" s="115">
        <v>0</v>
      </c>
      <c r="G30" s="260">
        <f>F30/'- 13 -'!$J$54*100</f>
        <v>0</v>
      </c>
      <c r="H30" s="115"/>
      <c r="I30" s="260">
        <f>H30/'- 13 -'!$J$54*100</f>
        <v>0</v>
      </c>
      <c r="J30" s="115"/>
      <c r="K30" s="260">
        <f>J30/'- 13 -'!$J$54*100</f>
        <v>0</v>
      </c>
      <c r="L30" s="258"/>
    </row>
    <row r="31" spans="1:12" ht="12.75" customHeight="1" x14ac:dyDescent="0.2">
      <c r="A31" s="114" t="s">
        <v>206</v>
      </c>
      <c r="B31" s="115">
        <v>487232</v>
      </c>
      <c r="C31" s="260">
        <f>B31/'- 13 -'!$J$54*100</f>
        <v>2.0205828632102744E-2</v>
      </c>
      <c r="D31" s="115">
        <v>21374</v>
      </c>
      <c r="E31" s="260">
        <f>D31/'- 13 -'!$J$54*100</f>
        <v>8.8639371219986372E-4</v>
      </c>
      <c r="F31" s="115">
        <v>8547</v>
      </c>
      <c r="G31" s="260">
        <f>F31/'- 13 -'!$J$54*100</f>
        <v>3.5444966118518923E-4</v>
      </c>
      <c r="H31" s="115">
        <v>83600</v>
      </c>
      <c r="I31" s="260">
        <f>H31/'- 13 -'!$J$54*100</f>
        <v>3.4669464929310665E-3</v>
      </c>
      <c r="J31" s="115">
        <v>231970</v>
      </c>
      <c r="K31" s="260">
        <f>J31/'- 13 -'!$J$54*100</f>
        <v>9.6199471048471208E-3</v>
      </c>
    </row>
    <row r="32" spans="1:12" x14ac:dyDescent="0.2">
      <c r="A32" s="114" t="s">
        <v>207</v>
      </c>
      <c r="B32" s="115">
        <v>167870</v>
      </c>
      <c r="C32" s="260">
        <f>B32/'- 13 -'!$J$54*100</f>
        <v>6.9616783225877757E-3</v>
      </c>
      <c r="D32" s="115">
        <v>30500</v>
      </c>
      <c r="E32" s="260">
        <f>D32/'- 13 -'!$J$54*100</f>
        <v>1.2648548807942287E-3</v>
      </c>
      <c r="F32" s="115">
        <v>3013</v>
      </c>
      <c r="G32" s="260">
        <f>F32/'- 13 -'!$J$54*100</f>
        <v>1.2495107396173806E-4</v>
      </c>
      <c r="H32" s="115">
        <v>1613</v>
      </c>
      <c r="I32" s="260">
        <f>H32/'- 13 -'!$J$54*100</f>
        <v>6.68921614006915E-5</v>
      </c>
      <c r="J32" s="115">
        <v>1698714</v>
      </c>
      <c r="K32" s="260">
        <f>J32/'- 13 -'!$J$54*100</f>
        <v>7.0446776851589746E-2</v>
      </c>
    </row>
    <row r="33" spans="1:13" x14ac:dyDescent="0.2">
      <c r="A33" s="114" t="s">
        <v>208</v>
      </c>
      <c r="B33" s="115">
        <v>2771964</v>
      </c>
      <c r="C33" s="260">
        <f>B33/'- 13 -'!$J$54*100</f>
        <v>0.11495515392740632</v>
      </c>
      <c r="D33" s="115">
        <v>94050</v>
      </c>
      <c r="E33" s="260">
        <f>D33/'- 13 -'!$J$54*100</f>
        <v>3.9003148045474493E-3</v>
      </c>
      <c r="F33" s="115">
        <v>54748</v>
      </c>
      <c r="G33" s="260">
        <f>F33/'- 13 -'!$J$54*100</f>
        <v>2.2704352463515554E-3</v>
      </c>
      <c r="H33" s="115">
        <v>31870</v>
      </c>
      <c r="I33" s="260">
        <f>H33/'- 13 -'!$J$54*100</f>
        <v>1.3216696738003956E-3</v>
      </c>
      <c r="J33" s="115">
        <v>208511</v>
      </c>
      <c r="K33" s="260">
        <f>J33/'- 13 -'!$J$54*100</f>
        <v>8.6470870835831277E-3</v>
      </c>
    </row>
    <row r="34" spans="1:13" x14ac:dyDescent="0.2">
      <c r="A34" s="114" t="s">
        <v>209</v>
      </c>
      <c r="B34" s="115">
        <v>3089152</v>
      </c>
      <c r="C34" s="260">
        <f>B34/'- 13 -'!$J$54*100</f>
        <v>0.12810914703984436</v>
      </c>
      <c r="D34" s="115">
        <v>184793</v>
      </c>
      <c r="E34" s="260">
        <f>D34/'- 13 -'!$J$54*100</f>
        <v>7.6634861634953411E-3</v>
      </c>
      <c r="F34" s="115">
        <v>428235</v>
      </c>
      <c r="G34" s="260">
        <f>F34/'- 13 -'!$J$54*100</f>
        <v>1.775918458612841E-2</v>
      </c>
      <c r="H34" s="115">
        <v>536185</v>
      </c>
      <c r="I34" s="260">
        <f>H34/'- 13 -'!$J$54*100</f>
        <v>2.2235941451103393E-2</v>
      </c>
      <c r="J34" s="115">
        <v>442167</v>
      </c>
      <c r="K34" s="260">
        <f>J34/'- 13 -'!$J$54*100</f>
        <v>1.8336953707414484E-2</v>
      </c>
    </row>
    <row r="35" spans="1:13" x14ac:dyDescent="0.2">
      <c r="A35" s="362" t="s">
        <v>248</v>
      </c>
      <c r="B35" s="115"/>
      <c r="C35" s="260">
        <f>B35/'- 13 -'!$J$54*100</f>
        <v>0</v>
      </c>
      <c r="D35" s="115"/>
      <c r="E35" s="260">
        <f>D35/'- 13 -'!$J$54*100</f>
        <v>0</v>
      </c>
      <c r="F35" s="115">
        <v>18703</v>
      </c>
      <c r="G35" s="260">
        <f>F35/'- 13 -'!$J$54*100</f>
        <v>7.7562560116375284E-4</v>
      </c>
      <c r="H35" s="115"/>
      <c r="I35" s="260">
        <f>H35/'- 13 -'!$J$54*100</f>
        <v>0</v>
      </c>
      <c r="J35" s="115"/>
      <c r="K35" s="260">
        <f>J35/'- 13 -'!$J$54*100</f>
        <v>0</v>
      </c>
    </row>
    <row r="36" spans="1:13" x14ac:dyDescent="0.2">
      <c r="A36" s="114" t="s">
        <v>210</v>
      </c>
      <c r="B36" s="115">
        <v>327227</v>
      </c>
      <c r="C36" s="260">
        <f>B36/'- 13 -'!$J$54*100</f>
        <v>1.357031698615256E-2</v>
      </c>
      <c r="D36" s="115">
        <v>39730</v>
      </c>
      <c r="E36" s="260">
        <f>D36/'- 13 -'!$J$54*100</f>
        <v>1.6476289971788429E-3</v>
      </c>
      <c r="F36" s="115">
        <v>15422</v>
      </c>
      <c r="G36" s="260">
        <f>F36/'- 13 -'!$J$54*100</f>
        <v>6.3956039251175721E-4</v>
      </c>
      <c r="H36" s="115">
        <v>122000</v>
      </c>
      <c r="I36" s="260">
        <f>H36/'- 13 -'!$J$54*100</f>
        <v>5.0594195231769149E-3</v>
      </c>
      <c r="J36" s="115">
        <v>729660</v>
      </c>
      <c r="K36" s="260">
        <f>J36/'- 13 -'!$J$54*100</f>
        <v>3.0259475813780884E-2</v>
      </c>
    </row>
    <row r="37" spans="1:13" x14ac:dyDescent="0.2">
      <c r="A37" s="114" t="s">
        <v>211</v>
      </c>
      <c r="B37" s="115">
        <v>931596</v>
      </c>
      <c r="C37" s="260">
        <f>B37/'- 13 -'!$J$54*100</f>
        <v>3.8633893361586236E-2</v>
      </c>
      <c r="D37" s="115">
        <v>108938</v>
      </c>
      <c r="E37" s="260">
        <f>D37/'- 13 -'!$J$54*100</f>
        <v>4.5177298689823503E-3</v>
      </c>
      <c r="F37" s="115">
        <v>600</v>
      </c>
      <c r="G37" s="260">
        <f>F37/'- 13 -'!$J$54*100</f>
        <v>2.4882391097591385E-5</v>
      </c>
      <c r="H37" s="115">
        <v>3135</v>
      </c>
      <c r="I37" s="260">
        <f>H37/'- 13 -'!$J$54*100</f>
        <v>1.30010493484915E-4</v>
      </c>
      <c r="J37" s="115">
        <v>2894863</v>
      </c>
      <c r="K37" s="260">
        <f>J37/'- 13 -'!$J$54*100</f>
        <v>0.12005185556657781</v>
      </c>
    </row>
    <row r="38" spans="1:13" x14ac:dyDescent="0.2">
      <c r="A38" s="121" t="s">
        <v>212</v>
      </c>
      <c r="B38" s="115">
        <v>529365</v>
      </c>
      <c r="C38" s="260">
        <f>B38/'- 13 -'!$J$54*100</f>
        <v>2.1953111605627438E-2</v>
      </c>
      <c r="D38" s="115">
        <v>256263</v>
      </c>
      <c r="E38" s="260">
        <f>D38/'- 13 -'!$J$54*100</f>
        <v>1.0627393649736768E-2</v>
      </c>
      <c r="F38" s="115">
        <v>37181</v>
      </c>
      <c r="G38" s="260">
        <f>F38/'- 13 -'!$J$54*100</f>
        <v>1.5419203056659088E-3</v>
      </c>
      <c r="H38" s="115">
        <v>34700</v>
      </c>
      <c r="I38" s="260">
        <f>H38/'- 13 -'!$J$54*100</f>
        <v>1.4390316184773684E-3</v>
      </c>
      <c r="J38" s="115">
        <v>1577882</v>
      </c>
      <c r="K38" s="260">
        <f>J38/'- 13 -'!$J$54*100</f>
        <v>6.5435795049749473E-2</v>
      </c>
    </row>
    <row r="39" spans="1:13" x14ac:dyDescent="0.2">
      <c r="A39" s="122" t="s">
        <v>213</v>
      </c>
      <c r="B39" s="118">
        <v>10647327</v>
      </c>
      <c r="C39" s="261">
        <f>B39/'- 13 -'!$J$54*100</f>
        <v>0.44155159092990726</v>
      </c>
      <c r="D39" s="118">
        <v>152138</v>
      </c>
      <c r="E39" s="261">
        <f>D39/'- 13 -'!$J$54*100</f>
        <v>6.3092620280089298E-3</v>
      </c>
      <c r="F39" s="118">
        <v>24314</v>
      </c>
      <c r="G39" s="261">
        <f>F39/'- 13 -'!$J$54*100</f>
        <v>1.0083174285780614E-3</v>
      </c>
      <c r="H39" s="118">
        <v>30300</v>
      </c>
      <c r="I39" s="261">
        <f>H39/'- 13 -'!$J$54*100</f>
        <v>1.2565607504283647E-3</v>
      </c>
      <c r="J39" s="118">
        <v>2840080</v>
      </c>
      <c r="K39" s="261">
        <f>J39/'- 13 -'!$J$54*100</f>
        <v>0.11777996884741224</v>
      </c>
    </row>
    <row r="40" spans="1:13" x14ac:dyDescent="0.2">
      <c r="A40" s="119" t="s">
        <v>214</v>
      </c>
      <c r="B40" s="125">
        <f>SUM(B25:B39)</f>
        <v>33644127</v>
      </c>
      <c r="C40" s="263">
        <f>B40/'- 13 -'!$J$54*100</f>
        <v>1.3952438769183899</v>
      </c>
      <c r="D40" s="125">
        <f>SUM(D25:D39)</f>
        <v>12248449</v>
      </c>
      <c r="E40" s="263">
        <f>D40/'- 13 -'!$J$54*100</f>
        <v>0.50795116392817019</v>
      </c>
      <c r="F40" s="125">
        <f>SUM(F25:F39)</f>
        <v>822461</v>
      </c>
      <c r="G40" s="263">
        <f>F40/'- 13 -'!$J$54*100</f>
        <v>3.4107993774193511E-2</v>
      </c>
      <c r="H40" s="125">
        <f>SUM(H25:H39)</f>
        <v>2641508</v>
      </c>
      <c r="I40" s="263">
        <f>H40/'- 13 -'!$J$54*100</f>
        <v>0.1095450585723607</v>
      </c>
      <c r="J40" s="125">
        <f>SUM(J25:J39)</f>
        <v>19316850</v>
      </c>
      <c r="K40" s="263">
        <f>J40/'- 13 -'!$J$54*100</f>
        <v>0.80108236078918016</v>
      </c>
    </row>
    <row r="41" spans="1:13" x14ac:dyDescent="0.2">
      <c r="A41" s="281" t="s">
        <v>215</v>
      </c>
      <c r="B41" s="123"/>
      <c r="C41" s="264"/>
      <c r="D41" s="123"/>
      <c r="E41" s="264"/>
      <c r="F41" s="123"/>
      <c r="G41" s="264"/>
      <c r="H41" s="123"/>
      <c r="I41" s="264"/>
      <c r="J41" s="123"/>
      <c r="K41" s="264"/>
    </row>
    <row r="42" spans="1:13" x14ac:dyDescent="0.2">
      <c r="A42" s="114" t="s">
        <v>216</v>
      </c>
      <c r="B42" s="115">
        <v>37353771</v>
      </c>
      <c r="C42" s="260">
        <f>B42/'- 13 -'!$J$54*100</f>
        <v>1.5490852316531121</v>
      </c>
      <c r="D42" s="115">
        <v>3361402</v>
      </c>
      <c r="E42" s="260">
        <f>D42/'- 13 -'!$J$54*100</f>
        <v>0.13939953200037644</v>
      </c>
      <c r="F42" s="115">
        <v>129152</v>
      </c>
      <c r="G42" s="260">
        <f>F42/'- 13 -'!$J$54*100</f>
        <v>5.3560176250602044E-3</v>
      </c>
      <c r="H42" s="115">
        <v>1849927</v>
      </c>
      <c r="I42" s="260">
        <f>H42/'- 13 -'!$J$54*100</f>
        <v>7.6717678526656563E-2</v>
      </c>
      <c r="J42" s="115">
        <v>1348604</v>
      </c>
      <c r="K42" s="260">
        <f>J42/'- 13 -'!$J$54*100</f>
        <v>5.5927486939626889E-2</v>
      </c>
    </row>
    <row r="43" spans="1:13" x14ac:dyDescent="0.2">
      <c r="A43" s="114" t="s">
        <v>217</v>
      </c>
      <c r="B43" s="115">
        <v>10708236</v>
      </c>
      <c r="C43" s="260">
        <f>B43/'- 13 -'!$J$54*100</f>
        <v>0.44407752686217927</v>
      </c>
      <c r="D43" s="115">
        <v>798560</v>
      </c>
      <c r="E43" s="260">
        <f>D43/'- 13 -'!$J$54*100</f>
        <v>3.311680372482096E-2</v>
      </c>
      <c r="F43" s="115">
        <v>67794</v>
      </c>
      <c r="G43" s="260">
        <f>F43/'- 13 -'!$J$54*100</f>
        <v>2.8114613701168507E-3</v>
      </c>
      <c r="H43" s="115">
        <v>59526</v>
      </c>
      <c r="I43" s="260">
        <f>H43/'- 13 -'!$J$54*100</f>
        <v>2.4685820207920412E-3</v>
      </c>
      <c r="J43" s="115">
        <v>107385</v>
      </c>
      <c r="K43" s="260">
        <f>J43/'- 13 -'!$J$54*100</f>
        <v>4.4533259466914173E-3</v>
      </c>
    </row>
    <row r="44" spans="1:13" x14ac:dyDescent="0.2">
      <c r="A44" s="114" t="s">
        <v>218</v>
      </c>
      <c r="B44" s="115">
        <v>13126274</v>
      </c>
      <c r="C44" s="260">
        <f>B44/'- 13 -'!$J$54*100</f>
        <v>0.54435513887024201</v>
      </c>
      <c r="D44" s="115">
        <v>387475</v>
      </c>
      <c r="E44" s="260">
        <f>D44/'- 13 -'!$J$54*100</f>
        <v>1.6068840817565367E-2</v>
      </c>
      <c r="F44" s="115">
        <v>39068</v>
      </c>
      <c r="G44" s="260">
        <f>F44/'- 13 -'!$J$54*100</f>
        <v>1.6201754256678338E-3</v>
      </c>
      <c r="H44" s="115">
        <v>11219</v>
      </c>
      <c r="I44" s="260">
        <f>H44/'- 13 -'!$J$54*100</f>
        <v>4.6525924287312952E-4</v>
      </c>
      <c r="J44" s="115">
        <v>278340</v>
      </c>
      <c r="K44" s="260">
        <f>J44/'- 13 -'!$J$54*100</f>
        <v>1.1542941230172644E-2</v>
      </c>
    </row>
    <row r="45" spans="1:13" x14ac:dyDescent="0.2">
      <c r="A45" s="122" t="s">
        <v>219</v>
      </c>
      <c r="B45" s="118">
        <v>21027882</v>
      </c>
      <c r="C45" s="261">
        <f>B45/'- 13 -'!$J$54*100</f>
        <v>0.87203997313000348</v>
      </c>
      <c r="D45" s="118">
        <v>739627</v>
      </c>
      <c r="E45" s="261">
        <f>D45/'- 13 -'!$J$54*100</f>
        <v>3.0672813800563706E-2</v>
      </c>
      <c r="F45" s="118">
        <v>73045</v>
      </c>
      <c r="G45" s="261">
        <f>F45/'- 13 -'!$J$54*100</f>
        <v>3.0292237628726042E-3</v>
      </c>
      <c r="H45" s="118">
        <v>2500</v>
      </c>
      <c r="I45" s="261">
        <f>H45/'- 13 -'!$J$54*100</f>
        <v>1.0367662957329743E-4</v>
      </c>
      <c r="J45" s="118">
        <v>910427</v>
      </c>
      <c r="K45" s="261">
        <f>J45/'- 13 -'!$J$54*100</f>
        <v>3.7756001133011384E-2</v>
      </c>
    </row>
    <row r="46" spans="1:13" x14ac:dyDescent="0.2">
      <c r="A46" s="119" t="s">
        <v>220</v>
      </c>
      <c r="B46" s="125">
        <f>SUM(B42:B45)</f>
        <v>82216163</v>
      </c>
      <c r="C46" s="263">
        <f>B46/'- 13 -'!$J$54*100</f>
        <v>3.4095578705155365</v>
      </c>
      <c r="D46" s="125">
        <f>SUM(D42:D45)</f>
        <v>5287064</v>
      </c>
      <c r="E46" s="263">
        <f>D46/'- 13 -'!$J$54*100</f>
        <v>0.21925799034332649</v>
      </c>
      <c r="F46" s="125">
        <f>SUM(F42:F45)</f>
        <v>309059</v>
      </c>
      <c r="G46" s="263">
        <f>F46/'- 13 -'!$J$54*100</f>
        <v>1.2816878183717493E-2</v>
      </c>
      <c r="H46" s="125">
        <f>SUM(H42:H45)</f>
        <v>1923172</v>
      </c>
      <c r="I46" s="263">
        <f>H46/'- 13 -'!$J$54*100</f>
        <v>7.9755196419895022E-2</v>
      </c>
      <c r="J46" s="125">
        <f>SUM(J42:J45)</f>
        <v>2644756</v>
      </c>
      <c r="K46" s="263">
        <f>J46/'- 13 -'!$J$54*100</f>
        <v>0.10967975524950233</v>
      </c>
    </row>
    <row r="47" spans="1:13" x14ac:dyDescent="0.2">
      <c r="A47" s="281" t="s">
        <v>42</v>
      </c>
      <c r="B47" s="123"/>
      <c r="C47" s="264"/>
      <c r="D47" s="123"/>
      <c r="E47" s="264"/>
      <c r="F47" s="123"/>
      <c r="G47" s="264"/>
      <c r="H47" s="123"/>
      <c r="I47" s="264"/>
      <c r="J47" s="123"/>
      <c r="K47" s="264"/>
    </row>
    <row r="48" spans="1:13" ht="15" customHeight="1" x14ac:dyDescent="0.2">
      <c r="A48" s="122" t="s">
        <v>246</v>
      </c>
      <c r="B48" s="124"/>
      <c r="C48" s="261"/>
      <c r="D48" s="124"/>
      <c r="E48" s="261"/>
      <c r="F48" s="118">
        <v>27000</v>
      </c>
      <c r="G48" s="261"/>
      <c r="H48" s="124"/>
      <c r="I48" s="261"/>
      <c r="J48" s="118">
        <v>-27000</v>
      </c>
      <c r="K48" s="261"/>
      <c r="M48" s="1">
        <f>F48+J48+'- 13 -'!F48</f>
        <v>0</v>
      </c>
    </row>
    <row r="49" spans="1:11" x14ac:dyDescent="0.2">
      <c r="A49" s="119" t="s">
        <v>223</v>
      </c>
      <c r="B49" s="119"/>
      <c r="C49" s="263"/>
      <c r="D49" s="119"/>
      <c r="E49" s="263"/>
      <c r="F49" s="125">
        <f>F48</f>
        <v>27000</v>
      </c>
      <c r="G49" s="263"/>
      <c r="H49" s="119"/>
      <c r="I49" s="263"/>
      <c r="J49" s="125">
        <f>J48</f>
        <v>-27000</v>
      </c>
      <c r="K49" s="263"/>
    </row>
    <row r="50" spans="1:11" ht="5.0999999999999996" customHeight="1" x14ac:dyDescent="0.2">
      <c r="A50" s="19"/>
      <c r="B50" s="23"/>
      <c r="C50" s="265"/>
      <c r="D50" s="72"/>
      <c r="E50" s="265"/>
      <c r="F50" s="72"/>
      <c r="G50" s="265"/>
      <c r="H50" s="72"/>
      <c r="I50" s="265"/>
      <c r="J50" s="72"/>
      <c r="K50" s="265"/>
    </row>
    <row r="51" spans="1:11" x14ac:dyDescent="0.2">
      <c r="A51" s="282" t="s">
        <v>224</v>
      </c>
      <c r="B51" s="344">
        <f>SUM(B47,B46,B40,B23,B22)</f>
        <v>1343105895</v>
      </c>
      <c r="C51" s="345">
        <f>B51/'- 13 -'!$J$54*100</f>
        <v>55.69947694145084</v>
      </c>
      <c r="D51" s="344">
        <f>SUM(D47,D46,D40,D23,D22)</f>
        <v>447774273</v>
      </c>
      <c r="E51" s="345">
        <f>D51/'- 13 -'!$J$54*100</f>
        <v>18.569490973709424</v>
      </c>
      <c r="F51" s="344">
        <f>SUM(F49,F46,F40,F23,F22)</f>
        <v>8975709</v>
      </c>
      <c r="G51" s="345">
        <f>F51/'- 13 -'!$J$54*100</f>
        <v>0.37222850286028475</v>
      </c>
      <c r="H51" s="344">
        <f>SUM(H47,H46,H40,H23,H22)</f>
        <v>23505984</v>
      </c>
      <c r="I51" s="345">
        <f>H51/'- 13 -'!$J$54*100</f>
        <v>0.97480847836954254</v>
      </c>
      <c r="J51" s="344">
        <f>SUM(J49,J46,J40,J23,J22)</f>
        <v>81701947</v>
      </c>
      <c r="K51" s="345">
        <f>J51/'- 13 -'!$J$54*100</f>
        <v>3.3882329978144723</v>
      </c>
    </row>
    <row r="52" spans="1:11" ht="20.100000000000001" customHeight="1" x14ac:dyDescent="0.2">
      <c r="A52" s="449" t="s">
        <v>360</v>
      </c>
    </row>
  </sheetData>
  <mergeCells count="7">
    <mergeCell ref="B7:K7"/>
    <mergeCell ref="L26:L29"/>
    <mergeCell ref="B9:C10"/>
    <mergeCell ref="D9:E10"/>
    <mergeCell ref="F9:G10"/>
    <mergeCell ref="H9:I10"/>
    <mergeCell ref="J9:K10"/>
  </mergeCells>
  <phoneticPr fontId="0" type="noConversion"/>
  <printOptions verticalCentered="1"/>
  <pageMargins left="0.74803149606299213" right="0" top="0.31496062992125984" bottom="0.31496062992125984"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62</vt:i4>
      </vt:variant>
    </vt:vector>
  </HeadingPairs>
  <TitlesOfParts>
    <vt:vector size="116"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- 47 -</vt:lpstr>
      <vt:lpstr>- 48 - </vt:lpstr>
      <vt:lpstr>- 50 -</vt:lpstr>
      <vt:lpstr>- 51 -</vt:lpstr>
      <vt:lpstr>- 52 -</vt:lpstr>
      <vt:lpstr>- 53 -</vt:lpstr>
      <vt:lpstr>- 54 -</vt:lpstr>
      <vt:lpstr>- 55 -</vt:lpstr>
      <vt:lpstr>- 56 -</vt:lpstr>
      <vt:lpstr>- 57 -</vt:lpstr>
      <vt:lpstr>- 58 -</vt:lpstr>
      <vt:lpstr>- 59 -</vt:lpstr>
      <vt:lpstr>- 60 -</vt:lpstr>
      <vt:lpstr>Data</vt:lpstr>
      <vt:lpstr>AEXP_BF</vt:lpstr>
      <vt:lpstr>AEXP_BP</vt:lpstr>
      <vt:lpstr>Lang</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'- 47 -'!Print_Area</vt:lpstr>
      <vt:lpstr>'- 48 -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GPizarro</cp:lastModifiedBy>
  <cp:lastPrinted>2018-10-31T20:28:44Z</cp:lastPrinted>
  <dcterms:created xsi:type="dcterms:W3CDTF">1999-01-19T20:49:35Z</dcterms:created>
  <dcterms:modified xsi:type="dcterms:W3CDTF">2018-12-04T16:04:38Z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1593828045</vt:i4>
  </property>
  <property fmtid="{D5CDD505-2E9C-101B-9397-08002B2CF9AE}" pid="3" name="_NewReviewCycle">
    <vt:lpwstr/>
  </property>
  <property fmtid="{D5CDD505-2E9C-101B-9397-08002B2CF9AE}" pid="4" name="_EmailSubject">
    <vt:lpwstr>Emailing: 18-19 Budget FRAME English to be posted</vt:lpwstr>
  </property>
  <property fmtid="{D5CDD505-2E9C-101B-9397-08002B2CF9AE}" pid="5" name="_AuthorEmail">
    <vt:lpwstr>Gonzalo.Pizarro@gov.mb.ca</vt:lpwstr>
  </property>
  <property fmtid="{D5CDD505-2E9C-101B-9397-08002B2CF9AE}" pid="6" name="_AuthorEmailDisplayName">
    <vt:lpwstr>Pizarro, Gonzalo (MET)</vt:lpwstr>
  </property>
</Properties>
</file>