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Edu_Internet_dev\dev_finance\finance\frame_report\"/>
    </mc:Choice>
  </mc:AlternateContent>
  <bookViews>
    <workbookView xWindow="100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[1]Data!$B$5</definedName>
    <definedName name="CurrY">Data!$B$5</definedName>
    <definedName name="DATE_ENTRY" localSheetId="44">#REF!</definedName>
    <definedName name="DATE_ENTRY" localSheetId="0">#REF!</definedName>
    <definedName name="DATE_ENTRY">#REF!</definedName>
    <definedName name="DIV">[2]Data!$A$9:$A$696</definedName>
    <definedName name="DIVNUM">[3]DATA!$B$1</definedName>
    <definedName name="FALLYR" localSheetId="0">[1]Data!$B$6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[3]DATA!$D$1:$D$39</definedName>
    <definedName name="LOADED1" localSheetId="44">#REF!</definedName>
    <definedName name="LOADED1" localSheetId="0">#REF!</definedName>
    <definedName name="LOADED1">#REF!</definedName>
    <definedName name="LOADED2" localSheetId="44">#REF!</definedName>
    <definedName name="LOADED2" localSheetId="0">#REF!</definedName>
    <definedName name="LOADED2">#REF!</definedName>
    <definedName name="LOADED3" localSheetId="44">#REF!</definedName>
    <definedName name="LOADED3" localSheetId="0">#REF!</definedName>
    <definedName name="LOADED3">#REF!</definedName>
    <definedName name="NOW" localSheetId="44">#REF!</definedName>
    <definedName name="NOW" localSheetId="0">#REF!</definedName>
    <definedName name="NOW">#REF!</definedName>
    <definedName name="OD_FINISH" localSheetId="44">#REF!</definedName>
    <definedName name="OD_FINISH" localSheetId="0">#REF!</definedName>
    <definedName name="OD_FINISH">#REF!</definedName>
    <definedName name="OD_FIRST" localSheetId="44">#REF!</definedName>
    <definedName name="OD_FIRST" localSheetId="0">#REF!</definedName>
    <definedName name="OD_FIRST">#REF!</definedName>
    <definedName name="OD_LAST" localSheetId="44">#REF!</definedName>
    <definedName name="OD_LAST" localSheetId="0">#REF!</definedName>
    <definedName name="OD_LAST">#REF!</definedName>
    <definedName name="OD_START" localSheetId="44">#REF!</definedName>
    <definedName name="OD_START" localSheetId="0">#REF!</definedName>
    <definedName name="OD_START">#REF!</definedName>
    <definedName name="ONE_AM" localSheetId="44">#REF!</definedName>
    <definedName name="ONE_AM" localSheetId="0">#REF!</definedName>
    <definedName name="ONE_AM">#REF!</definedName>
    <definedName name="ONE_PM" localSheetId="44">#REF!</definedName>
    <definedName name="ONE_PM" localSheetId="0">#REF!</definedName>
    <definedName name="ONE_PM">#REF!</definedName>
    <definedName name="OPYEAR" localSheetId="0">'[1]- 3 -'!$A$3</definedName>
    <definedName name="OPYEAR">'- 3 -'!$A$3</definedName>
    <definedName name="PrevY" localSheetId="0">[1]Data!$B$4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'- 62 -'!$A$1:$F$62</definedName>
    <definedName name="_xlnm.Print_Area" localSheetId="55">'- 63 -'!$A$2:$H$55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_xlnm.Print_Area" localSheetId="0">README!$B$1:$B$18</definedName>
    <definedName name="REVYEAR" localSheetId="0">'[1]- 42 -'!$B$1</definedName>
    <definedName name="REVYEAR">'- 41 -'!$B$1</definedName>
    <definedName name="SPRINGYR" localSheetId="0">[1]Data!$B$7</definedName>
    <definedName name="SPRINGYR">Data!$B$7</definedName>
    <definedName name="STAMP" localSheetId="44">#REF!</definedName>
    <definedName name="STAMP" localSheetId="0">#REF!</definedName>
    <definedName name="STAMP">#REF!</definedName>
    <definedName name="STATDATE" localSheetId="0">'[1]- 6 -'!$B$3</definedName>
    <definedName name="STATDATE">'- 6 -'!$B$3</definedName>
    <definedName name="TAXYEAR" localSheetId="47">'[4]- 46 -'!$B$3</definedName>
    <definedName name="TAXYEAR" localSheetId="0">'[1]- 52 -'!$B$3</definedName>
    <definedName name="TAXYEAR">'- 51 -'!$B$3</definedName>
    <definedName name="TOTAL1" localSheetId="44">#REF!</definedName>
    <definedName name="TOTAL1" localSheetId="0">#REF!</definedName>
    <definedName name="TOTAL1">#REF!</definedName>
    <definedName name="TOTAL2" localSheetId="44">#REF!</definedName>
    <definedName name="TOTAL2" localSheetId="0">#REF!</definedName>
    <definedName name="TOTAL2">#REF!</definedName>
    <definedName name="TOTAL3" localSheetId="44">#REF!</definedName>
    <definedName name="TOTAL3" localSheetId="0">#REF!</definedName>
    <definedName name="TOTAL3">#REF!</definedName>
    <definedName name="TWO" localSheetId="44">#REF!</definedName>
    <definedName name="TWO" localSheetId="0">#REF!</definedName>
    <definedName name="TWO">#REF!</definedName>
  </definedNames>
  <calcPr calcId="162913"/>
</workbook>
</file>

<file path=xl/calcChain.xml><?xml version="1.0" encoding="utf-8"?>
<calcChain xmlns="http://schemas.openxmlformats.org/spreadsheetml/2006/main">
  <c r="A57" i="78" l="1"/>
  <c r="D11" i="16" l="1"/>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H48" i="38659" l="1"/>
  <c r="H47" i="38659"/>
  <c r="H46" i="38659"/>
  <c r="H45" i="38659"/>
  <c r="H44" i="38659"/>
  <c r="H43" i="38659"/>
  <c r="H42" i="38659"/>
  <c r="H41" i="38659"/>
  <c r="H40" i="38659"/>
  <c r="H39" i="38659"/>
  <c r="H38" i="38659"/>
  <c r="H37" i="38659"/>
  <c r="H36" i="38659"/>
  <c r="H35" i="38659"/>
  <c r="H34" i="38659"/>
  <c r="H33" i="38659"/>
  <c r="H32" i="38659"/>
  <c r="H31" i="38659"/>
  <c r="H30" i="38659"/>
  <c r="H29" i="38659"/>
  <c r="H28" i="38659"/>
  <c r="H27" i="38659"/>
  <c r="H26" i="38659"/>
  <c r="H25" i="38659"/>
  <c r="H24" i="38659"/>
  <c r="H23" i="38659"/>
  <c r="H22" i="38659"/>
  <c r="H21" i="38659"/>
  <c r="H19" i="38659"/>
  <c r="H18" i="38659"/>
  <c r="H17" i="38659"/>
  <c r="H15" i="38659"/>
  <c r="H14" i="38659"/>
  <c r="H13" i="38659"/>
  <c r="P48" i="3188" l="1"/>
  <c r="O48" i="3188" l="1"/>
  <c r="N48" i="3188"/>
  <c r="D2" i="38658"/>
  <c r="D48" i="25" l="1"/>
  <c r="B57" i="3188" l="1"/>
  <c r="B58" i="3188" s="1"/>
  <c r="B59" i="3188" s="1"/>
  <c r="B60" i="3188" s="1"/>
  <c r="B61" i="3188" s="1"/>
  <c r="B62" i="3188" s="1"/>
  <c r="B63" i="3188" s="1"/>
  <c r="B64" i="3188" s="1"/>
  <c r="B65" i="3188" s="1"/>
  <c r="B66" i="3188" s="1"/>
  <c r="B67" i="3188" s="1"/>
  <c r="B68" i="3188" s="1"/>
  <c r="B69" i="3188" s="1"/>
  <c r="B70" i="3188" s="1"/>
  <c r="B71" i="3188" s="1"/>
  <c r="E48" i="26" l="1"/>
  <c r="B48" i="82" l="1"/>
  <c r="D48" i="48" l="1"/>
  <c r="C48" i="48"/>
  <c r="B48" i="48"/>
  <c r="F48" i="32"/>
  <c r="B48" i="35" l="1"/>
  <c r="B48" i="33"/>
  <c r="F48" i="34"/>
  <c r="D48" i="35"/>
  <c r="D48" i="33"/>
  <c r="B48" i="34"/>
  <c r="C48" i="33"/>
  <c r="D48" i="34"/>
  <c r="H48" i="26"/>
  <c r="B48" i="27" l="1"/>
  <c r="E48" i="38655"/>
  <c r="B48" i="38656"/>
  <c r="E48" i="8"/>
  <c r="E48" i="9"/>
  <c r="B48" i="7"/>
  <c r="E48" i="10"/>
  <c r="B48" i="11"/>
  <c r="H48" i="11"/>
  <c r="D48" i="82"/>
  <c r="H48" i="25"/>
  <c r="B48" i="9"/>
  <c r="H48" i="9"/>
  <c r="H48" i="10"/>
  <c r="B48" i="25"/>
  <c r="F48" i="25"/>
  <c r="H48" i="38655"/>
  <c r="E48" i="38656"/>
  <c r="B48" i="38655"/>
  <c r="B48" i="26"/>
  <c r="E48" i="11"/>
  <c r="B48" i="10"/>
  <c r="B48" i="8"/>
  <c r="B48" i="5" l="1"/>
  <c r="C13" i="46" l="1"/>
  <c r="C20" i="46"/>
  <c r="C12" i="46"/>
  <c r="C17" i="46"/>
  <c r="C21" i="46"/>
  <c r="C25" i="46"/>
  <c r="C28" i="46"/>
  <c r="C29" i="46"/>
  <c r="C32" i="46"/>
  <c r="C33" i="46"/>
  <c r="C36" i="46"/>
  <c r="C37" i="46"/>
  <c r="C40" i="46"/>
  <c r="C41" i="46"/>
  <c r="C44" i="46"/>
  <c r="C45" i="46"/>
  <c r="C51" i="46"/>
  <c r="C16" i="46"/>
  <c r="C24" i="46"/>
  <c r="F48" i="47"/>
  <c r="C48" i="81"/>
  <c r="E48" i="81"/>
  <c r="G48" i="81"/>
  <c r="E48" i="38665"/>
  <c r="G48" i="38665"/>
  <c r="C48" i="70"/>
  <c r="B48" i="45"/>
  <c r="F48" i="44"/>
  <c r="B48" i="44"/>
  <c r="D48" i="43"/>
  <c r="D48" i="37"/>
  <c r="B48" i="36"/>
  <c r="C14" i="46"/>
  <c r="C18" i="46"/>
  <c r="C22" i="46"/>
  <c r="C26" i="46"/>
  <c r="C30" i="46"/>
  <c r="C34" i="46"/>
  <c r="C38" i="46"/>
  <c r="C42" i="46"/>
  <c r="C46" i="46"/>
  <c r="C15" i="46"/>
  <c r="C19" i="46"/>
  <c r="C23" i="46"/>
  <c r="C27" i="46"/>
  <c r="C31" i="46"/>
  <c r="C35" i="46"/>
  <c r="C39" i="46"/>
  <c r="C43" i="46"/>
  <c r="C50" i="46"/>
  <c r="S48" i="3188"/>
  <c r="U48" i="3188"/>
  <c r="T48" i="3188"/>
  <c r="C48" i="47"/>
  <c r="D48" i="47"/>
  <c r="E48" i="47"/>
  <c r="B48" i="81"/>
  <c r="D48" i="81"/>
  <c r="F48" i="81"/>
  <c r="C48" i="38665"/>
  <c r="F48" i="38665"/>
  <c r="B48" i="70"/>
  <c r="D48" i="44"/>
  <c r="G48" i="43"/>
  <c r="C48" i="43"/>
  <c r="A53" i="44" s="1"/>
  <c r="D48" i="36"/>
  <c r="C11" i="46"/>
  <c r="F48" i="36"/>
  <c r="B48" i="37"/>
  <c r="H48" i="44"/>
  <c r="D48" i="45"/>
  <c r="B48" i="38665"/>
  <c r="B48" i="47"/>
  <c r="E48" i="43" l="1"/>
  <c r="R48" i="3188"/>
  <c r="F48" i="46"/>
  <c r="B48" i="52"/>
  <c r="D48" i="52"/>
  <c r="B48" i="46"/>
  <c r="E48" i="46"/>
  <c r="C48" i="78"/>
  <c r="D48" i="46"/>
  <c r="E48" i="78"/>
  <c r="D48" i="78"/>
  <c r="Q48" i="3188"/>
  <c r="C48" i="52"/>
  <c r="J48" i="3188"/>
  <c r="E48" i="3188"/>
  <c r="I48" i="3188"/>
  <c r="H48" i="3188"/>
  <c r="C48" i="3188"/>
  <c r="B48" i="78"/>
  <c r="D48" i="3188"/>
  <c r="F48" i="3188"/>
  <c r="G48" i="3188"/>
  <c r="I28" i="41" l="1"/>
  <c r="A3" i="38666" l="1"/>
  <c r="A3" i="38651"/>
  <c r="A3" i="38668" s="1"/>
  <c r="C48" i="38654" l="1"/>
  <c r="C46" i="38654"/>
  <c r="C45" i="38654"/>
  <c r="C44" i="38654"/>
  <c r="C43" i="38654"/>
  <c r="C42" i="38654"/>
  <c r="C41" i="38654"/>
  <c r="C40" i="38654"/>
  <c r="C39" i="38654"/>
  <c r="C38" i="38654"/>
  <c r="C37" i="38654"/>
  <c r="C36" i="38654"/>
  <c r="C35" i="38654"/>
  <c r="C34" i="38654"/>
  <c r="C33" i="38654"/>
  <c r="C32" i="38654"/>
  <c r="C31" i="38654"/>
  <c r="C30" i="38654"/>
  <c r="C29" i="38654"/>
  <c r="C28" i="38654"/>
  <c r="C27" i="38654"/>
  <c r="C26" i="38654"/>
  <c r="C25" i="38654"/>
  <c r="C24" i="38654"/>
  <c r="C23" i="38654"/>
  <c r="C22" i="38654"/>
  <c r="C21" i="38654"/>
  <c r="C20" i="38654"/>
  <c r="C19" i="38654"/>
  <c r="C18" i="38654"/>
  <c r="C17" i="38654"/>
  <c r="C16" i="38654"/>
  <c r="C15" i="38654"/>
  <c r="C14" i="38654"/>
  <c r="C13" i="38654"/>
  <c r="C12" i="38654"/>
  <c r="C11" i="38654"/>
  <c r="F48" i="38654"/>
  <c r="F46" i="38654"/>
  <c r="F45" i="38654"/>
  <c r="F44" i="38654"/>
  <c r="F43" i="38654"/>
  <c r="F42" i="38654"/>
  <c r="F41" i="38654"/>
  <c r="F40" i="38654"/>
  <c r="F39" i="38654"/>
  <c r="F38" i="38654"/>
  <c r="F37" i="38654"/>
  <c r="F36" i="38654"/>
  <c r="F35" i="38654"/>
  <c r="F34" i="38654"/>
  <c r="F33" i="38654"/>
  <c r="F32" i="38654"/>
  <c r="F31" i="38654"/>
  <c r="F30" i="38654"/>
  <c r="F29" i="38654"/>
  <c r="F28" i="38654"/>
  <c r="F27" i="38654"/>
  <c r="F26" i="38654"/>
  <c r="F25" i="38654"/>
  <c r="F24" i="38654"/>
  <c r="F23" i="38654"/>
  <c r="F22" i="38654"/>
  <c r="F21" i="38654"/>
  <c r="F20" i="38654"/>
  <c r="F19" i="38654"/>
  <c r="F18" i="38654"/>
  <c r="F17" i="38654"/>
  <c r="F16" i="38654"/>
  <c r="F15" i="38654"/>
  <c r="F14" i="38654"/>
  <c r="F13" i="38654"/>
  <c r="F12" i="38654"/>
  <c r="F11" i="38654"/>
  <c r="H47" i="23" l="1"/>
  <c r="I16" i="21"/>
  <c r="H48" i="22"/>
  <c r="I48" i="41" l="1"/>
  <c r="I50" i="41"/>
  <c r="I46" i="41"/>
  <c r="I45" i="41"/>
  <c r="I44" i="41"/>
  <c r="I43" i="41"/>
  <c r="I42" i="41"/>
  <c r="I41" i="41"/>
  <c r="I40" i="41"/>
  <c r="I39" i="41"/>
  <c r="I38" i="41"/>
  <c r="I37" i="41"/>
  <c r="I36" i="41"/>
  <c r="I35" i="41"/>
  <c r="I34" i="41"/>
  <c r="I33" i="41"/>
  <c r="I32" i="41"/>
  <c r="I31" i="41"/>
  <c r="I30" i="41"/>
  <c r="I29" i="41"/>
  <c r="I27" i="41"/>
  <c r="I26" i="41"/>
  <c r="I25" i="41"/>
  <c r="I24" i="41"/>
  <c r="I23" i="41"/>
  <c r="I22" i="41"/>
  <c r="I21" i="41"/>
  <c r="I20" i="41"/>
  <c r="I19" i="41"/>
  <c r="I18" i="41"/>
  <c r="I17" i="41"/>
  <c r="I16" i="41"/>
  <c r="I15" i="41"/>
  <c r="I14" i="41"/>
  <c r="I13" i="41"/>
  <c r="I12" i="41"/>
  <c r="I11" i="41"/>
  <c r="I9" i="41"/>
  <c r="B46" i="38668"/>
  <c r="B45" i="38668"/>
  <c r="B44" i="38668"/>
  <c r="B43" i="38668"/>
  <c r="B42" i="38668"/>
  <c r="B41" i="38668"/>
  <c r="B40" i="38668"/>
  <c r="B39" i="38668"/>
  <c r="B38" i="38668"/>
  <c r="B37" i="38668"/>
  <c r="B36" i="38668"/>
  <c r="B35" i="38668"/>
  <c r="B34" i="38668"/>
  <c r="B33" i="38668"/>
  <c r="B32" i="38668"/>
  <c r="B31" i="38668"/>
  <c r="B30" i="38668"/>
  <c r="B29" i="38668"/>
  <c r="B28" i="38668"/>
  <c r="B27" i="38668"/>
  <c r="B26" i="38668"/>
  <c r="B25" i="38668"/>
  <c r="B24" i="38668"/>
  <c r="B23" i="38668"/>
  <c r="B22" i="38668"/>
  <c r="B21" i="38668"/>
  <c r="B20" i="38668"/>
  <c r="B19" i="38668"/>
  <c r="B18" i="38668"/>
  <c r="B17" i="38668"/>
  <c r="B16" i="38668"/>
  <c r="B15" i="38668"/>
  <c r="B14" i="38668"/>
  <c r="B13" i="38668"/>
  <c r="B12" i="38668"/>
  <c r="D46" i="38668"/>
  <c r="D45" i="38668"/>
  <c r="D44" i="38668"/>
  <c r="D43" i="38668"/>
  <c r="D42" i="38668"/>
  <c r="D41" i="38668"/>
  <c r="D40" i="38668"/>
  <c r="D39" i="38668"/>
  <c r="D38" i="38668"/>
  <c r="D37" i="38668"/>
  <c r="D36" i="38668"/>
  <c r="D35" i="38668"/>
  <c r="D34" i="38668"/>
  <c r="D33" i="38668"/>
  <c r="D32" i="38668"/>
  <c r="D31" i="38668"/>
  <c r="D30" i="38668"/>
  <c r="D29" i="38668"/>
  <c r="D28" i="38668"/>
  <c r="D27" i="38668"/>
  <c r="D26" i="38668"/>
  <c r="D25" i="38668"/>
  <c r="D24" i="38668"/>
  <c r="D23" i="38668"/>
  <c r="D22" i="38668"/>
  <c r="D21" i="38668"/>
  <c r="D20" i="38668"/>
  <c r="D19" i="38668"/>
  <c r="D18" i="38668"/>
  <c r="D17" i="38668"/>
  <c r="D16" i="38668"/>
  <c r="D15" i="38668"/>
  <c r="D14" i="38668"/>
  <c r="D13" i="38668"/>
  <c r="D12" i="38668"/>
  <c r="D11" i="38668"/>
  <c r="B11" i="38668"/>
  <c r="I51" i="38648"/>
  <c r="I50" i="38648"/>
  <c r="I14" i="38648"/>
  <c r="I21" i="21"/>
  <c r="F45" i="23"/>
  <c r="F21" i="21" s="1"/>
  <c r="B45" i="23"/>
  <c r="F19" i="21" s="1"/>
  <c r="J28" i="23"/>
  <c r="D21" i="21"/>
  <c r="D19" i="21"/>
  <c r="B21" i="23"/>
  <c r="C19" i="21" s="1"/>
  <c r="J48" i="22"/>
  <c r="H45" i="22"/>
  <c r="F16" i="21" s="1"/>
  <c r="D45" i="22"/>
  <c r="F14" i="21" s="1"/>
  <c r="J34" i="23"/>
  <c r="F39" i="22"/>
  <c r="E15" i="21" s="1"/>
  <c r="D17" i="21"/>
  <c r="D16" i="21"/>
  <c r="D15" i="21"/>
  <c r="D14" i="21"/>
  <c r="D13" i="21"/>
  <c r="H21" i="22"/>
  <c r="C16" i="21" s="1"/>
  <c r="H50" i="23"/>
  <c r="J50" i="23" s="1"/>
  <c r="B7" i="3188"/>
  <c r="C52" i="38658"/>
  <c r="B89" i="3188"/>
  <c r="A53" i="81" s="1"/>
  <c r="B9" i="38648"/>
  <c r="C9" i="38648"/>
  <c r="D9" i="38667" s="1"/>
  <c r="G9" i="38667" s="1"/>
  <c r="H9" i="38648"/>
  <c r="K6" i="38667"/>
  <c r="L6" i="38667"/>
  <c r="J7" i="38667"/>
  <c r="K7" i="38667"/>
  <c r="L7" i="38667"/>
  <c r="J47" i="38667"/>
  <c r="K47" i="38667"/>
  <c r="L47" i="38667"/>
  <c r="K20" i="38659"/>
  <c r="I16" i="38658"/>
  <c r="I20" i="38658"/>
  <c r="H51" i="38658"/>
  <c r="B3" i="38654"/>
  <c r="G11" i="38648"/>
  <c r="G12" i="38648"/>
  <c r="F12" i="38651"/>
  <c r="G13" i="38648"/>
  <c r="F13" i="38651"/>
  <c r="G14" i="38648"/>
  <c r="G15" i="38648"/>
  <c r="F15" i="38651"/>
  <c r="G16" i="38648"/>
  <c r="F16" i="38651"/>
  <c r="G17" i="38648"/>
  <c r="F17" i="38651"/>
  <c r="G18" i="38648"/>
  <c r="F18" i="38651"/>
  <c r="G19" i="38648"/>
  <c r="F19" i="38651"/>
  <c r="G20" i="38648"/>
  <c r="F20" i="38651"/>
  <c r="G21" i="38648"/>
  <c r="F21" i="38651"/>
  <c r="G22" i="38648"/>
  <c r="F22" i="38651"/>
  <c r="G23" i="38648"/>
  <c r="F23" i="38651"/>
  <c r="G24" i="38648"/>
  <c r="F24" i="38651"/>
  <c r="G25" i="38648"/>
  <c r="F25" i="38651"/>
  <c r="G26" i="38648"/>
  <c r="F26" i="38651"/>
  <c r="G27" i="38648"/>
  <c r="F27" i="38651"/>
  <c r="G28" i="38648"/>
  <c r="F28" i="38651"/>
  <c r="G29" i="38648"/>
  <c r="F29" i="38651"/>
  <c r="G30" i="38648"/>
  <c r="F30" i="38651"/>
  <c r="G31" i="38648"/>
  <c r="F31" i="38651"/>
  <c r="G32" i="38648"/>
  <c r="F32" i="38651"/>
  <c r="G33" i="38648"/>
  <c r="F33" i="38651"/>
  <c r="G34" i="38648"/>
  <c r="F34" i="38651"/>
  <c r="G35" i="38648"/>
  <c r="F35" i="38651"/>
  <c r="G36" i="38648"/>
  <c r="F36" i="38651"/>
  <c r="G37" i="38648"/>
  <c r="F37" i="38651"/>
  <c r="G38" i="38648"/>
  <c r="F38" i="38651"/>
  <c r="G39" i="38648"/>
  <c r="F39" i="38651"/>
  <c r="G40" i="38648"/>
  <c r="F40" i="38651"/>
  <c r="G41" i="38648"/>
  <c r="F41" i="38651"/>
  <c r="G42" i="38648"/>
  <c r="F42" i="38651"/>
  <c r="G43" i="38648"/>
  <c r="F43" i="38651"/>
  <c r="G44" i="38648"/>
  <c r="F44" i="38651"/>
  <c r="G45" i="38648"/>
  <c r="F45" i="38651"/>
  <c r="G46" i="38648"/>
  <c r="F46" i="38651"/>
  <c r="G48" i="38648"/>
  <c r="E11" i="38651"/>
  <c r="I11" i="38651"/>
  <c r="E12" i="38651"/>
  <c r="I12" i="38651"/>
  <c r="E13" i="38651"/>
  <c r="I13" i="38651"/>
  <c r="E14" i="38651"/>
  <c r="I14" i="38651"/>
  <c r="E15" i="38651"/>
  <c r="I15" i="38651"/>
  <c r="E16" i="38651"/>
  <c r="I16" i="38651"/>
  <c r="E17" i="38651"/>
  <c r="I17" i="38651"/>
  <c r="E18" i="38651"/>
  <c r="I18" i="38651"/>
  <c r="E19" i="38651"/>
  <c r="G19" i="38651" s="1"/>
  <c r="I19" i="38648" s="1"/>
  <c r="I19" i="38651"/>
  <c r="E20" i="38651"/>
  <c r="I20" i="38651"/>
  <c r="E21" i="38651"/>
  <c r="I21" i="38651"/>
  <c r="E22" i="38651"/>
  <c r="I22" i="38651"/>
  <c r="E23" i="38651"/>
  <c r="G23" i="38651" s="1"/>
  <c r="I23" i="38648" s="1"/>
  <c r="I23" i="38651"/>
  <c r="E24" i="38651"/>
  <c r="I24" i="38651"/>
  <c r="E25" i="38651"/>
  <c r="I25" i="38651"/>
  <c r="E26" i="38651"/>
  <c r="G26" i="38651" s="1"/>
  <c r="I26" i="38648" s="1"/>
  <c r="I26" i="38651"/>
  <c r="E27" i="38651"/>
  <c r="I27" i="38651"/>
  <c r="E28" i="38651"/>
  <c r="I28" i="38651"/>
  <c r="E29" i="38651"/>
  <c r="I29" i="38651"/>
  <c r="E30" i="38651"/>
  <c r="I30" i="38651"/>
  <c r="E31" i="38651"/>
  <c r="I31" i="38651"/>
  <c r="E32" i="38651"/>
  <c r="G32" i="38651" s="1"/>
  <c r="J31" i="38651" s="1"/>
  <c r="I32" i="38651"/>
  <c r="E33" i="38651"/>
  <c r="I33" i="38651"/>
  <c r="E34" i="38651"/>
  <c r="G34" i="38651" s="1"/>
  <c r="J33" i="38651" s="1"/>
  <c r="I34" i="38651"/>
  <c r="E35" i="38651"/>
  <c r="I35" i="38651"/>
  <c r="E36" i="38651"/>
  <c r="I36" i="38651"/>
  <c r="E37" i="38651"/>
  <c r="I37" i="38651"/>
  <c r="E38" i="38651"/>
  <c r="I38" i="38651"/>
  <c r="E39" i="38651"/>
  <c r="I39" i="38651"/>
  <c r="E40" i="38651"/>
  <c r="I40" i="38651"/>
  <c r="E41" i="38651"/>
  <c r="I41" i="38651"/>
  <c r="E42" i="38651"/>
  <c r="I42" i="38651"/>
  <c r="E43" i="38651"/>
  <c r="I43" i="38651"/>
  <c r="E44" i="38651"/>
  <c r="I44" i="38651"/>
  <c r="E45" i="38651"/>
  <c r="I45" i="38651"/>
  <c r="E46" i="38651"/>
  <c r="B48" i="38651"/>
  <c r="B53" i="38651" s="1"/>
  <c r="C48" i="38651"/>
  <c r="C53" i="38651" s="1"/>
  <c r="D48" i="38651"/>
  <c r="D53" i="38651" s="1"/>
  <c r="E50" i="38651"/>
  <c r="E51" i="38651"/>
  <c r="A5" i="38662"/>
  <c r="B11" i="38662"/>
  <c r="C11" i="38662" s="1"/>
  <c r="B12" i="38662"/>
  <c r="C12" i="38662" s="1"/>
  <c r="B12" i="38654" s="1"/>
  <c r="D12" i="38654" s="1"/>
  <c r="B13" i="38662"/>
  <c r="C13" i="38662" s="1"/>
  <c r="B13" i="38654" s="1"/>
  <c r="D13" i="38654" s="1"/>
  <c r="B14" i="38662"/>
  <c r="C14" i="38662" s="1"/>
  <c r="B14" i="38654" s="1"/>
  <c r="D14" i="38654" s="1"/>
  <c r="B15" i="38662"/>
  <c r="C15" i="38662" s="1"/>
  <c r="B15" i="38654" s="1"/>
  <c r="D15" i="38654" s="1"/>
  <c r="B16" i="38662"/>
  <c r="C16" i="38662" s="1"/>
  <c r="B16" i="38654" s="1"/>
  <c r="D16" i="38654" s="1"/>
  <c r="B17" i="38662"/>
  <c r="C17" i="38662" s="1"/>
  <c r="B17" i="38654" s="1"/>
  <c r="D17" i="38654" s="1"/>
  <c r="B18" i="38662"/>
  <c r="C18" i="38662" s="1"/>
  <c r="B18" i="38654" s="1"/>
  <c r="D18" i="38654" s="1"/>
  <c r="B19" i="38662"/>
  <c r="C19" i="38662" s="1"/>
  <c r="B19" i="38654" s="1"/>
  <c r="D19" i="38654" s="1"/>
  <c r="B20" i="38662"/>
  <c r="C20" i="38662" s="1"/>
  <c r="B20" i="38654" s="1"/>
  <c r="D20" i="38654" s="1"/>
  <c r="B21" i="38662"/>
  <c r="C21" i="38662" s="1"/>
  <c r="B21" i="38654" s="1"/>
  <c r="D21" i="38654" s="1"/>
  <c r="B22" i="38662"/>
  <c r="C22" i="38662" s="1"/>
  <c r="B22" i="38654" s="1"/>
  <c r="D22" i="38654" s="1"/>
  <c r="B23" i="38662"/>
  <c r="C23" i="38662" s="1"/>
  <c r="B23" i="38654" s="1"/>
  <c r="D23" i="38654" s="1"/>
  <c r="B24" i="38662"/>
  <c r="C24" i="38662" s="1"/>
  <c r="B24" i="38654" s="1"/>
  <c r="D24" i="38654" s="1"/>
  <c r="B25" i="38662"/>
  <c r="C25" i="38662" s="1"/>
  <c r="B25" i="38654" s="1"/>
  <c r="D25" i="38654" s="1"/>
  <c r="B26" i="38662"/>
  <c r="C26" i="38662" s="1"/>
  <c r="B26" i="38654" s="1"/>
  <c r="D26" i="38654" s="1"/>
  <c r="B27" i="38662"/>
  <c r="C27" i="38662" s="1"/>
  <c r="B27" i="38654" s="1"/>
  <c r="D27" i="38654" s="1"/>
  <c r="B28" i="38662"/>
  <c r="C28" i="38662" s="1"/>
  <c r="B28" i="38654" s="1"/>
  <c r="D28" i="38654" s="1"/>
  <c r="B29" i="38662"/>
  <c r="C29" i="38662" s="1"/>
  <c r="B29" i="38654" s="1"/>
  <c r="D29" i="38654" s="1"/>
  <c r="B30" i="38662"/>
  <c r="C30" i="38662" s="1"/>
  <c r="B30" i="38654" s="1"/>
  <c r="D30" i="38654" s="1"/>
  <c r="B31" i="38662"/>
  <c r="C31" i="38662" s="1"/>
  <c r="B31" i="38654" s="1"/>
  <c r="D31" i="38654" s="1"/>
  <c r="B32" i="38662"/>
  <c r="C32" i="38662" s="1"/>
  <c r="B32" i="38654" s="1"/>
  <c r="D32" i="38654" s="1"/>
  <c r="B33" i="38662"/>
  <c r="C33" i="38662" s="1"/>
  <c r="B33" i="38654" s="1"/>
  <c r="D33" i="38654" s="1"/>
  <c r="B34" i="38662"/>
  <c r="C34" i="38662" s="1"/>
  <c r="B34" i="38654" s="1"/>
  <c r="D34" i="38654" s="1"/>
  <c r="B35" i="38662"/>
  <c r="C35" i="38662" s="1"/>
  <c r="B35" i="38654" s="1"/>
  <c r="D35" i="38654" s="1"/>
  <c r="B36" i="38662"/>
  <c r="C36" i="38662" s="1"/>
  <c r="B36" i="38654" s="1"/>
  <c r="D36" i="38654" s="1"/>
  <c r="B37" i="38662"/>
  <c r="C37" i="38662" s="1"/>
  <c r="B37" i="38654" s="1"/>
  <c r="D37" i="38654" s="1"/>
  <c r="B38" i="38662"/>
  <c r="C38" i="38662" s="1"/>
  <c r="B38" i="38654" s="1"/>
  <c r="D38" i="38654" s="1"/>
  <c r="B39" i="38662"/>
  <c r="C39" i="38662" s="1"/>
  <c r="B39" i="38654" s="1"/>
  <c r="D39" i="38654" s="1"/>
  <c r="B40" i="38662"/>
  <c r="C40" i="38662" s="1"/>
  <c r="B40" i="38654" s="1"/>
  <c r="D40" i="38654" s="1"/>
  <c r="B41" i="38662"/>
  <c r="C41" i="38662" s="1"/>
  <c r="B41" i="38654" s="1"/>
  <c r="D41" i="38654" s="1"/>
  <c r="B42" i="38662"/>
  <c r="C42" i="38662" s="1"/>
  <c r="B42" i="38654" s="1"/>
  <c r="D42" i="38654" s="1"/>
  <c r="B43" i="38662"/>
  <c r="C43" i="38662" s="1"/>
  <c r="B43" i="38654" s="1"/>
  <c r="D43" i="38654" s="1"/>
  <c r="B44" i="38662"/>
  <c r="C44" i="38662" s="1"/>
  <c r="B44" i="38654" s="1"/>
  <c r="D44" i="38654" s="1"/>
  <c r="B45" i="38662"/>
  <c r="C45" i="38662" s="1"/>
  <c r="B45" i="38654" s="1"/>
  <c r="D45" i="38654" s="1"/>
  <c r="B46" i="38662"/>
  <c r="C46" i="38662" s="1"/>
  <c r="B46" i="38654" s="1"/>
  <c r="D46" i="38654" s="1"/>
  <c r="B50" i="38662"/>
  <c r="B51" i="38662"/>
  <c r="C51" i="38662" s="1"/>
  <c r="A2" i="38665"/>
  <c r="A2" i="38670" s="1"/>
  <c r="D14" i="40"/>
  <c r="D27" i="40"/>
  <c r="D50" i="40"/>
  <c r="D50" i="39"/>
  <c r="F50" i="39"/>
  <c r="H50" i="39"/>
  <c r="B48" i="16"/>
  <c r="C48" i="16"/>
  <c r="F48" i="16"/>
  <c r="D50" i="16"/>
  <c r="D51" i="16"/>
  <c r="B3" i="14"/>
  <c r="B3" i="17" s="1"/>
  <c r="F11" i="38651"/>
  <c r="J44" i="23"/>
  <c r="I17" i="21"/>
  <c r="J41" i="23"/>
  <c r="J13" i="23"/>
  <c r="F51" i="23"/>
  <c r="J45" i="22"/>
  <c r="F17" i="21" s="1"/>
  <c r="D21" i="23"/>
  <c r="J15" i="23"/>
  <c r="F39" i="23"/>
  <c r="E21" i="21" s="1"/>
  <c r="K22" i="21"/>
  <c r="J19" i="23"/>
  <c r="J37" i="23"/>
  <c r="J42" i="23"/>
  <c r="J43" i="23"/>
  <c r="D20" i="21"/>
  <c r="J22" i="23"/>
  <c r="J24" i="23"/>
  <c r="J38" i="23"/>
  <c r="H48" i="23"/>
  <c r="J48" i="23" s="1"/>
  <c r="G25" i="21"/>
  <c r="B39" i="23"/>
  <c r="E19" i="21" s="1"/>
  <c r="J21" i="22"/>
  <c r="D21" i="22"/>
  <c r="C14" i="21" s="1"/>
  <c r="F21" i="22"/>
  <c r="C15" i="21" s="1"/>
  <c r="B45" i="22"/>
  <c r="D39" i="23"/>
  <c r="E20" i="21" s="1"/>
  <c r="J27" i="23"/>
  <c r="D45" i="23"/>
  <c r="F20" i="21" s="1"/>
  <c r="I15" i="21"/>
  <c r="F48" i="22"/>
  <c r="J14" i="23"/>
  <c r="F21" i="23"/>
  <c r="C21" i="21" s="1"/>
  <c r="J29" i="23"/>
  <c r="J17" i="23"/>
  <c r="J30" i="23"/>
  <c r="J31" i="23"/>
  <c r="J32" i="23"/>
  <c r="J33" i="23"/>
  <c r="J35" i="23"/>
  <c r="H25" i="21"/>
  <c r="H49" i="23"/>
  <c r="J49" i="23" s="1"/>
  <c r="B39" i="22"/>
  <c r="E13" i="21" s="1"/>
  <c r="J20" i="23"/>
  <c r="J26" i="23"/>
  <c r="J25" i="23"/>
  <c r="J18" i="23"/>
  <c r="C24" i="38658" l="1"/>
  <c r="G18" i="38651"/>
  <c r="I18" i="38648" s="1"/>
  <c r="C47" i="38658"/>
  <c r="C45" i="38658"/>
  <c r="C43" i="38658"/>
  <c r="C41" i="38658"/>
  <c r="C39" i="38658"/>
  <c r="C37" i="38658"/>
  <c r="C35" i="38658"/>
  <c r="C33" i="38658"/>
  <c r="C31" i="38658"/>
  <c r="C29" i="38658"/>
  <c r="C27" i="38658"/>
  <c r="C25" i="38658"/>
  <c r="C23" i="38658"/>
  <c r="C21" i="38658"/>
  <c r="C19" i="38658"/>
  <c r="C17" i="38658"/>
  <c r="C15" i="38658"/>
  <c r="C48" i="38658"/>
  <c r="C46" i="38658"/>
  <c r="C44" i="38658"/>
  <c r="C42" i="38658"/>
  <c r="C40" i="38658"/>
  <c r="C38" i="38658"/>
  <c r="C36" i="38658"/>
  <c r="C34" i="38658"/>
  <c r="C32" i="38658"/>
  <c r="C30" i="38658"/>
  <c r="C28" i="38658"/>
  <c r="C26" i="38658"/>
  <c r="C22" i="38658"/>
  <c r="C18" i="38658"/>
  <c r="C14" i="38658"/>
  <c r="C13" i="38658"/>
  <c r="G43" i="38651"/>
  <c r="I43" i="38648" s="1"/>
  <c r="G39" i="38651"/>
  <c r="I39" i="38648" s="1"/>
  <c r="G33" i="38651"/>
  <c r="I33" i="38648" s="1"/>
  <c r="G12" i="38651"/>
  <c r="J12" i="38651" s="1"/>
  <c r="G27" i="38651"/>
  <c r="I27" i="38648" s="1"/>
  <c r="G41" i="38651"/>
  <c r="I41" i="38648" s="1"/>
  <c r="G35" i="38651"/>
  <c r="I35" i="38648" s="1"/>
  <c r="G31" i="38651"/>
  <c r="I31" i="38648" s="1"/>
  <c r="G15" i="38651"/>
  <c r="I15" i="38648" s="1"/>
  <c r="G11" i="38651"/>
  <c r="I11" i="38648" s="1"/>
  <c r="B2" i="32"/>
  <c r="B2" i="33" s="1"/>
  <c r="E7" i="70"/>
  <c r="C3" i="70"/>
  <c r="B48" i="38668"/>
  <c r="D48" i="38668"/>
  <c r="J22" i="38651"/>
  <c r="B2" i="38659"/>
  <c r="A3" i="5"/>
  <c r="B3" i="36" s="1"/>
  <c r="B2" i="38663"/>
  <c r="B1" i="43"/>
  <c r="B2" i="48"/>
  <c r="G42" i="38651"/>
  <c r="I42" i="38648" s="1"/>
  <c r="G40" i="38651"/>
  <c r="J39" i="38651" s="1"/>
  <c r="B3" i="15"/>
  <c r="B9" i="38667"/>
  <c r="F9" i="38667" s="1"/>
  <c r="A3" i="38648"/>
  <c r="A3" i="38667" s="1"/>
  <c r="H51" i="23"/>
  <c r="H53" i="23" s="1"/>
  <c r="I42" i="38666"/>
  <c r="B48" i="38662"/>
  <c r="B53" i="38662" s="1"/>
  <c r="E48" i="38651"/>
  <c r="E53" i="38651" s="1"/>
  <c r="J18" i="38651"/>
  <c r="I40" i="38666"/>
  <c r="L48" i="3188"/>
  <c r="D9" i="38648"/>
  <c r="I32" i="38666"/>
  <c r="I24" i="38666"/>
  <c r="E50" i="38658"/>
  <c r="C50" i="38659"/>
  <c r="I43" i="38666"/>
  <c r="I33" i="38666"/>
  <c r="I15" i="38666"/>
  <c r="I14" i="38666"/>
  <c r="I50" i="38666"/>
  <c r="I46" i="38666"/>
  <c r="I41" i="38666"/>
  <c r="I38" i="38666"/>
  <c r="I35" i="38666"/>
  <c r="I29" i="38666"/>
  <c r="I28" i="38666"/>
  <c r="I26" i="38666"/>
  <c r="I25" i="38666"/>
  <c r="I19" i="38666"/>
  <c r="I16" i="38666"/>
  <c r="I12" i="38666"/>
  <c r="C48" i="38666"/>
  <c r="D53" i="23"/>
  <c r="K19" i="21"/>
  <c r="B53" i="23"/>
  <c r="B50" i="38658"/>
  <c r="J50" i="38659"/>
  <c r="I51" i="38666"/>
  <c r="I45" i="38666"/>
  <c r="I44" i="38666"/>
  <c r="I39" i="38666"/>
  <c r="I37" i="38666"/>
  <c r="I36" i="38666"/>
  <c r="I34" i="38666"/>
  <c r="I31" i="38666"/>
  <c r="I30" i="38666"/>
  <c r="I27" i="38666"/>
  <c r="I23" i="38666"/>
  <c r="I22" i="38666"/>
  <c r="I21" i="38666"/>
  <c r="I20" i="38666"/>
  <c r="I18" i="38666"/>
  <c r="I17" i="38666"/>
  <c r="I13" i="38666"/>
  <c r="H48" i="38666"/>
  <c r="B48" i="38666"/>
  <c r="G48" i="38666"/>
  <c r="E48" i="38666"/>
  <c r="F53" i="23"/>
  <c r="D25" i="21"/>
  <c r="D48" i="16"/>
  <c r="D50" i="38659"/>
  <c r="F48" i="38666"/>
  <c r="D48" i="38666"/>
  <c r="I11" i="38666"/>
  <c r="M48" i="3188"/>
  <c r="G30" i="38651"/>
  <c r="J29" i="38651" s="1"/>
  <c r="G25" i="38651"/>
  <c r="I25" i="38648" s="1"/>
  <c r="G24" i="38651"/>
  <c r="J23" i="38651" s="1"/>
  <c r="G46" i="38651"/>
  <c r="I46" i="38648" s="1"/>
  <c r="G45" i="38651"/>
  <c r="I45" i="38648" s="1"/>
  <c r="G44" i="38651"/>
  <c r="J43" i="38651" s="1"/>
  <c r="G38" i="38651"/>
  <c r="J37" i="38651" s="1"/>
  <c r="G37" i="38651"/>
  <c r="I37" i="38648" s="1"/>
  <c r="G36" i="38651"/>
  <c r="J35" i="38651" s="1"/>
  <c r="G29" i="38651"/>
  <c r="I29" i="38648" s="1"/>
  <c r="G28" i="38651"/>
  <c r="I28" i="38648" s="1"/>
  <c r="G22" i="38651"/>
  <c r="I22" i="38648" s="1"/>
  <c r="G21" i="38651"/>
  <c r="I21" i="38648" s="1"/>
  <c r="G20" i="38651"/>
  <c r="I20" i="38648" s="1"/>
  <c r="G17" i="38651"/>
  <c r="I17" i="38648" s="1"/>
  <c r="G13" i="38651"/>
  <c r="J13" i="38651" s="1"/>
  <c r="J51" i="23"/>
  <c r="G16" i="38651"/>
  <c r="F48" i="38651"/>
  <c r="M47" i="38667"/>
  <c r="I47" i="38667" s="1"/>
  <c r="J14" i="38651"/>
  <c r="J30" i="38651"/>
  <c r="J25" i="38651"/>
  <c r="J17" i="38651"/>
  <c r="J16" i="23"/>
  <c r="C48" i="38662"/>
  <c r="C53" i="38662" s="1"/>
  <c r="B11" i="38654"/>
  <c r="H39" i="22"/>
  <c r="I12" i="38648"/>
  <c r="I32" i="38648"/>
  <c r="I34" i="38648"/>
  <c r="J36" i="23"/>
  <c r="K21" i="21"/>
  <c r="B21" i="22"/>
  <c r="C13" i="21" s="1"/>
  <c r="D39" i="22"/>
  <c r="J39" i="22"/>
  <c r="J50" i="22" s="1"/>
  <c r="F45" i="22"/>
  <c r="F15" i="21" s="1"/>
  <c r="K15" i="21" s="1"/>
  <c r="C20" i="21"/>
  <c r="K20" i="21" s="1"/>
  <c r="I25" i="21"/>
  <c r="C17" i="21"/>
  <c r="F13" i="21"/>
  <c r="J32" i="38651" l="1"/>
  <c r="I40" i="38648"/>
  <c r="J41" i="38651"/>
  <c r="J26" i="38651"/>
  <c r="J34" i="38651"/>
  <c r="I30" i="38648"/>
  <c r="J11" i="38651"/>
  <c r="J38" i="38651"/>
  <c r="G48" i="38651"/>
  <c r="I48" i="38648" s="1"/>
  <c r="J40" i="38651"/>
  <c r="J42" i="38651"/>
  <c r="J16" i="38651"/>
  <c r="I38" i="38648"/>
  <c r="B3" i="54"/>
  <c r="I24" i="38648"/>
  <c r="J24" i="38651"/>
  <c r="J19" i="38651"/>
  <c r="I44" i="38648"/>
  <c r="J27" i="38651"/>
  <c r="J28" i="38651"/>
  <c r="J21" i="38651"/>
  <c r="I13" i="38648"/>
  <c r="J45" i="38651"/>
  <c r="J36" i="38651"/>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i="22"/>
  <c r="J21" i="23"/>
  <c r="C50" i="38658"/>
  <c r="I16" i="38648"/>
  <c r="J15" i="38651"/>
  <c r="E16" i="21"/>
  <c r="K16" i="21" s="1"/>
  <c r="H50" i="22"/>
  <c r="D11" i="38654"/>
  <c r="D48" i="38654" s="1"/>
  <c r="B48" i="38654"/>
  <c r="E17" i="21"/>
  <c r="K17" i="21" s="1"/>
  <c r="J39" i="23"/>
  <c r="J45" i="23"/>
  <c r="E14" i="21"/>
  <c r="D50" i="22"/>
  <c r="C25" i="21"/>
  <c r="F25" i="21"/>
  <c r="K13" i="21"/>
  <c r="J53" i="23" l="1"/>
  <c r="K50" i="22" s="1"/>
  <c r="N27" i="23" s="1"/>
  <c r="K14" i="21"/>
  <c r="K25" i="21" s="1"/>
  <c r="E25" i="21"/>
  <c r="I24" i="22" l="1"/>
  <c r="E43" i="23"/>
  <c r="C20" i="22"/>
  <c r="C35" i="22"/>
  <c r="E45" i="23"/>
  <c r="C41" i="23"/>
  <c r="G39" i="23"/>
  <c r="E32" i="23"/>
  <c r="C27" i="23"/>
  <c r="G53" i="23"/>
  <c r="N30" i="23" s="1"/>
  <c r="G30" i="22"/>
  <c r="C30" i="22"/>
  <c r="E26" i="23"/>
  <c r="E21" i="23"/>
  <c r="E25" i="23"/>
  <c r="K20" i="22"/>
  <c r="I35" i="22"/>
  <c r="G36" i="22"/>
  <c r="K48" i="23"/>
  <c r="N16" i="23" s="1"/>
  <c r="I25" i="22"/>
  <c r="K51" i="23"/>
  <c r="C50" i="22"/>
  <c r="N23" i="23" s="1"/>
  <c r="G15" i="23"/>
  <c r="E50" i="22"/>
  <c r="N24" i="23" s="1"/>
  <c r="C21" i="22"/>
  <c r="K44" i="22"/>
  <c r="K28" i="23"/>
  <c r="C15" i="23"/>
  <c r="G34" i="23"/>
  <c r="C32" i="22"/>
  <c r="C33" i="22"/>
  <c r="E38" i="23"/>
  <c r="G43" i="23"/>
  <c r="K22" i="23"/>
  <c r="N13" i="23" s="1"/>
  <c r="C20" i="23"/>
  <c r="G15" i="22"/>
  <c r="E41" i="22"/>
  <c r="K26" i="22"/>
  <c r="E44" i="23"/>
  <c r="C17" i="23"/>
  <c r="E36" i="22"/>
  <c r="I17" i="22"/>
  <c r="I30" i="22"/>
  <c r="K41" i="23"/>
  <c r="C14" i="22"/>
  <c r="G33" i="23"/>
  <c r="K17" i="22"/>
  <c r="I37" i="22"/>
  <c r="E16" i="22"/>
  <c r="G18" i="23"/>
  <c r="K38" i="23"/>
  <c r="G38" i="22"/>
  <c r="E18" i="23"/>
  <c r="K49" i="23"/>
  <c r="G28" i="22"/>
  <c r="G20" i="22"/>
  <c r="K25" i="22"/>
  <c r="G39" i="22"/>
  <c r="E32" i="22"/>
  <c r="K35" i="23"/>
  <c r="E38" i="22"/>
  <c r="C28" i="22"/>
  <c r="G18" i="22"/>
  <c r="I15" i="22"/>
  <c r="C39" i="23"/>
  <c r="G21" i="22"/>
  <c r="G24" i="23"/>
  <c r="C26" i="23"/>
  <c r="E17" i="22"/>
  <c r="I44" i="22"/>
  <c r="K41" i="22"/>
  <c r="G14" i="22"/>
  <c r="I38" i="22"/>
  <c r="I50" i="23"/>
  <c r="C45" i="22"/>
  <c r="K50" i="23"/>
  <c r="G29" i="22"/>
  <c r="G32" i="23"/>
  <c r="I34" i="22"/>
  <c r="I53" i="23"/>
  <c r="N31" i="23" s="1"/>
  <c r="I50" i="22"/>
  <c r="N26" i="23" s="1"/>
  <c r="I39" i="22"/>
  <c r="I14" i="22"/>
  <c r="K44" i="23"/>
  <c r="K18" i="22"/>
  <c r="I42" i="22"/>
  <c r="G42" i="23"/>
  <c r="C31" i="23"/>
  <c r="G22" i="22"/>
  <c r="G28" i="23"/>
  <c r="I33" i="22"/>
  <c r="K26" i="23"/>
  <c r="K35" i="22"/>
  <c r="I48" i="23"/>
  <c r="E42" i="22"/>
  <c r="K36" i="22"/>
  <c r="G45" i="22"/>
  <c r="C24" i="23"/>
  <c r="E25" i="22"/>
  <c r="K21" i="22"/>
  <c r="E43" i="22"/>
  <c r="G42" i="22"/>
  <c r="E29" i="23"/>
  <c r="I18" i="22"/>
  <c r="I29" i="22"/>
  <c r="K32" i="23"/>
  <c r="K31" i="23"/>
  <c r="G43" i="22"/>
  <c r="K24" i="22"/>
  <c r="G29" i="23"/>
  <c r="G26" i="22"/>
  <c r="I22" i="22"/>
  <c r="E24" i="22"/>
  <c r="K33" i="23"/>
  <c r="C25" i="23"/>
  <c r="C27" i="22"/>
  <c r="G38" i="23"/>
  <c r="G22" i="23"/>
  <c r="E28" i="23"/>
  <c r="K15" i="23"/>
  <c r="E34" i="23"/>
  <c r="K20" i="23"/>
  <c r="I28" i="22"/>
  <c r="K27" i="23"/>
  <c r="G25" i="22"/>
  <c r="C44" i="23"/>
  <c r="G44" i="22"/>
  <c r="C36" i="22"/>
  <c r="G27" i="22"/>
  <c r="C36" i="23"/>
  <c r="E39" i="22"/>
  <c r="G36" i="23"/>
  <c r="I20" i="22"/>
  <c r="E31" i="23"/>
  <c r="K37" i="22"/>
  <c r="E22" i="22"/>
  <c r="I26" i="22"/>
  <c r="C44" i="22"/>
  <c r="C34" i="22"/>
  <c r="C37" i="23"/>
  <c r="K21" i="23"/>
  <c r="N12" i="23" s="1"/>
  <c r="K30" i="23"/>
  <c r="K25" i="23"/>
  <c r="E53" i="23"/>
  <c r="N29" i="23" s="1"/>
  <c r="I51" i="23"/>
  <c r="G44" i="23"/>
  <c r="K14" i="23"/>
  <c r="C39" i="22"/>
  <c r="E39" i="23"/>
  <c r="G17" i="23"/>
  <c r="C43" i="23"/>
  <c r="G24" i="22"/>
  <c r="E31" i="22"/>
  <c r="E20" i="23"/>
  <c r="C42" i="23"/>
  <c r="E34" i="22"/>
  <c r="G31" i="22"/>
  <c r="K14" i="22"/>
  <c r="K16" i="23"/>
  <c r="G17" i="22"/>
  <c r="C28" i="23"/>
  <c r="G37" i="23"/>
  <c r="E33" i="23"/>
  <c r="K45" i="22"/>
  <c r="G37" i="22"/>
  <c r="C35" i="23"/>
  <c r="C24" i="22"/>
  <c r="G41" i="22"/>
  <c r="E17" i="23"/>
  <c r="C14" i="23"/>
  <c r="C38" i="23"/>
  <c r="K28" i="22"/>
  <c r="K18" i="23"/>
  <c r="C30" i="23"/>
  <c r="E35" i="22"/>
  <c r="K29" i="23"/>
  <c r="I49" i="23"/>
  <c r="K45" i="23"/>
  <c r="N15" i="23" s="1"/>
  <c r="C41" i="22"/>
  <c r="I32" i="22"/>
  <c r="G27" i="23"/>
  <c r="E27" i="23"/>
  <c r="K38" i="22"/>
  <c r="C17" i="22"/>
  <c r="E30" i="23"/>
  <c r="K37" i="23"/>
  <c r="K31" i="22"/>
  <c r="I43" i="22"/>
  <c r="C53" i="23"/>
  <c r="N28" i="23" s="1"/>
  <c r="G16" i="23"/>
  <c r="E19" i="22"/>
  <c r="E16" i="23"/>
  <c r="K43" i="23"/>
  <c r="C15" i="22"/>
  <c r="C22" i="23"/>
  <c r="C31" i="22"/>
  <c r="E14" i="23"/>
  <c r="G34" i="22"/>
  <c r="K43" i="22"/>
  <c r="E36" i="23"/>
  <c r="C21" i="23"/>
  <c r="E26" i="22"/>
  <c r="C25" i="22"/>
  <c r="E45" i="22"/>
  <c r="I41" i="22"/>
  <c r="K17" i="23"/>
  <c r="K39" i="23"/>
  <c r="N14" i="23" s="1"/>
  <c r="G21" i="23"/>
  <c r="E21" i="22"/>
  <c r="I45" i="22"/>
  <c r="K15" i="22"/>
  <c r="I31" i="22"/>
  <c r="K29" i="22"/>
  <c r="C43" i="22"/>
  <c r="C26" i="22"/>
  <c r="C18" i="23"/>
  <c r="E42" i="23"/>
  <c r="K22" i="22"/>
  <c r="C38" i="22"/>
  <c r="G31" i="23"/>
  <c r="E37" i="23"/>
  <c r="E24" i="23"/>
  <c r="G25" i="23"/>
  <c r="I27" i="22"/>
  <c r="K53" i="23"/>
  <c r="K42" i="23"/>
  <c r="C16" i="22"/>
  <c r="C16" i="23"/>
  <c r="K27" i="22"/>
  <c r="E15" i="22"/>
  <c r="G33" i="22"/>
  <c r="K32" i="22"/>
  <c r="I36" i="22"/>
  <c r="E20" i="22"/>
  <c r="C42" i="22"/>
  <c r="K24" i="23"/>
  <c r="G30" i="23"/>
  <c r="E27" i="22"/>
  <c r="E15" i="23"/>
  <c r="K13" i="23"/>
  <c r="E33" i="22"/>
  <c r="K33" i="22"/>
  <c r="I16" i="22"/>
  <c r="G32" i="22"/>
  <c r="C29" i="22"/>
  <c r="E30" i="22"/>
  <c r="G14" i="23"/>
  <c r="K16" i="22"/>
  <c r="C45" i="23"/>
  <c r="E35" i="23"/>
  <c r="E28" i="22"/>
  <c r="G35" i="23"/>
  <c r="K36" i="23"/>
  <c r="K34" i="22"/>
  <c r="I21" i="22"/>
  <c r="E44" i="22"/>
  <c r="K34" i="23"/>
  <c r="K42" i="22"/>
  <c r="G26" i="23"/>
  <c r="C33" i="23"/>
  <c r="E22" i="23"/>
  <c r="K30" i="22"/>
  <c r="G45" i="23"/>
  <c r="G16" i="22"/>
  <c r="E37" i="22"/>
  <c r="G41" i="23"/>
  <c r="E18" i="22"/>
  <c r="C18" i="22"/>
  <c r="C29" i="23"/>
  <c r="C37" i="22"/>
  <c r="E14" i="22"/>
  <c r="C34" i="23"/>
  <c r="E41" i="23"/>
  <c r="G35" i="22"/>
  <c r="C22" i="22"/>
  <c r="C32" i="23"/>
  <c r="E29" i="22"/>
  <c r="G20" i="23"/>
  <c r="K19" i="23"/>
  <c r="K39" i="22"/>
  <c r="G50" i="22"/>
  <c r="N25" i="23" s="1"/>
  <c r="N17" i="23" l="1"/>
  <c r="N19" i="23" s="1"/>
  <c r="N33" i="23"/>
  <c r="G29" i="8" l="1"/>
  <c r="G29" i="9"/>
  <c r="C29" i="38670"/>
  <c r="E29" i="52"/>
  <c r="C29" i="15" l="1"/>
  <c r="E29" i="15" s="1"/>
  <c r="E29" i="41" s="1"/>
  <c r="E30" i="52"/>
  <c r="E29" i="33"/>
  <c r="B29" i="38670"/>
  <c r="D29" i="70"/>
  <c r="H29" i="20"/>
  <c r="G29" i="47"/>
  <c r="G30" i="47"/>
  <c r="E29" i="7"/>
  <c r="F29" i="52"/>
  <c r="F29" i="78" l="1"/>
  <c r="B29" i="43" s="1"/>
  <c r="E29" i="16"/>
  <c r="F30" i="52"/>
  <c r="I29" i="7"/>
  <c r="G29" i="7"/>
  <c r="H29" i="7"/>
  <c r="F29" i="7"/>
  <c r="J29" i="20"/>
  <c r="D29" i="7"/>
  <c r="F29" i="43" l="1"/>
  <c r="H29" i="43" s="1"/>
  <c r="F30" i="78"/>
  <c r="B30" i="43" s="1"/>
  <c r="F30" i="43" s="1"/>
  <c r="H30" i="43" s="1"/>
  <c r="K29" i="3188"/>
  <c r="C29" i="5" s="1"/>
  <c r="F30" i="45"/>
  <c r="D29" i="9"/>
  <c r="B29" i="39"/>
  <c r="G29" i="38656"/>
  <c r="E29" i="18"/>
  <c r="D29" i="10"/>
  <c r="J29" i="11"/>
  <c r="G29" i="38655"/>
  <c r="J29" i="26"/>
  <c r="H29" i="18"/>
  <c r="D29" i="27"/>
  <c r="D29" i="76" s="1"/>
  <c r="B29" i="76"/>
  <c r="B29" i="41"/>
  <c r="D29" i="19"/>
  <c r="D29" i="26"/>
  <c r="D29" i="8"/>
  <c r="B29" i="18"/>
  <c r="G29" i="26"/>
  <c r="J29" i="38655"/>
  <c r="D29" i="11"/>
  <c r="D29" i="38656"/>
  <c r="F29" i="41"/>
  <c r="G29" i="41" s="1"/>
  <c r="J29" i="9"/>
  <c r="G29" i="10"/>
  <c r="B29" i="40"/>
  <c r="D29" i="40" s="1"/>
  <c r="G29" i="11"/>
  <c r="B29" i="19"/>
  <c r="E29" i="20"/>
  <c r="F29" i="45"/>
  <c r="B29" i="20"/>
  <c r="I29" i="45" l="1"/>
  <c r="G29" i="44" s="1"/>
  <c r="E29" i="42" s="1"/>
  <c r="I30" i="45"/>
  <c r="C30" i="44" s="1"/>
  <c r="C30" i="42" s="1"/>
  <c r="G29" i="20"/>
  <c r="D29" i="20"/>
  <c r="D29" i="38655"/>
  <c r="G29" i="19"/>
  <c r="C29" i="41"/>
  <c r="D29" i="41"/>
  <c r="E29" i="5"/>
  <c r="D31" i="38658"/>
  <c r="J29" i="38667"/>
  <c r="D29" i="18"/>
  <c r="F29" i="19"/>
  <c r="K29" i="38667"/>
  <c r="G29" i="18"/>
  <c r="D29" i="39"/>
  <c r="H29" i="39"/>
  <c r="F29" i="3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i="38667" s="1"/>
  <c r="I31" i="38658"/>
  <c r="F31" i="38659"/>
  <c r="J29" i="42" l="1"/>
  <c r="J30" i="42"/>
  <c r="J30" i="9" l="1"/>
  <c r="G30" i="9"/>
  <c r="C30" i="38670"/>
  <c r="E30" i="7" l="1"/>
  <c r="G30" i="7" s="1"/>
  <c r="D31" i="70"/>
  <c r="E30" i="33"/>
  <c r="C30" i="15"/>
  <c r="E30" i="15" s="1"/>
  <c r="H30" i="20"/>
  <c r="D30" i="70"/>
  <c r="B30" i="38670"/>
  <c r="F30" i="7" l="1"/>
  <c r="I30" i="7"/>
  <c r="H30" i="7"/>
  <c r="D30" i="7"/>
  <c r="J30" i="20"/>
  <c r="E30" i="41"/>
  <c r="E30" i="16"/>
  <c r="J51" i="9" l="1"/>
  <c r="G51" i="9"/>
  <c r="G50" i="8"/>
  <c r="J50" i="9"/>
  <c r="G50" i="9"/>
  <c r="G46" i="9"/>
  <c r="J45" i="9"/>
  <c r="G45" i="9"/>
  <c r="G44" i="8"/>
  <c r="J44" i="9"/>
  <c r="J43" i="9"/>
  <c r="G43" i="9"/>
  <c r="J42" i="9"/>
  <c r="G42" i="9"/>
  <c r="G41" i="8"/>
  <c r="J41" i="9"/>
  <c r="G41" i="9"/>
  <c r="G40" i="9"/>
  <c r="J39" i="9"/>
  <c r="G39" i="9"/>
  <c r="G38" i="9"/>
  <c r="G37" i="8"/>
  <c r="G37" i="9"/>
  <c r="J36" i="9"/>
  <c r="G36" i="9"/>
  <c r="G35" i="9"/>
  <c r="G34" i="9"/>
  <c r="J33" i="9"/>
  <c r="G33" i="9"/>
  <c r="G32" i="9"/>
  <c r="J31" i="9"/>
  <c r="G31" i="9"/>
  <c r="G28" i="8"/>
  <c r="J28" i="9"/>
  <c r="G28" i="9"/>
  <c r="J27" i="9"/>
  <c r="G27" i="9"/>
  <c r="G26" i="9"/>
  <c r="G25" i="9"/>
  <c r="G24" i="9"/>
  <c r="J23" i="9"/>
  <c r="G23" i="9"/>
  <c r="G22" i="8"/>
  <c r="J22" i="9"/>
  <c r="G22" i="9"/>
  <c r="G21" i="8"/>
  <c r="J21" i="9"/>
  <c r="G21" i="9"/>
  <c r="J20" i="9"/>
  <c r="G20" i="9"/>
  <c r="J19" i="9"/>
  <c r="G19" i="9"/>
  <c r="J18" i="9"/>
  <c r="G18" i="9"/>
  <c r="J17" i="9"/>
  <c r="G17" i="9"/>
  <c r="J16" i="9"/>
  <c r="G16" i="9"/>
  <c r="J15" i="9"/>
  <c r="G15" i="9"/>
  <c r="G14" i="8"/>
  <c r="J14" i="9"/>
  <c r="G13" i="9"/>
  <c r="J12" i="9"/>
  <c r="G12" i="9"/>
  <c r="F48" i="14"/>
  <c r="F51" i="39"/>
  <c r="D51" i="40"/>
  <c r="D51" i="39"/>
  <c r="C51" i="38670"/>
  <c r="C50" i="38670"/>
  <c r="C46" i="38670"/>
  <c r="C45" i="38670"/>
  <c r="C44" i="38670"/>
  <c r="C43" i="38670"/>
  <c r="C42" i="38670"/>
  <c r="C41" i="38670"/>
  <c r="C40" i="38670"/>
  <c r="C39" i="38670"/>
  <c r="C38" i="38670"/>
  <c r="C37" i="38670"/>
  <c r="C36" i="38670"/>
  <c r="C35" i="38670"/>
  <c r="C34" i="38670"/>
  <c r="C33" i="38670"/>
  <c r="C32" i="38670"/>
  <c r="C31" i="38670"/>
  <c r="B31" i="38670" s="1"/>
  <c r="C28" i="38670"/>
  <c r="C27" i="38670"/>
  <c r="C26" i="38670"/>
  <c r="C25" i="38670"/>
  <c r="C24" i="38670"/>
  <c r="C23" i="38670"/>
  <c r="C22" i="38670"/>
  <c r="C21" i="38670"/>
  <c r="C20" i="38670"/>
  <c r="C19" i="38670"/>
  <c r="C18" i="38670"/>
  <c r="C17" i="38670"/>
  <c r="C16" i="38670"/>
  <c r="C15" i="38670"/>
  <c r="C14" i="38670"/>
  <c r="C13" i="38670"/>
  <c r="C12" i="38670"/>
  <c r="H48" i="14" l="1"/>
  <c r="E21" i="33"/>
  <c r="E43" i="33"/>
  <c r="E25" i="33"/>
  <c r="E50" i="33"/>
  <c r="C12" i="15"/>
  <c r="E12" i="15" s="1"/>
  <c r="E12" i="16" s="1"/>
  <c r="C13" i="15"/>
  <c r="E13" i="15" s="1"/>
  <c r="E13" i="41" s="1"/>
  <c r="C14" i="15"/>
  <c r="E14" i="15" s="1"/>
  <c r="E14" i="16" s="1"/>
  <c r="C15" i="15"/>
  <c r="E15" i="15" s="1"/>
  <c r="E15" i="41" s="1"/>
  <c r="C16" i="15"/>
  <c r="E16" i="15" s="1"/>
  <c r="E16" i="41" s="1"/>
  <c r="C17" i="15"/>
  <c r="E17" i="15" s="1"/>
  <c r="E17" i="16" s="1"/>
  <c r="C18" i="15"/>
  <c r="E18" i="15" s="1"/>
  <c r="E18" i="16" s="1"/>
  <c r="C19" i="15"/>
  <c r="E19" i="15" s="1"/>
  <c r="E19" i="41" s="1"/>
  <c r="C20" i="15"/>
  <c r="E20" i="15" s="1"/>
  <c r="E20" i="16" s="1"/>
  <c r="C23" i="15"/>
  <c r="E23" i="15" s="1"/>
  <c r="E23" i="16" s="1"/>
  <c r="C24" i="15"/>
  <c r="E24" i="15" s="1"/>
  <c r="E24" i="41" s="1"/>
  <c r="C25" i="15"/>
  <c r="E25" i="15" s="1"/>
  <c r="E25" i="41" s="1"/>
  <c r="C26" i="15"/>
  <c r="E26" i="15" s="1"/>
  <c r="E26" i="16" s="1"/>
  <c r="C27" i="15"/>
  <c r="E27" i="15" s="1"/>
  <c r="E27" i="41" s="1"/>
  <c r="C31" i="15"/>
  <c r="E31" i="15" s="1"/>
  <c r="E31" i="16" s="1"/>
  <c r="C32" i="15"/>
  <c r="E32" i="15" s="1"/>
  <c r="E32" i="16" s="1"/>
  <c r="C33" i="15"/>
  <c r="E33" i="15" s="1"/>
  <c r="E33" i="41" s="1"/>
  <c r="C34" i="15"/>
  <c r="E34" i="15" s="1"/>
  <c r="E34" i="16" s="1"/>
  <c r="C35" i="15"/>
  <c r="E35" i="15" s="1"/>
  <c r="E35" i="16" s="1"/>
  <c r="C21" i="15"/>
  <c r="E21" i="15" s="1"/>
  <c r="E21" i="16" s="1"/>
  <c r="C22" i="15"/>
  <c r="E22" i="15" s="1"/>
  <c r="E22" i="41" s="1"/>
  <c r="C28" i="15"/>
  <c r="E28" i="15" s="1"/>
  <c r="E28" i="16" s="1"/>
  <c r="G50" i="47"/>
  <c r="G45" i="47"/>
  <c r="G43" i="47"/>
  <c r="G41" i="47"/>
  <c r="G39" i="47"/>
  <c r="G35" i="47"/>
  <c r="G33" i="47"/>
  <c r="G31" i="47"/>
  <c r="G27" i="47"/>
  <c r="G25" i="47"/>
  <c r="G23" i="47"/>
  <c r="G21" i="47"/>
  <c r="G19" i="47"/>
  <c r="G17" i="47"/>
  <c r="G15" i="47"/>
  <c r="D18" i="70"/>
  <c r="D14" i="70"/>
  <c r="G11" i="47"/>
  <c r="B27" i="38670"/>
  <c r="D27" i="70"/>
  <c r="D25" i="70"/>
  <c r="B23" i="38670"/>
  <c r="D23" i="70"/>
  <c r="D21" i="70"/>
  <c r="B19" i="38670"/>
  <c r="D19" i="70"/>
  <c r="D17" i="70"/>
  <c r="B15" i="38670"/>
  <c r="D15" i="70"/>
  <c r="D13" i="70"/>
  <c r="H13" i="20"/>
  <c r="H17" i="20"/>
  <c r="H21" i="20"/>
  <c r="H25" i="20"/>
  <c r="H31" i="20"/>
  <c r="H35" i="20"/>
  <c r="H39" i="20"/>
  <c r="H43" i="20"/>
  <c r="H50" i="20"/>
  <c r="D48" i="14"/>
  <c r="J11" i="9"/>
  <c r="G37" i="47"/>
  <c r="G51" i="47"/>
  <c r="G46" i="47"/>
  <c r="G44" i="47"/>
  <c r="G42" i="47"/>
  <c r="G40" i="47"/>
  <c r="G38" i="47"/>
  <c r="G36" i="47"/>
  <c r="G34" i="47"/>
  <c r="G32" i="47"/>
  <c r="G28" i="47"/>
  <c r="G26" i="47"/>
  <c r="G24" i="47"/>
  <c r="G22" i="47"/>
  <c r="G20" i="47"/>
  <c r="G18" i="47"/>
  <c r="G16" i="47"/>
  <c r="G14" i="47"/>
  <c r="G12" i="47"/>
  <c r="E22" i="33"/>
  <c r="E26" i="33"/>
  <c r="E36" i="33"/>
  <c r="E44" i="33"/>
  <c r="E36" i="7"/>
  <c r="E37" i="7"/>
  <c r="E38" i="7"/>
  <c r="E39" i="7"/>
  <c r="E40" i="7"/>
  <c r="E41" i="7"/>
  <c r="E42" i="7"/>
  <c r="E43" i="7"/>
  <c r="E44" i="7"/>
  <c r="E45" i="7"/>
  <c r="E46" i="7"/>
  <c r="E50" i="7"/>
  <c r="E51" i="7"/>
  <c r="B28" i="38670"/>
  <c r="D28" i="70"/>
  <c r="D16" i="70"/>
  <c r="D51" i="70"/>
  <c r="D46" i="70"/>
  <c r="D44" i="70"/>
  <c r="D42" i="70"/>
  <c r="B40" i="38670"/>
  <c r="D40" i="70"/>
  <c r="D38" i="70"/>
  <c r="D36" i="70"/>
  <c r="D34" i="70"/>
  <c r="D32" i="70"/>
  <c r="H12" i="20"/>
  <c r="H16" i="20"/>
  <c r="H20" i="20"/>
  <c r="H24" i="20"/>
  <c r="H28" i="20"/>
  <c r="H34" i="20"/>
  <c r="H38" i="20"/>
  <c r="H42" i="20"/>
  <c r="H46" i="20"/>
  <c r="C48" i="40"/>
  <c r="G11" i="9"/>
  <c r="C48" i="14"/>
  <c r="G13" i="47"/>
  <c r="E51" i="52"/>
  <c r="E46" i="52"/>
  <c r="F46" i="52" s="1"/>
  <c r="E44" i="52"/>
  <c r="E42" i="52"/>
  <c r="F42" i="52" s="1"/>
  <c r="E40" i="52"/>
  <c r="E38" i="52"/>
  <c r="F38" i="52" s="1"/>
  <c r="E36" i="52"/>
  <c r="E34" i="52"/>
  <c r="F34" i="52" s="1"/>
  <c r="E32" i="52"/>
  <c r="E28" i="52"/>
  <c r="F28" i="52" s="1"/>
  <c r="E26" i="52"/>
  <c r="E24" i="52"/>
  <c r="F24" i="52" s="1"/>
  <c r="E22" i="52"/>
  <c r="E20" i="52"/>
  <c r="F20" i="52" s="1"/>
  <c r="E18" i="52"/>
  <c r="E16" i="52"/>
  <c r="F16" i="52" s="1"/>
  <c r="E14" i="52"/>
  <c r="E12" i="52"/>
  <c r="F12" i="52" s="1"/>
  <c r="E13" i="33"/>
  <c r="E14" i="33"/>
  <c r="E17" i="33"/>
  <c r="E18" i="33"/>
  <c r="E31" i="33"/>
  <c r="E32" i="33"/>
  <c r="E35" i="33"/>
  <c r="E39" i="33"/>
  <c r="E40" i="33"/>
  <c r="E51" i="33"/>
  <c r="B21" i="38670"/>
  <c r="B25" i="38670"/>
  <c r="B38" i="38670"/>
  <c r="B42" i="38670"/>
  <c r="B51" i="38670"/>
  <c r="G48" i="14"/>
  <c r="D24" i="70"/>
  <c r="H11" i="20"/>
  <c r="B48" i="38"/>
  <c r="H15" i="20"/>
  <c r="H19" i="20"/>
  <c r="H23" i="20"/>
  <c r="H27" i="20"/>
  <c r="H33" i="20"/>
  <c r="H37" i="20"/>
  <c r="H41" i="20"/>
  <c r="H45" i="20"/>
  <c r="F48" i="38"/>
  <c r="D48" i="38"/>
  <c r="B48" i="14"/>
  <c r="C11" i="15"/>
  <c r="E12" i="41"/>
  <c r="E33" i="16"/>
  <c r="D26" i="70"/>
  <c r="D22" i="70"/>
  <c r="D20" i="70"/>
  <c r="D12" i="70"/>
  <c r="B50" i="38670"/>
  <c r="D50" i="70"/>
  <c r="B45" i="38670"/>
  <c r="D45" i="70"/>
  <c r="D43" i="70"/>
  <c r="B41" i="38670"/>
  <c r="D41" i="70"/>
  <c r="D39" i="70"/>
  <c r="B37" i="38670"/>
  <c r="D37" i="70"/>
  <c r="B35" i="38670"/>
  <c r="D35" i="70"/>
  <c r="B33" i="38670"/>
  <c r="D33" i="70"/>
  <c r="H14" i="20"/>
  <c r="H18" i="20"/>
  <c r="H22" i="20"/>
  <c r="H26" i="20"/>
  <c r="H32" i="20"/>
  <c r="H36" i="20"/>
  <c r="H40" i="20"/>
  <c r="H44" i="20"/>
  <c r="H51" i="20"/>
  <c r="C11" i="38670"/>
  <c r="E11" i="7"/>
  <c r="E48" i="14"/>
  <c r="B48" i="15"/>
  <c r="G11" i="8"/>
  <c r="E50" i="52"/>
  <c r="E45" i="52"/>
  <c r="E43" i="52"/>
  <c r="E41" i="52"/>
  <c r="E39" i="52"/>
  <c r="E37" i="52"/>
  <c r="E35" i="52"/>
  <c r="E33" i="52"/>
  <c r="E31" i="52"/>
  <c r="E27" i="52"/>
  <c r="E25" i="52"/>
  <c r="E23" i="52"/>
  <c r="E21" i="52"/>
  <c r="E19" i="52"/>
  <c r="E17" i="52"/>
  <c r="E15" i="52"/>
  <c r="E13" i="52"/>
  <c r="E11" i="52"/>
  <c r="E12" i="33"/>
  <c r="E15" i="33"/>
  <c r="E16" i="33"/>
  <c r="E19" i="33"/>
  <c r="E20" i="33"/>
  <c r="E23" i="33"/>
  <c r="E24" i="33"/>
  <c r="E27" i="33"/>
  <c r="E28" i="33"/>
  <c r="E33" i="33"/>
  <c r="E34" i="33"/>
  <c r="E37" i="33"/>
  <c r="E38" i="33"/>
  <c r="E41" i="33"/>
  <c r="E42" i="33"/>
  <c r="E45" i="33"/>
  <c r="E46" i="33"/>
  <c r="B12" i="38670"/>
  <c r="B13" i="38670"/>
  <c r="B14" i="38670"/>
  <c r="B16" i="38670"/>
  <c r="B17" i="38670"/>
  <c r="B18" i="38670"/>
  <c r="B20" i="38670"/>
  <c r="B22" i="38670"/>
  <c r="B24" i="38670"/>
  <c r="B26" i="38670"/>
  <c r="B32" i="38670"/>
  <c r="B34" i="38670"/>
  <c r="B36" i="38670"/>
  <c r="B39" i="38670"/>
  <c r="B43" i="38670"/>
  <c r="B44" i="38670"/>
  <c r="B46" i="38670"/>
  <c r="E12" i="7"/>
  <c r="E13" i="7"/>
  <c r="E14" i="7"/>
  <c r="E15" i="7"/>
  <c r="E16" i="7"/>
  <c r="E17" i="7"/>
  <c r="E18" i="7"/>
  <c r="E19" i="7"/>
  <c r="E20" i="7"/>
  <c r="E21" i="7"/>
  <c r="E22" i="7"/>
  <c r="E23" i="7"/>
  <c r="E24" i="7"/>
  <c r="E25" i="7"/>
  <c r="E26" i="7"/>
  <c r="E27" i="7"/>
  <c r="E28" i="7"/>
  <c r="E31" i="7"/>
  <c r="E32" i="7"/>
  <c r="E33" i="7"/>
  <c r="E34" i="7"/>
  <c r="E35" i="7"/>
  <c r="C36" i="15"/>
  <c r="E36" i="15" s="1"/>
  <c r="C37" i="15"/>
  <c r="E37" i="15" s="1"/>
  <c r="C38" i="15"/>
  <c r="E38" i="15" s="1"/>
  <c r="C39" i="15"/>
  <c r="E39" i="15" s="1"/>
  <c r="C40" i="15"/>
  <c r="E40" i="15" s="1"/>
  <c r="C41" i="15"/>
  <c r="E41" i="15" s="1"/>
  <c r="C42" i="15"/>
  <c r="E42" i="15" s="1"/>
  <c r="C43" i="15"/>
  <c r="E43" i="15" s="1"/>
  <c r="C44" i="15"/>
  <c r="E44" i="15" s="1"/>
  <c r="C45" i="15"/>
  <c r="E45" i="15" s="1"/>
  <c r="C46" i="15"/>
  <c r="E46" i="15" s="1"/>
  <c r="C50" i="15"/>
  <c r="E50" i="15" s="1"/>
  <c r="C51" i="15"/>
  <c r="E51" i="15" s="1"/>
  <c r="E22" i="16" l="1"/>
  <c r="E26" i="41"/>
  <c r="E16" i="16"/>
  <c r="E20" i="41"/>
  <c r="E23" i="41"/>
  <c r="E27" i="16"/>
  <c r="E34" i="41"/>
  <c r="E28" i="41"/>
  <c r="E17" i="41"/>
  <c r="E13" i="16"/>
  <c r="E35" i="41"/>
  <c r="F12" i="78"/>
  <c r="B12" i="43" s="1"/>
  <c r="F12" i="43" s="1"/>
  <c r="H12" i="43" s="1"/>
  <c r="E14" i="41"/>
  <c r="E31" i="41"/>
  <c r="E24" i="16"/>
  <c r="E18" i="41"/>
  <c r="F20" i="78"/>
  <c r="B20" i="43" s="1"/>
  <c r="F20" i="43" s="1"/>
  <c r="H20" i="43" s="1"/>
  <c r="F28" i="78"/>
  <c r="B28" i="43" s="1"/>
  <c r="F28" i="43" s="1"/>
  <c r="H28" i="43" s="1"/>
  <c r="F38" i="78"/>
  <c r="B38" i="43" s="1"/>
  <c r="F38" i="43" s="1"/>
  <c r="H38" i="43" s="1"/>
  <c r="F46" i="78"/>
  <c r="B46" i="43" s="1"/>
  <c r="E25" i="16"/>
  <c r="F26" i="52"/>
  <c r="F26" i="78" s="1"/>
  <c r="B26" i="43" s="1"/>
  <c r="F26" i="43" s="1"/>
  <c r="H26" i="43" s="1"/>
  <c r="F36" i="52"/>
  <c r="F36" i="78" s="1"/>
  <c r="B36" i="43" s="1"/>
  <c r="F36" i="43" s="1"/>
  <c r="H36" i="43" s="1"/>
  <c r="F44" i="52"/>
  <c r="F44" i="78" s="1"/>
  <c r="B44" i="43" s="1"/>
  <c r="F44" i="43" s="1"/>
  <c r="H44" i="43" s="1"/>
  <c r="F24" i="78"/>
  <c r="B24" i="43" s="1"/>
  <c r="F24" i="43" s="1"/>
  <c r="H24" i="43" s="1"/>
  <c r="F42" i="78"/>
  <c r="B42" i="43" s="1"/>
  <c r="F42" i="43" s="1"/>
  <c r="H42" i="43" s="1"/>
  <c r="F18" i="52"/>
  <c r="F18" i="78" s="1"/>
  <c r="B18" i="43" s="1"/>
  <c r="F18" i="43" s="1"/>
  <c r="H18" i="43" s="1"/>
  <c r="E21" i="41"/>
  <c r="E19" i="16"/>
  <c r="E15" i="16"/>
  <c r="F34" i="78"/>
  <c r="B34" i="43" s="1"/>
  <c r="F34" i="43" s="1"/>
  <c r="H34" i="43" s="1"/>
  <c r="E32" i="41"/>
  <c r="F16" i="78"/>
  <c r="B16" i="43" s="1"/>
  <c r="F16" i="43" s="1"/>
  <c r="H16" i="43" s="1"/>
  <c r="C48" i="46"/>
  <c r="A54" i="46" s="1"/>
  <c r="F14" i="52"/>
  <c r="K30" i="3188"/>
  <c r="C30" i="5" s="1"/>
  <c r="B15" i="41"/>
  <c r="F19" i="52"/>
  <c r="F27" i="52"/>
  <c r="F37" i="52"/>
  <c r="F45" i="52"/>
  <c r="F13" i="52"/>
  <c r="F13" i="78" s="1"/>
  <c r="B13" i="43" s="1"/>
  <c r="F13" i="43" s="1"/>
  <c r="H13" i="43" s="1"/>
  <c r="F51" i="52"/>
  <c r="F22" i="52"/>
  <c r="F22" i="78" s="1"/>
  <c r="B22" i="43" s="1"/>
  <c r="F22" i="43" s="1"/>
  <c r="H22" i="43" s="1"/>
  <c r="F39" i="52"/>
  <c r="F31" i="52"/>
  <c r="G27" i="38656"/>
  <c r="G36" i="26"/>
  <c r="J50" i="11"/>
  <c r="F32" i="52"/>
  <c r="F17" i="52"/>
  <c r="F25" i="52"/>
  <c r="F35" i="52"/>
  <c r="F43" i="52"/>
  <c r="F21" i="52"/>
  <c r="F11" i="52"/>
  <c r="F11" i="78" s="1"/>
  <c r="F40" i="52"/>
  <c r="D25" i="8"/>
  <c r="B28" i="41"/>
  <c r="B33" i="41"/>
  <c r="G50" i="26"/>
  <c r="J36" i="11"/>
  <c r="F50" i="52"/>
  <c r="F15" i="52"/>
  <c r="F23" i="52"/>
  <c r="F33" i="52"/>
  <c r="F41" i="52"/>
  <c r="D32" i="38656"/>
  <c r="J30" i="11"/>
  <c r="G51" i="26"/>
  <c r="G35" i="11"/>
  <c r="J37" i="38655"/>
  <c r="D13" i="8"/>
  <c r="J30" i="26"/>
  <c r="D30" i="11"/>
  <c r="E30" i="20"/>
  <c r="B30" i="41"/>
  <c r="G30" i="38655"/>
  <c r="B30" i="39"/>
  <c r="F30" i="41"/>
  <c r="G30" i="41" s="1"/>
  <c r="F17" i="41"/>
  <c r="G17" i="41" s="1"/>
  <c r="F39" i="45"/>
  <c r="F50" i="45"/>
  <c r="E51" i="16"/>
  <c r="E51" i="41"/>
  <c r="E44" i="41"/>
  <c r="E44" i="16"/>
  <c r="E40" i="16"/>
  <c r="E40" i="41"/>
  <c r="E36" i="16"/>
  <c r="E36" i="41"/>
  <c r="H27" i="7"/>
  <c r="I27" i="7"/>
  <c r="F27" i="7"/>
  <c r="G27" i="7"/>
  <c r="F25" i="7"/>
  <c r="H25" i="7"/>
  <c r="I25" i="7"/>
  <c r="D25" i="7"/>
  <c r="G25" i="7"/>
  <c r="F23" i="7"/>
  <c r="I23" i="7"/>
  <c r="H23" i="7"/>
  <c r="G23" i="7"/>
  <c r="D23" i="7"/>
  <c r="H20" i="7"/>
  <c r="F20" i="7"/>
  <c r="I20" i="7"/>
  <c r="D20" i="7"/>
  <c r="G20" i="7"/>
  <c r="D18" i="7"/>
  <c r="H18" i="7"/>
  <c r="F18" i="7"/>
  <c r="G18" i="7"/>
  <c r="I18" i="7"/>
  <c r="G16" i="7"/>
  <c r="H16" i="7"/>
  <c r="F16" i="7"/>
  <c r="I16" i="7"/>
  <c r="D11" i="7"/>
  <c r="G11" i="7"/>
  <c r="E48" i="7"/>
  <c r="F11" i="7"/>
  <c r="I11" i="7"/>
  <c r="H11" i="7"/>
  <c r="J44" i="20"/>
  <c r="J36" i="20"/>
  <c r="J26" i="20"/>
  <c r="J18" i="20"/>
  <c r="J41" i="20"/>
  <c r="J33" i="20"/>
  <c r="J23" i="20"/>
  <c r="J15" i="20"/>
  <c r="D44" i="7"/>
  <c r="G44" i="7"/>
  <c r="F44" i="7"/>
  <c r="H44" i="7"/>
  <c r="I44" i="7"/>
  <c r="G42" i="7"/>
  <c r="H42" i="7"/>
  <c r="F42" i="7"/>
  <c r="I42" i="7"/>
  <c r="G37" i="7"/>
  <c r="H37" i="7"/>
  <c r="F37" i="7"/>
  <c r="I37" i="7"/>
  <c r="J50" i="20"/>
  <c r="J39" i="20"/>
  <c r="J31" i="20"/>
  <c r="J21" i="20"/>
  <c r="J13" i="20"/>
  <c r="G48" i="47"/>
  <c r="D30" i="38656"/>
  <c r="J30" i="38655"/>
  <c r="F46" i="41"/>
  <c r="G46" i="41" s="1"/>
  <c r="D39" i="38656"/>
  <c r="D30" i="8"/>
  <c r="J22" i="11"/>
  <c r="G19" i="11"/>
  <c r="E45" i="41"/>
  <c r="E45" i="16"/>
  <c r="E41" i="41"/>
  <c r="E41" i="16"/>
  <c r="E37" i="41"/>
  <c r="E37" i="16"/>
  <c r="G34" i="7"/>
  <c r="I34" i="7"/>
  <c r="H34" i="7"/>
  <c r="F34" i="7"/>
  <c r="I32" i="7"/>
  <c r="H32" i="7"/>
  <c r="G32" i="7"/>
  <c r="F32" i="7"/>
  <c r="G14" i="7"/>
  <c r="D14" i="7"/>
  <c r="H14" i="7"/>
  <c r="F14" i="7"/>
  <c r="I14" i="7"/>
  <c r="F12" i="7"/>
  <c r="I12" i="7"/>
  <c r="H12" i="7"/>
  <c r="G12" i="7"/>
  <c r="D12" i="7"/>
  <c r="B11" i="38670"/>
  <c r="B48" i="38670" s="1"/>
  <c r="C48" i="38670"/>
  <c r="H48" i="20"/>
  <c r="J42" i="20"/>
  <c r="J34" i="20"/>
  <c r="J24" i="20"/>
  <c r="J16" i="20"/>
  <c r="F50" i="7"/>
  <c r="G50" i="7"/>
  <c r="D50" i="7"/>
  <c r="I50" i="7"/>
  <c r="H50" i="7"/>
  <c r="H45" i="7"/>
  <c r="I45" i="7"/>
  <c r="F45" i="7"/>
  <c r="G45" i="7"/>
  <c r="G40" i="7"/>
  <c r="D40" i="7"/>
  <c r="H40" i="7"/>
  <c r="I40" i="7"/>
  <c r="F40" i="7"/>
  <c r="G38" i="7"/>
  <c r="F38" i="7"/>
  <c r="I38" i="7"/>
  <c r="H38" i="7"/>
  <c r="D26" i="38656"/>
  <c r="B30" i="20"/>
  <c r="G30" i="26"/>
  <c r="D17" i="27"/>
  <c r="D17" i="76" s="1"/>
  <c r="B17" i="76"/>
  <c r="F27" i="45"/>
  <c r="D30" i="9"/>
  <c r="D18" i="8"/>
  <c r="D20" i="8"/>
  <c r="B37" i="41"/>
  <c r="B16" i="41"/>
  <c r="B30" i="19"/>
  <c r="G30" i="10"/>
  <c r="D30" i="26"/>
  <c r="D30" i="19"/>
  <c r="D30" i="27"/>
  <c r="D30" i="76" s="1"/>
  <c r="B30" i="76"/>
  <c r="F38" i="45"/>
  <c r="E46" i="41"/>
  <c r="E46" i="16"/>
  <c r="E42" i="16"/>
  <c r="E42" i="41"/>
  <c r="E38" i="41"/>
  <c r="E38" i="16"/>
  <c r="G28" i="7"/>
  <c r="F28" i="7"/>
  <c r="D28" i="7"/>
  <c r="H28" i="7"/>
  <c r="I28" i="7"/>
  <c r="H26" i="7"/>
  <c r="I26" i="7"/>
  <c r="G26" i="7"/>
  <c r="F26" i="7"/>
  <c r="I24" i="7"/>
  <c r="G24" i="7"/>
  <c r="F24" i="7"/>
  <c r="H24" i="7"/>
  <c r="H21" i="7"/>
  <c r="G21" i="7"/>
  <c r="F21" i="7"/>
  <c r="I21" i="7"/>
  <c r="G19" i="7"/>
  <c r="D19" i="7"/>
  <c r="H19" i="7"/>
  <c r="I19" i="7"/>
  <c r="F19" i="7"/>
  <c r="I17" i="7"/>
  <c r="F17" i="7"/>
  <c r="D17" i="7"/>
  <c r="G17" i="7"/>
  <c r="H17" i="7"/>
  <c r="F15" i="7"/>
  <c r="G15" i="7"/>
  <c r="D15" i="7"/>
  <c r="I15" i="7"/>
  <c r="H15" i="7"/>
  <c r="J51" i="20"/>
  <c r="J40" i="20"/>
  <c r="J32" i="20"/>
  <c r="J22" i="20"/>
  <c r="J14" i="20"/>
  <c r="J45" i="20"/>
  <c r="J37" i="20"/>
  <c r="J27" i="20"/>
  <c r="J19" i="20"/>
  <c r="F51" i="7"/>
  <c r="G51" i="7"/>
  <c r="I51" i="7"/>
  <c r="D51" i="7"/>
  <c r="H51" i="7"/>
  <c r="F43" i="7"/>
  <c r="I43" i="7"/>
  <c r="G43" i="7"/>
  <c r="H43" i="7"/>
  <c r="D43" i="7"/>
  <c r="G36" i="7"/>
  <c r="I36" i="7"/>
  <c r="D36" i="7"/>
  <c r="F36" i="7"/>
  <c r="H36" i="7"/>
  <c r="J43" i="20"/>
  <c r="J35" i="20"/>
  <c r="J25" i="20"/>
  <c r="J17" i="20"/>
  <c r="D48" i="38670"/>
  <c r="F24" i="41"/>
  <c r="G24" i="41" s="1"/>
  <c r="F45" i="41"/>
  <c r="G45" i="41" s="1"/>
  <c r="G30" i="11"/>
  <c r="G32" i="26"/>
  <c r="F25" i="45"/>
  <c r="G26" i="11"/>
  <c r="B34" i="41"/>
  <c r="B44" i="41"/>
  <c r="B25" i="41"/>
  <c r="B21" i="41"/>
  <c r="E30" i="18"/>
  <c r="D30" i="10"/>
  <c r="B30" i="40"/>
  <c r="D30" i="40" s="1"/>
  <c r="H30" i="18"/>
  <c r="G30" i="38656"/>
  <c r="F41" i="45"/>
  <c r="E50" i="41"/>
  <c r="E50" i="16"/>
  <c r="E43" i="16"/>
  <c r="E43" i="41"/>
  <c r="E39" i="41"/>
  <c r="E39" i="16"/>
  <c r="G35" i="7"/>
  <c r="I35" i="7"/>
  <c r="H35" i="7"/>
  <c r="F35" i="7"/>
  <c r="I33" i="7"/>
  <c r="H33" i="7"/>
  <c r="G33" i="7"/>
  <c r="F33" i="7"/>
  <c r="F31" i="7"/>
  <c r="G31" i="7"/>
  <c r="I31" i="7"/>
  <c r="H31" i="7"/>
  <c r="H22" i="7"/>
  <c r="G22" i="7"/>
  <c r="I22" i="7"/>
  <c r="F22" i="7"/>
  <c r="I13" i="7"/>
  <c r="G13" i="7"/>
  <c r="H13" i="7"/>
  <c r="F13" i="7"/>
  <c r="C48" i="15"/>
  <c r="E11" i="15"/>
  <c r="J11" i="20" s="1"/>
  <c r="J46" i="20"/>
  <c r="J38" i="20"/>
  <c r="J28" i="20"/>
  <c r="J20" i="20"/>
  <c r="J12" i="20"/>
  <c r="G46" i="7"/>
  <c r="I46" i="7"/>
  <c r="F46" i="7"/>
  <c r="H46" i="7"/>
  <c r="H41" i="7"/>
  <c r="F41" i="7"/>
  <c r="I41" i="7"/>
  <c r="G41" i="7"/>
  <c r="H39" i="7"/>
  <c r="G39" i="7"/>
  <c r="I39" i="7"/>
  <c r="F39" i="7"/>
  <c r="D39" i="7"/>
  <c r="D11" i="70"/>
  <c r="E11" i="33"/>
  <c r="E48" i="33" s="1"/>
  <c r="D38" i="11"/>
  <c r="D13" i="7"/>
  <c r="D51" i="11"/>
  <c r="D46" i="11"/>
  <c r="D37" i="11"/>
  <c r="D43" i="11"/>
  <c r="K37" i="3188"/>
  <c r="C37" i="5" s="1"/>
  <c r="D34" i="7"/>
  <c r="K38" i="3188"/>
  <c r="C38" i="5" s="1"/>
  <c r="D26" i="7"/>
  <c r="K50" i="3188"/>
  <c r="C50" i="5" s="1"/>
  <c r="K46" i="3188"/>
  <c r="C46" i="5" s="1"/>
  <c r="K45" i="3188"/>
  <c r="C45" i="5" s="1"/>
  <c r="K42" i="3188"/>
  <c r="C42" i="5" s="1"/>
  <c r="K44" i="3188"/>
  <c r="C44" i="5" s="1"/>
  <c r="F15" i="78" l="1"/>
  <c r="B15" i="43" s="1"/>
  <c r="F15" i="43" s="1"/>
  <c r="H15" i="43" s="1"/>
  <c r="F23" i="78"/>
  <c r="B23" i="43" s="1"/>
  <c r="F23" i="43" s="1"/>
  <c r="H23" i="43" s="1"/>
  <c r="F21" i="78"/>
  <c r="B21" i="43" s="1"/>
  <c r="F21" i="43" s="1"/>
  <c r="H21" i="43" s="1"/>
  <c r="F17" i="78"/>
  <c r="B17" i="43" s="1"/>
  <c r="F17" i="43" s="1"/>
  <c r="H17" i="43" s="1"/>
  <c r="F27" i="78"/>
  <c r="B27" i="43" s="1"/>
  <c r="F27" i="43" s="1"/>
  <c r="H27" i="43" s="1"/>
  <c r="F43" i="78"/>
  <c r="B43" i="43" s="1"/>
  <c r="F43" i="43" s="1"/>
  <c r="H43" i="43" s="1"/>
  <c r="F32" i="78"/>
  <c r="B32" i="43" s="1"/>
  <c r="F32" i="43" s="1"/>
  <c r="H32" i="43" s="1"/>
  <c r="F19" i="78"/>
  <c r="B19" i="43" s="1"/>
  <c r="F19" i="43" s="1"/>
  <c r="H19" i="43" s="1"/>
  <c r="F33" i="78"/>
  <c r="B33" i="43" s="1"/>
  <c r="F33" i="43" s="1"/>
  <c r="H33" i="43" s="1"/>
  <c r="F25" i="78"/>
  <c r="B25" i="43" s="1"/>
  <c r="F25" i="43" s="1"/>
  <c r="H25" i="43" s="1"/>
  <c r="I25" i="45" s="1"/>
  <c r="G25" i="45" s="1"/>
  <c r="F39" i="78"/>
  <c r="B39" i="43" s="1"/>
  <c r="F39" i="43" s="1"/>
  <c r="H39" i="43" s="1"/>
  <c r="I39" i="45" s="1"/>
  <c r="F51" i="78"/>
  <c r="B51" i="43" s="1"/>
  <c r="F51" i="43" s="1"/>
  <c r="H51" i="43" s="1"/>
  <c r="F37" i="78"/>
  <c r="B37" i="43" s="1"/>
  <c r="F37" i="43" s="1"/>
  <c r="H37" i="43" s="1"/>
  <c r="F40" i="78"/>
  <c r="B40" i="43" s="1"/>
  <c r="F40" i="43" s="1"/>
  <c r="H40" i="43" s="1"/>
  <c r="F31" i="78"/>
  <c r="B31" i="43" s="1"/>
  <c r="F31" i="43" s="1"/>
  <c r="H31" i="43" s="1"/>
  <c r="F41" i="78"/>
  <c r="B41" i="43" s="1"/>
  <c r="F41" i="43" s="1"/>
  <c r="H41" i="43" s="1"/>
  <c r="I41" i="45" s="1"/>
  <c r="I41" i="43" s="1"/>
  <c r="B41" i="42" s="1"/>
  <c r="F50" i="78"/>
  <c r="B50" i="43" s="1"/>
  <c r="F50" i="43" s="1"/>
  <c r="H50" i="43" s="1"/>
  <c r="I50" i="45" s="1"/>
  <c r="E50" i="44" s="1"/>
  <c r="D50" i="42" s="1"/>
  <c r="F35" i="78"/>
  <c r="B35" i="43" s="1"/>
  <c r="F35" i="43" s="1"/>
  <c r="H35" i="43" s="1"/>
  <c r="F45" i="78"/>
  <c r="B45" i="43" s="1"/>
  <c r="F45" i="43" s="1"/>
  <c r="H45" i="43" s="1"/>
  <c r="F14" i="78"/>
  <c r="B14" i="43" s="1"/>
  <c r="F14" i="43" s="1"/>
  <c r="H14" i="43" s="1"/>
  <c r="F18" i="45"/>
  <c r="I18" i="45" s="1"/>
  <c r="I18" i="44" s="1"/>
  <c r="F18" i="42" s="1"/>
  <c r="F40" i="45"/>
  <c r="F23" i="45"/>
  <c r="F44" i="45"/>
  <c r="I44" i="45" s="1"/>
  <c r="G44" i="45" s="1"/>
  <c r="F43" i="45"/>
  <c r="F16" i="45"/>
  <c r="I16" i="45" s="1"/>
  <c r="G16" i="45" s="1"/>
  <c r="F37" i="45"/>
  <c r="F17" i="45"/>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i="20" s="1"/>
  <c r="K20" i="3188"/>
  <c r="C20" i="5" s="1"/>
  <c r="E27" i="20"/>
  <c r="G27" i="20" s="1"/>
  <c r="F46" i="45"/>
  <c r="F32" i="45"/>
  <c r="F14" i="45"/>
  <c r="F35" i="45"/>
  <c r="F19" i="45"/>
  <c r="F46" i="43"/>
  <c r="H46" i="43" s="1"/>
  <c r="K15" i="3188"/>
  <c r="C15" i="5" s="1"/>
  <c r="K43" i="3188"/>
  <c r="C43" i="5" s="1"/>
  <c r="K33" i="3188"/>
  <c r="C33" i="5" s="1"/>
  <c r="K32" i="3188"/>
  <c r="C32" i="5" s="1"/>
  <c r="K23" i="3188"/>
  <c r="C23" i="5" s="1"/>
  <c r="B46" i="20"/>
  <c r="D46" i="20" s="1"/>
  <c r="F11" i="45"/>
  <c r="D32" i="38658"/>
  <c r="F32" i="38659" s="1"/>
  <c r="E48" i="52"/>
  <c r="K14" i="3188"/>
  <c r="C14" i="5" s="1"/>
  <c r="F42" i="45"/>
  <c r="I42" i="45" s="1"/>
  <c r="C42" i="45" s="1"/>
  <c r="G42" i="42" s="1"/>
  <c r="K25" i="3188"/>
  <c r="C25" i="5" s="1"/>
  <c r="K41" i="3188"/>
  <c r="C41" i="5" s="1"/>
  <c r="K34" i="3188"/>
  <c r="C34" i="5" s="1"/>
  <c r="K28" i="3188"/>
  <c r="C28" i="5" s="1"/>
  <c r="K31" i="3188"/>
  <c r="C31" i="5" s="1"/>
  <c r="K35" i="3188"/>
  <c r="C35" i="5" s="1"/>
  <c r="K18" i="3188"/>
  <c r="C18" i="5" s="1"/>
  <c r="K27" i="3188"/>
  <c r="C27" i="5" s="1"/>
  <c r="K22" i="3188"/>
  <c r="C22" i="5" s="1"/>
  <c r="F24" i="45"/>
  <c r="I24" i="45" s="1"/>
  <c r="G24" i="45" s="1"/>
  <c r="B32" i="39"/>
  <c r="D51" i="9"/>
  <c r="D33" i="7"/>
  <c r="D11" i="11"/>
  <c r="E15" i="18"/>
  <c r="D15" i="10"/>
  <c r="D43" i="26"/>
  <c r="D43" i="19"/>
  <c r="J43" i="26"/>
  <c r="G36" i="8"/>
  <c r="D32" i="26"/>
  <c r="D17" i="9"/>
  <c r="D44" i="8"/>
  <c r="B44" i="18"/>
  <c r="D20" i="9"/>
  <c r="D42" i="7"/>
  <c r="J12" i="11"/>
  <c r="G11" i="10"/>
  <c r="D13" i="11"/>
  <c r="B20" i="18"/>
  <c r="J37" i="9"/>
  <c r="D41" i="7"/>
  <c r="J34" i="9"/>
  <c r="D13" i="9"/>
  <c r="D26" i="9"/>
  <c r="G15" i="10"/>
  <c r="G12" i="10"/>
  <c r="G15" i="11"/>
  <c r="B43" i="41"/>
  <c r="D15" i="9"/>
  <c r="G14" i="9"/>
  <c r="B41" i="18"/>
  <c r="D41" i="8"/>
  <c r="J35" i="9"/>
  <c r="E11" i="18"/>
  <c r="D11" i="10"/>
  <c r="D14" i="11"/>
  <c r="D15" i="11"/>
  <c r="I38" i="45"/>
  <c r="G38" i="45" s="1"/>
  <c r="G24" i="8"/>
  <c r="D51" i="8"/>
  <c r="B51" i="18"/>
  <c r="D39" i="9"/>
  <c r="E13" i="18"/>
  <c r="D13" i="10"/>
  <c r="D12" i="11"/>
  <c r="E14" i="18"/>
  <c r="D14" i="10"/>
  <c r="D17" i="11"/>
  <c r="D18" i="11"/>
  <c r="G12" i="11"/>
  <c r="B43" i="19"/>
  <c r="B43" i="40"/>
  <c r="D43" i="40" s="1"/>
  <c r="J15" i="11"/>
  <c r="G17" i="10"/>
  <c r="D24" i="11"/>
  <c r="D22" i="11"/>
  <c r="D20" i="11"/>
  <c r="B13" i="18"/>
  <c r="B43" i="39"/>
  <c r="B43" i="76"/>
  <c r="D43" i="27"/>
  <c r="D43" i="76" s="1"/>
  <c r="G14" i="10"/>
  <c r="E18" i="18"/>
  <c r="D18" i="10"/>
  <c r="G25" i="8"/>
  <c r="G20" i="11"/>
  <c r="G22" i="10"/>
  <c r="J23" i="11"/>
  <c r="E19" i="18"/>
  <c r="D19" i="10"/>
  <c r="E17" i="18"/>
  <c r="D17" i="10"/>
  <c r="D34" i="9"/>
  <c r="J40" i="9"/>
  <c r="G23" i="8"/>
  <c r="B43" i="20"/>
  <c r="D45" i="38658"/>
  <c r="G30" i="8"/>
  <c r="E16" i="18"/>
  <c r="D16" i="10"/>
  <c r="J19" i="11"/>
  <c r="J16" i="11"/>
  <c r="F43" i="41"/>
  <c r="G43" i="41" s="1"/>
  <c r="G44" i="9"/>
  <c r="D33" i="9"/>
  <c r="J13" i="11"/>
  <c r="E42" i="18"/>
  <c r="D42" i="10"/>
  <c r="B12" i="19"/>
  <c r="H12" i="18"/>
  <c r="H20" i="18"/>
  <c r="H35" i="18"/>
  <c r="H41" i="18"/>
  <c r="D15" i="26"/>
  <c r="D15" i="19"/>
  <c r="D23" i="26"/>
  <c r="D34" i="26"/>
  <c r="D34" i="19"/>
  <c r="G33" i="38655"/>
  <c r="G37" i="38655"/>
  <c r="B12" i="40"/>
  <c r="D12" i="40" s="1"/>
  <c r="B18" i="40"/>
  <c r="D18" i="40" s="1"/>
  <c r="B20" i="40"/>
  <c r="D20" i="40" s="1"/>
  <c r="B23" i="40"/>
  <c r="D23" i="40" s="1"/>
  <c r="B25" i="40"/>
  <c r="D25" i="40" s="1"/>
  <c r="B28" i="40"/>
  <c r="D28" i="40" s="1"/>
  <c r="B34" i="40"/>
  <c r="D34" i="40" s="1"/>
  <c r="B37" i="39"/>
  <c r="B42" i="40"/>
  <c r="D42" i="40" s="1"/>
  <c r="B50" i="40"/>
  <c r="D15" i="38658"/>
  <c r="D39" i="38658"/>
  <c r="H24" i="18"/>
  <c r="H28" i="18"/>
  <c r="D38" i="10"/>
  <c r="J36" i="26"/>
  <c r="J46" i="26"/>
  <c r="D12" i="38656"/>
  <c r="G46" i="38655"/>
  <c r="B31" i="40"/>
  <c r="D31" i="40" s="1"/>
  <c r="E13" i="20"/>
  <c r="H15" i="18"/>
  <c r="H46" i="18"/>
  <c r="B51" i="40"/>
  <c r="B31" i="39"/>
  <c r="B35" i="39"/>
  <c r="D41" i="19"/>
  <c r="D41" i="26"/>
  <c r="G38" i="38655"/>
  <c r="B42" i="39"/>
  <c r="E20" i="18"/>
  <c r="D20" i="10"/>
  <c r="G43" i="38656"/>
  <c r="B33" i="18"/>
  <c r="D33" i="8"/>
  <c r="J14" i="11"/>
  <c r="H23" i="18"/>
  <c r="D38" i="38658"/>
  <c r="G12" i="26"/>
  <c r="G17" i="38655"/>
  <c r="G36" i="38655"/>
  <c r="J24" i="26"/>
  <c r="D39" i="19"/>
  <c r="D39" i="26"/>
  <c r="D28" i="19"/>
  <c r="D28" i="26"/>
  <c r="D16" i="26"/>
  <c r="G12" i="8"/>
  <c r="G43" i="10"/>
  <c r="G18" i="10"/>
  <c r="D32" i="9"/>
  <c r="J33" i="26"/>
  <c r="J44" i="26"/>
  <c r="G19" i="38655"/>
  <c r="J38" i="9"/>
  <c r="J15" i="26"/>
  <c r="H50" i="18"/>
  <c r="D23" i="9"/>
  <c r="J13" i="26"/>
  <c r="B26" i="20"/>
  <c r="E38" i="20"/>
  <c r="E44" i="20"/>
  <c r="E45" i="20"/>
  <c r="B51" i="41"/>
  <c r="C51" i="41" s="1"/>
  <c r="J50" i="26"/>
  <c r="B26" i="19"/>
  <c r="E12" i="20"/>
  <c r="D34" i="27"/>
  <c r="D34" i="76" s="1"/>
  <c r="B34" i="76"/>
  <c r="E44" i="18"/>
  <c r="D44" i="10"/>
  <c r="G13" i="26"/>
  <c r="G17" i="26"/>
  <c r="G16" i="38656"/>
  <c r="G25" i="10"/>
  <c r="G39" i="8"/>
  <c r="F23" i="41"/>
  <c r="G23" i="41" s="1"/>
  <c r="J41" i="11"/>
  <c r="B41" i="20"/>
  <c r="B39" i="18"/>
  <c r="D39" i="8"/>
  <c r="G31" i="8"/>
  <c r="G40" i="10"/>
  <c r="B17" i="40"/>
  <c r="D17" i="40" s="1"/>
  <c r="B40" i="19"/>
  <c r="G37" i="26"/>
  <c r="D33" i="38656"/>
  <c r="F14" i="41"/>
  <c r="G14" i="41" s="1"/>
  <c r="F18" i="41"/>
  <c r="G18" i="41" s="1"/>
  <c r="E23" i="20"/>
  <c r="F35" i="41"/>
  <c r="G35" i="41" s="1"/>
  <c r="B16" i="40"/>
  <c r="D16" i="40" s="1"/>
  <c r="B41" i="41"/>
  <c r="B50" i="41"/>
  <c r="D37" i="9"/>
  <c r="D45" i="9"/>
  <c r="G37" i="10"/>
  <c r="J22" i="38655"/>
  <c r="B13" i="41"/>
  <c r="D35" i="27"/>
  <c r="D35" i="76" s="1"/>
  <c r="B35" i="76"/>
  <c r="G44" i="38656"/>
  <c r="G12" i="38656"/>
  <c r="G40" i="38656"/>
  <c r="E36" i="20"/>
  <c r="J14" i="26"/>
  <c r="D28" i="11"/>
  <c r="B28" i="76"/>
  <c r="D28" i="27"/>
  <c r="D28" i="76" s="1"/>
  <c r="B27" i="20"/>
  <c r="F32" i="41"/>
  <c r="G32" i="41" s="1"/>
  <c r="G28" i="11"/>
  <c r="J45" i="38655"/>
  <c r="G19" i="26"/>
  <c r="G23" i="11"/>
  <c r="G46" i="38656"/>
  <c r="B15" i="20"/>
  <c r="B23" i="20"/>
  <c r="D12" i="27"/>
  <c r="D12" i="76" s="1"/>
  <c r="B12" i="76"/>
  <c r="B43" i="18"/>
  <c r="D43" i="8"/>
  <c r="G38" i="8"/>
  <c r="B31" i="18"/>
  <c r="D31" i="8"/>
  <c r="E36" i="18"/>
  <c r="D36" i="10"/>
  <c r="G42" i="10"/>
  <c r="B13" i="20"/>
  <c r="D21" i="38656"/>
  <c r="B17" i="19"/>
  <c r="B25" i="19"/>
  <c r="D24" i="9"/>
  <c r="D41" i="38656"/>
  <c r="D40" i="26"/>
  <c r="D26" i="38658"/>
  <c r="G33" i="11"/>
  <c r="B24" i="76"/>
  <c r="D24" i="27"/>
  <c r="D24" i="76" s="1"/>
  <c r="B34" i="20"/>
  <c r="G25" i="26"/>
  <c r="G13" i="38656"/>
  <c r="G21" i="38656"/>
  <c r="B33" i="20"/>
  <c r="B19" i="41"/>
  <c r="G40" i="8"/>
  <c r="J17" i="38655"/>
  <c r="J44" i="38655"/>
  <c r="G38" i="11"/>
  <c r="D22" i="27"/>
  <c r="D22" i="76" s="1"/>
  <c r="B22" i="76"/>
  <c r="F34" i="41"/>
  <c r="G34" i="41" s="1"/>
  <c r="G23" i="38656"/>
  <c r="G38" i="38656"/>
  <c r="B46" i="39"/>
  <c r="G28" i="26"/>
  <c r="B25" i="20"/>
  <c r="J39" i="26"/>
  <c r="J41" i="38655"/>
  <c r="F16" i="41"/>
  <c r="G16" i="41" s="1"/>
  <c r="G46" i="11"/>
  <c r="D19" i="27"/>
  <c r="D19" i="76" s="1"/>
  <c r="B19" i="76"/>
  <c r="J33" i="11"/>
  <c r="D19" i="19"/>
  <c r="D19" i="26"/>
  <c r="E21" i="20"/>
  <c r="D27" i="19"/>
  <c r="G31" i="11"/>
  <c r="G32" i="10"/>
  <c r="G46" i="10"/>
  <c r="B37" i="19"/>
  <c r="E27" i="18"/>
  <c r="D36" i="11"/>
  <c r="G40" i="11"/>
  <c r="B45" i="19"/>
  <c r="J33" i="38655"/>
  <c r="F37" i="41"/>
  <c r="G37" i="41" s="1"/>
  <c r="D34" i="8"/>
  <c r="B34" i="18"/>
  <c r="B45" i="20"/>
  <c r="B36" i="41"/>
  <c r="F12" i="41"/>
  <c r="G12" i="41" s="1"/>
  <c r="B44" i="76"/>
  <c r="D44" i="27"/>
  <c r="D44" i="76" s="1"/>
  <c r="J40" i="11"/>
  <c r="J38" i="38655"/>
  <c r="G24" i="26"/>
  <c r="B18" i="41"/>
  <c r="B38" i="20"/>
  <c r="J51" i="38655"/>
  <c r="D11" i="38656"/>
  <c r="D24" i="26"/>
  <c r="D24" i="19"/>
  <c r="H25" i="18"/>
  <c r="G30" i="18"/>
  <c r="K30" i="38667"/>
  <c r="D21" i="41"/>
  <c r="C21" i="41"/>
  <c r="C44" i="41"/>
  <c r="D44" i="41"/>
  <c r="D37" i="41"/>
  <c r="C37" i="41"/>
  <c r="F30" i="39"/>
  <c r="H30" i="39"/>
  <c r="D30" i="39"/>
  <c r="G30" i="20"/>
  <c r="C33" i="41"/>
  <c r="D33" i="41"/>
  <c r="D35" i="7"/>
  <c r="K12" i="3188"/>
  <c r="C12" i="5" s="1"/>
  <c r="F21" i="45"/>
  <c r="B30" i="18"/>
  <c r="F34" i="45"/>
  <c r="F28" i="45"/>
  <c r="B25" i="18"/>
  <c r="E34" i="20"/>
  <c r="G17" i="11"/>
  <c r="E12" i="18"/>
  <c r="D12" i="10"/>
  <c r="G13" i="10"/>
  <c r="E43" i="20"/>
  <c r="D19" i="11"/>
  <c r="G20" i="10"/>
  <c r="J21" i="11"/>
  <c r="G24" i="11"/>
  <c r="D25" i="11"/>
  <c r="D23" i="8"/>
  <c r="B23" i="18"/>
  <c r="D22" i="9"/>
  <c r="G43" i="8"/>
  <c r="G42" i="8"/>
  <c r="D36" i="9"/>
  <c r="J11" i="11"/>
  <c r="D26" i="11"/>
  <c r="D41" i="9"/>
  <c r="J43" i="38655"/>
  <c r="D27" i="10"/>
  <c r="E39" i="18"/>
  <c r="D39" i="10"/>
  <c r="H40" i="18"/>
  <c r="H45" i="18"/>
  <c r="D11" i="19"/>
  <c r="D11" i="26"/>
  <c r="D13" i="26"/>
  <c r="D13" i="19"/>
  <c r="J22" i="26"/>
  <c r="D38" i="26"/>
  <c r="D38" i="19"/>
  <c r="J12" i="38655"/>
  <c r="G16" i="38655"/>
  <c r="G20" i="38655"/>
  <c r="G24" i="38655"/>
  <c r="G28" i="38655"/>
  <c r="G40" i="38655"/>
  <c r="B13" i="40"/>
  <c r="D13" i="40" s="1"/>
  <c r="B14" i="39"/>
  <c r="B21" i="40"/>
  <c r="D21" i="40" s="1"/>
  <c r="B22" i="39"/>
  <c r="B24" i="39"/>
  <c r="B26" i="40"/>
  <c r="D26" i="40" s="1"/>
  <c r="B33" i="40"/>
  <c r="D33" i="40" s="1"/>
  <c r="B41" i="40"/>
  <c r="D41" i="40" s="1"/>
  <c r="B46" i="40"/>
  <c r="D46" i="40" s="1"/>
  <c r="B11" i="41"/>
  <c r="D18" i="38658"/>
  <c r="D22" i="38658"/>
  <c r="D41" i="38658"/>
  <c r="E28" i="18"/>
  <c r="D28" i="10"/>
  <c r="E45" i="18"/>
  <c r="D45" i="10"/>
  <c r="H22" i="18"/>
  <c r="H32" i="18"/>
  <c r="J12" i="26"/>
  <c r="J42" i="26"/>
  <c r="G45" i="38655"/>
  <c r="B11" i="20"/>
  <c r="B40" i="39"/>
  <c r="B12" i="39"/>
  <c r="F11" i="41"/>
  <c r="B39" i="40"/>
  <c r="D39" i="40" s="1"/>
  <c r="G44" i="38655"/>
  <c r="B33" i="39"/>
  <c r="G11" i="26"/>
  <c r="J32" i="26"/>
  <c r="G34" i="38655"/>
  <c r="B12" i="20"/>
  <c r="J20" i="26"/>
  <c r="D46" i="26"/>
  <c r="D33" i="26"/>
  <c r="D18" i="26"/>
  <c r="D18" i="19"/>
  <c r="D51" i="38655"/>
  <c r="G51" i="19"/>
  <c r="D43" i="10"/>
  <c r="J17" i="11"/>
  <c r="D27" i="8"/>
  <c r="B27" i="18"/>
  <c r="D50" i="9"/>
  <c r="J40" i="26"/>
  <c r="G11" i="11"/>
  <c r="H44" i="18"/>
  <c r="B36" i="39"/>
  <c r="G33" i="8"/>
  <c r="D12" i="9"/>
  <c r="F38" i="41"/>
  <c r="G38" i="41" s="1"/>
  <c r="F42" i="41"/>
  <c r="G42" i="41" s="1"/>
  <c r="B45" i="41"/>
  <c r="F44" i="41"/>
  <c r="G44" i="41" s="1"/>
  <c r="B22" i="19"/>
  <c r="D40" i="38656"/>
  <c r="D27" i="11"/>
  <c r="J44" i="11"/>
  <c r="G33" i="26"/>
  <c r="B21" i="76"/>
  <c r="D21" i="27"/>
  <c r="D21" i="76" s="1"/>
  <c r="F36" i="41"/>
  <c r="G36" i="41" s="1"/>
  <c r="G11" i="38656"/>
  <c r="G33" i="38656"/>
  <c r="B21" i="20"/>
  <c r="D40" i="9"/>
  <c r="D21" i="9"/>
  <c r="G34" i="10"/>
  <c r="J46" i="38655"/>
  <c r="J46" i="9"/>
  <c r="G39" i="38655"/>
  <c r="D15" i="38656"/>
  <c r="D20" i="38656"/>
  <c r="D23" i="38656"/>
  <c r="D28" i="38656"/>
  <c r="J39" i="38655"/>
  <c r="G51" i="38656"/>
  <c r="B12" i="41"/>
  <c r="E16" i="20"/>
  <c r="F22" i="41"/>
  <c r="G22" i="41" s="1"/>
  <c r="E32" i="20"/>
  <c r="G51" i="38655"/>
  <c r="D45" i="38656"/>
  <c r="E46" i="20"/>
  <c r="E51" i="20"/>
  <c r="B17" i="39"/>
  <c r="B21" i="18"/>
  <c r="D21" i="8"/>
  <c r="D17" i="8"/>
  <c r="J35" i="11"/>
  <c r="G39" i="10"/>
  <c r="G44" i="10"/>
  <c r="D31" i="11"/>
  <c r="F50" i="41"/>
  <c r="G50" i="41" s="1"/>
  <c r="E50" i="18"/>
  <c r="D50" i="10"/>
  <c r="D16" i="38656"/>
  <c r="E28" i="20"/>
  <c r="J31" i="26"/>
  <c r="B28" i="19"/>
  <c r="G51" i="10"/>
  <c r="B24" i="19"/>
  <c r="J37" i="11"/>
  <c r="G23" i="26"/>
  <c r="G27" i="26"/>
  <c r="E43" i="18"/>
  <c r="B15" i="39"/>
  <c r="J42" i="11"/>
  <c r="D42" i="11"/>
  <c r="G26" i="10"/>
  <c r="F20" i="41"/>
  <c r="G20" i="41" s="1"/>
  <c r="B28" i="20"/>
  <c r="H13" i="18"/>
  <c r="H51" i="18"/>
  <c r="D33" i="11"/>
  <c r="D41" i="11"/>
  <c r="D51" i="38656"/>
  <c r="J20" i="38655"/>
  <c r="B13" i="19"/>
  <c r="E24" i="20"/>
  <c r="J31" i="38655"/>
  <c r="D51" i="19"/>
  <c r="D51" i="26"/>
  <c r="D15" i="27"/>
  <c r="D15" i="76" s="1"/>
  <c r="B15" i="76"/>
  <c r="E18" i="20"/>
  <c r="G34" i="26"/>
  <c r="G20" i="38656"/>
  <c r="G35" i="38656"/>
  <c r="B31" i="20"/>
  <c r="B26" i="41"/>
  <c r="J13" i="38655"/>
  <c r="G42" i="38656"/>
  <c r="G45" i="38656"/>
  <c r="D42" i="9"/>
  <c r="D14" i="38656"/>
  <c r="B33" i="19"/>
  <c r="G32" i="38656"/>
  <c r="G15" i="26"/>
  <c r="G22" i="38656"/>
  <c r="G36" i="38656"/>
  <c r="J20" i="11"/>
  <c r="B17" i="20"/>
  <c r="B50" i="20"/>
  <c r="G51" i="11"/>
  <c r="B21" i="19"/>
  <c r="E17" i="20"/>
  <c r="E31" i="20"/>
  <c r="B17" i="41"/>
  <c r="G27" i="11"/>
  <c r="G41" i="11"/>
  <c r="B34" i="19"/>
  <c r="G41" i="26"/>
  <c r="D40" i="8"/>
  <c r="B40" i="18"/>
  <c r="G37" i="11"/>
  <c r="F25" i="41"/>
  <c r="G25" i="41" s="1"/>
  <c r="D32" i="11"/>
  <c r="G21" i="26"/>
  <c r="D27" i="9"/>
  <c r="D15" i="8"/>
  <c r="B15" i="18"/>
  <c r="D41" i="27"/>
  <c r="D41" i="76" s="1"/>
  <c r="B41" i="76"/>
  <c r="E22" i="20"/>
  <c r="B35" i="41"/>
  <c r="G21" i="11"/>
  <c r="D38" i="9"/>
  <c r="H38" i="18"/>
  <c r="E50" i="20"/>
  <c r="F33" i="41"/>
  <c r="G33" i="41" s="1"/>
  <c r="G27" i="10"/>
  <c r="D48" i="70"/>
  <c r="E30" i="5"/>
  <c r="C30" i="41"/>
  <c r="D30" i="41"/>
  <c r="D46" i="7"/>
  <c r="D39" i="11"/>
  <c r="E25" i="20"/>
  <c r="D38" i="7"/>
  <c r="D45" i="11"/>
  <c r="F22" i="45"/>
  <c r="J32" i="9"/>
  <c r="D46" i="9"/>
  <c r="G51" i="8"/>
  <c r="J18" i="11"/>
  <c r="E21" i="18"/>
  <c r="D21" i="10"/>
  <c r="D43" i="9"/>
  <c r="G35" i="8"/>
  <c r="D38" i="8"/>
  <c r="B38" i="18"/>
  <c r="D18" i="9"/>
  <c r="H27" i="18"/>
  <c r="H39" i="18"/>
  <c r="D21" i="26"/>
  <c r="D21" i="19"/>
  <c r="D27" i="26"/>
  <c r="J37" i="26"/>
  <c r="D30" i="38658"/>
  <c r="G32" i="38655"/>
  <c r="G42" i="38655"/>
  <c r="B19" i="39"/>
  <c r="B20" i="39"/>
  <c r="B27" i="40"/>
  <c r="B36" i="40"/>
  <c r="D36" i="40" s="1"/>
  <c r="B40" i="40"/>
  <c r="D40" i="40" s="1"/>
  <c r="F13" i="41"/>
  <c r="G13" i="41" s="1"/>
  <c r="D25" i="38658"/>
  <c r="D34" i="38658"/>
  <c r="D44" i="38658"/>
  <c r="H18" i="18"/>
  <c r="H26" i="18"/>
  <c r="H31" i="18"/>
  <c r="H36" i="18"/>
  <c r="H42" i="18"/>
  <c r="D11" i="27"/>
  <c r="D11" i="76" s="1"/>
  <c r="B11" i="76"/>
  <c r="J23" i="26"/>
  <c r="B14" i="41"/>
  <c r="H17" i="18"/>
  <c r="B13" i="39"/>
  <c r="B39" i="39"/>
  <c r="B45" i="39"/>
  <c r="B27" i="39"/>
  <c r="B11" i="40"/>
  <c r="J11" i="26"/>
  <c r="D11" i="9"/>
  <c r="E32" i="18"/>
  <c r="D32" i="10"/>
  <c r="B45" i="40"/>
  <c r="D45" i="40" s="1"/>
  <c r="D11" i="8"/>
  <c r="B11" i="18"/>
  <c r="D26" i="10"/>
  <c r="B22" i="18"/>
  <c r="D22" i="8"/>
  <c r="D25" i="9"/>
  <c r="G22" i="11"/>
  <c r="J25" i="26"/>
  <c r="G13" i="38655"/>
  <c r="J18" i="26"/>
  <c r="D44" i="26"/>
  <c r="D44" i="19"/>
  <c r="D35" i="26"/>
  <c r="D35" i="19"/>
  <c r="D20" i="26"/>
  <c r="D20" i="19"/>
  <c r="G50" i="38655"/>
  <c r="G15" i="8"/>
  <c r="G27" i="8"/>
  <c r="D16" i="8"/>
  <c r="J28" i="26"/>
  <c r="G25" i="38655"/>
  <c r="H34" i="18"/>
  <c r="B35" i="18"/>
  <c r="D35" i="8"/>
  <c r="B50" i="18"/>
  <c r="D50" i="8"/>
  <c r="B23" i="39"/>
  <c r="B20" i="20"/>
  <c r="B22" i="20"/>
  <c r="G43" i="11"/>
  <c r="E37" i="18"/>
  <c r="D37" i="10"/>
  <c r="G27" i="38655"/>
  <c r="E40" i="20"/>
  <c r="D26" i="8"/>
  <c r="B26" i="18"/>
  <c r="F40" i="41"/>
  <c r="G40" i="41" s="1"/>
  <c r="B40" i="41"/>
  <c r="B14" i="19"/>
  <c r="D25" i="27"/>
  <c r="D25" i="76" s="1"/>
  <c r="B25" i="76"/>
  <c r="F27" i="41"/>
  <c r="G27" i="41" s="1"/>
  <c r="D14" i="8"/>
  <c r="B14" i="18"/>
  <c r="D14" i="27"/>
  <c r="D14" i="76" s="1"/>
  <c r="B14" i="76"/>
  <c r="B40" i="20"/>
  <c r="G24" i="38656"/>
  <c r="B19" i="20"/>
  <c r="B44" i="39"/>
  <c r="G34" i="8"/>
  <c r="D26" i="27"/>
  <c r="D26" i="76" s="1"/>
  <c r="B26" i="76"/>
  <c r="G41" i="38656"/>
  <c r="B15" i="19"/>
  <c r="J14" i="38655"/>
  <c r="D36" i="38656"/>
  <c r="B16" i="20"/>
  <c r="E15" i="20"/>
  <c r="E19" i="20"/>
  <c r="F31" i="41"/>
  <c r="G31" i="41" s="1"/>
  <c r="E42" i="20"/>
  <c r="J24" i="9"/>
  <c r="D42" i="8"/>
  <c r="B42" i="18"/>
  <c r="G35" i="10"/>
  <c r="J35" i="38655"/>
  <c r="G15" i="38656"/>
  <c r="F19" i="41"/>
  <c r="G19" i="41" s="1"/>
  <c r="E35" i="18"/>
  <c r="D35" i="10"/>
  <c r="E41" i="18"/>
  <c r="D41" i="10"/>
  <c r="D31" i="26"/>
  <c r="D31" i="19"/>
  <c r="J45" i="26"/>
  <c r="B41" i="39"/>
  <c r="F28" i="41"/>
  <c r="G28" i="41" s="1"/>
  <c r="G34" i="11"/>
  <c r="D12" i="19"/>
  <c r="D12" i="26"/>
  <c r="D31" i="27"/>
  <c r="D31" i="76" s="1"/>
  <c r="B31" i="76"/>
  <c r="J24" i="38655"/>
  <c r="B37" i="40"/>
  <c r="D37" i="40" s="1"/>
  <c r="B11" i="19"/>
  <c r="B21" i="39"/>
  <c r="B37" i="20"/>
  <c r="J25" i="9"/>
  <c r="G26" i="26"/>
  <c r="F41" i="41"/>
  <c r="G41" i="41" s="1"/>
  <c r="J32" i="11"/>
  <c r="G41" i="10"/>
  <c r="B46" i="19"/>
  <c r="G50" i="38656"/>
  <c r="G25" i="38656"/>
  <c r="B20" i="19"/>
  <c r="E39" i="20"/>
  <c r="G33" i="10"/>
  <c r="E51" i="18"/>
  <c r="D51" i="10"/>
  <c r="J51" i="26"/>
  <c r="B42" i="76"/>
  <c r="D42" i="27"/>
  <c r="D42" i="76" s="1"/>
  <c r="E33" i="20"/>
  <c r="D26" i="19"/>
  <c r="D26" i="26"/>
  <c r="B27" i="19"/>
  <c r="D45" i="26"/>
  <c r="B35" i="20"/>
  <c r="G19" i="38656"/>
  <c r="G31" i="38656"/>
  <c r="G42" i="26"/>
  <c r="B20" i="41"/>
  <c r="G23" i="10"/>
  <c r="J28" i="11"/>
  <c r="G44" i="26"/>
  <c r="G13" i="8"/>
  <c r="B19" i="19"/>
  <c r="B50" i="76"/>
  <c r="D50" i="27"/>
  <c r="D50" i="76" s="1"/>
  <c r="G18" i="38656"/>
  <c r="G34" i="38656"/>
  <c r="B23" i="41"/>
  <c r="G35" i="26"/>
  <c r="G31" i="10"/>
  <c r="B51" i="76"/>
  <c r="D51" i="27"/>
  <c r="D51" i="76" s="1"/>
  <c r="F15" i="41"/>
  <c r="G15" i="41" s="1"/>
  <c r="B18" i="19"/>
  <c r="D39" i="27"/>
  <c r="D39" i="76" s="1"/>
  <c r="B39" i="76"/>
  <c r="D37" i="19"/>
  <c r="E11" i="20"/>
  <c r="G38" i="10"/>
  <c r="D45" i="19"/>
  <c r="D25" i="38656"/>
  <c r="E22" i="18"/>
  <c r="D22" i="10"/>
  <c r="G36" i="11"/>
  <c r="B42" i="19"/>
  <c r="F21" i="41"/>
  <c r="G21" i="41" s="1"/>
  <c r="D28" i="8"/>
  <c r="B28" i="18"/>
  <c r="E14" i="20"/>
  <c r="J25" i="38655"/>
  <c r="B51" i="20"/>
  <c r="D19" i="8"/>
  <c r="B19" i="18"/>
  <c r="B31" i="41"/>
  <c r="G50" i="11"/>
  <c r="D34" i="11"/>
  <c r="D13" i="27"/>
  <c r="D13" i="76" s="1"/>
  <c r="B13" i="76"/>
  <c r="E48" i="15"/>
  <c r="E48" i="41" s="1"/>
  <c r="E11" i="16"/>
  <c r="E48" i="16" s="1"/>
  <c r="E11" i="41"/>
  <c r="C25" i="41"/>
  <c r="D25" i="41"/>
  <c r="C34" i="41"/>
  <c r="D34" i="41"/>
  <c r="F48" i="52"/>
  <c r="C16" i="41"/>
  <c r="D16" i="41"/>
  <c r="C15" i="41"/>
  <c r="D15" i="41"/>
  <c r="C28" i="41"/>
  <c r="D28" i="41"/>
  <c r="D31" i="7"/>
  <c r="K11" i="3188"/>
  <c r="F20" i="45"/>
  <c r="F12" i="45"/>
  <c r="D24" i="7"/>
  <c r="F33" i="45"/>
  <c r="D32" i="7"/>
  <c r="F13" i="45"/>
  <c r="F31" i="45"/>
  <c r="F15" i="45"/>
  <c r="D40" i="11"/>
  <c r="F26" i="45"/>
  <c r="F51" i="45"/>
  <c r="G16" i="11"/>
  <c r="H43" i="18"/>
  <c r="G43" i="26"/>
  <c r="G14" i="11"/>
  <c r="E23" i="18"/>
  <c r="D23" i="10"/>
  <c r="G24" i="10"/>
  <c r="D35" i="9"/>
  <c r="D23" i="11"/>
  <c r="D32" i="8"/>
  <c r="B32" i="18"/>
  <c r="J13" i="9"/>
  <c r="D16" i="9"/>
  <c r="D36" i="8"/>
  <c r="B36" i="18"/>
  <c r="D43" i="38656"/>
  <c r="D16" i="11"/>
  <c r="G16" i="10"/>
  <c r="D21" i="11"/>
  <c r="G18" i="11"/>
  <c r="G45" i="8"/>
  <c r="E31" i="18"/>
  <c r="D31" i="10"/>
  <c r="H14" i="18"/>
  <c r="H37" i="18"/>
  <c r="D17" i="26"/>
  <c r="D17" i="19"/>
  <c r="D25" i="26"/>
  <c r="D25" i="19"/>
  <c r="D36" i="19"/>
  <c r="D36" i="26"/>
  <c r="G11" i="38655"/>
  <c r="G12" i="38655"/>
  <c r="G14" i="38655"/>
  <c r="G18" i="38655"/>
  <c r="G22" i="38655"/>
  <c r="G26" i="38655"/>
  <c r="G31" i="38655"/>
  <c r="G35" i="38655"/>
  <c r="G41" i="38655"/>
  <c r="D47" i="38658"/>
  <c r="B14" i="40"/>
  <c r="B15" i="40"/>
  <c r="D15" i="40" s="1"/>
  <c r="B19" i="40"/>
  <c r="D19" i="40" s="1"/>
  <c r="B22" i="40"/>
  <c r="D22" i="40" s="1"/>
  <c r="B24" i="40"/>
  <c r="D24" i="40" s="1"/>
  <c r="B25" i="39"/>
  <c r="B26" i="39"/>
  <c r="B28" i="39"/>
  <c r="B35" i="40"/>
  <c r="D35" i="40" s="1"/>
  <c r="B38" i="40"/>
  <c r="D38" i="40" s="1"/>
  <c r="B44" i="40"/>
  <c r="D44" i="40" s="1"/>
  <c r="B50" i="39"/>
  <c r="D40" i="38658"/>
  <c r="J31" i="11"/>
  <c r="H16" i="18"/>
  <c r="H33" i="18"/>
  <c r="J17" i="26"/>
  <c r="J27" i="26"/>
  <c r="J38" i="26"/>
  <c r="B11" i="39"/>
  <c r="B34" i="39"/>
  <c r="D50" i="19"/>
  <c r="D50" i="26"/>
  <c r="H11" i="18"/>
  <c r="E33" i="18"/>
  <c r="D33" i="10"/>
  <c r="E24" i="18"/>
  <c r="D24" i="10"/>
  <c r="D28" i="9"/>
  <c r="H21" i="18"/>
  <c r="G43" i="38655"/>
  <c r="D12" i="8"/>
  <c r="B12" i="18"/>
  <c r="J21" i="26"/>
  <c r="J34" i="26"/>
  <c r="G23" i="38655"/>
  <c r="J16" i="26"/>
  <c r="J41" i="26"/>
  <c r="G21" i="38655"/>
  <c r="D37" i="26"/>
  <c r="D22" i="19"/>
  <c r="D22" i="26"/>
  <c r="D14" i="26"/>
  <c r="D14" i="19"/>
  <c r="G17" i="8"/>
  <c r="G32" i="8"/>
  <c r="D24" i="8"/>
  <c r="B24" i="18"/>
  <c r="B24" i="20"/>
  <c r="G46" i="8"/>
  <c r="G13" i="11"/>
  <c r="G18" i="8"/>
  <c r="D44" i="9"/>
  <c r="G15" i="38655"/>
  <c r="H19" i="18"/>
  <c r="F39" i="41"/>
  <c r="G39" i="41" s="1"/>
  <c r="F51" i="41"/>
  <c r="D18" i="27"/>
  <c r="D18" i="76" s="1"/>
  <c r="B18" i="76"/>
  <c r="E20" i="20"/>
  <c r="J39" i="11"/>
  <c r="G45" i="26"/>
  <c r="J19" i="38655"/>
  <c r="B42" i="41"/>
  <c r="G20" i="8"/>
  <c r="B38" i="76"/>
  <c r="D38" i="27"/>
  <c r="D38" i="76" s="1"/>
  <c r="B18" i="39"/>
  <c r="B38" i="41"/>
  <c r="J26" i="9"/>
  <c r="G19" i="8"/>
  <c r="B36" i="19"/>
  <c r="F26" i="41"/>
  <c r="G26" i="41" s="1"/>
  <c r="J45" i="11"/>
  <c r="G20" i="26"/>
  <c r="B46" i="41"/>
  <c r="D19" i="9"/>
  <c r="G45" i="10"/>
  <c r="E40" i="18"/>
  <c r="D40" i="10"/>
  <c r="B23" i="19"/>
  <c r="J26" i="38655"/>
  <c r="E41" i="20"/>
  <c r="B18" i="20"/>
  <c r="D46" i="8"/>
  <c r="B46" i="18"/>
  <c r="D23" i="38658"/>
  <c r="J46" i="11"/>
  <c r="D24" i="38656"/>
  <c r="B44" i="20"/>
  <c r="B39" i="19"/>
  <c r="J50" i="38655"/>
  <c r="J26" i="26"/>
  <c r="D42" i="26"/>
  <c r="D42" i="19"/>
  <c r="B32" i="40"/>
  <c r="D32" i="40" s="1"/>
  <c r="J28" i="38655"/>
  <c r="J27" i="38655"/>
  <c r="E34" i="18"/>
  <c r="D34" i="10"/>
  <c r="G28" i="10"/>
  <c r="G37" i="38656"/>
  <c r="G25" i="11"/>
  <c r="D31" i="9"/>
  <c r="J51" i="11"/>
  <c r="D35" i="11"/>
  <c r="G14" i="26"/>
  <c r="G21" i="10"/>
  <c r="E26" i="20"/>
  <c r="G46" i="26"/>
  <c r="B36" i="20"/>
  <c r="J24" i="11"/>
  <c r="G16" i="26"/>
  <c r="E37" i="20"/>
  <c r="E25" i="18"/>
  <c r="D25" i="10"/>
  <c r="G39" i="11"/>
  <c r="G45" i="11"/>
  <c r="B41" i="19"/>
  <c r="G18" i="26"/>
  <c r="B16" i="39"/>
  <c r="J19" i="26"/>
  <c r="G32" i="11"/>
  <c r="D34" i="38656"/>
  <c r="G40" i="26"/>
  <c r="G17" i="38656"/>
  <c r="G26" i="38656"/>
  <c r="G39" i="38656"/>
  <c r="J40" i="38655"/>
  <c r="B27" i="41"/>
  <c r="B14" i="20"/>
  <c r="G14" i="38656"/>
  <c r="G28" i="38656"/>
  <c r="J42" i="38655"/>
  <c r="B38" i="39"/>
  <c r="G19" i="10"/>
  <c r="G31" i="26"/>
  <c r="B39" i="41"/>
  <c r="B24" i="41"/>
  <c r="B31" i="19"/>
  <c r="B44" i="19"/>
  <c r="D33" i="19"/>
  <c r="B39" i="20"/>
  <c r="G36" i="10"/>
  <c r="G50" i="10"/>
  <c r="B38" i="19"/>
  <c r="G22" i="26"/>
  <c r="D37" i="8"/>
  <c r="B37" i="18"/>
  <c r="G42" i="11"/>
  <c r="D32" i="19"/>
  <c r="G38" i="26"/>
  <c r="B51" i="39"/>
  <c r="H51" i="39" s="1"/>
  <c r="G26" i="8"/>
  <c r="G44" i="11"/>
  <c r="B50" i="19"/>
  <c r="B32" i="41"/>
  <c r="B32" i="19"/>
  <c r="B42" i="20"/>
  <c r="E46" i="18"/>
  <c r="D46" i="10"/>
  <c r="J35" i="26"/>
  <c r="G39" i="26"/>
  <c r="B22" i="41"/>
  <c r="B51" i="19"/>
  <c r="B35" i="19"/>
  <c r="B32" i="20"/>
  <c r="D30" i="38655"/>
  <c r="G30" i="19"/>
  <c r="F30" i="19"/>
  <c r="D30" i="20"/>
  <c r="H54" i="23"/>
  <c r="H48" i="7"/>
  <c r="G48" i="7"/>
  <c r="I48" i="7"/>
  <c r="F48" i="7"/>
  <c r="D22" i="7"/>
  <c r="D50" i="11"/>
  <c r="D21" i="7"/>
  <c r="D45" i="7"/>
  <c r="D37" i="7"/>
  <c r="D27" i="7"/>
  <c r="D44" i="11"/>
  <c r="F45" i="45"/>
  <c r="F36" i="45"/>
  <c r="B16" i="19"/>
  <c r="J48" i="20" l="1"/>
  <c r="I32" i="38658"/>
  <c r="I37" i="45"/>
  <c r="G37" i="44" s="1"/>
  <c r="E37" i="42" s="1"/>
  <c r="I35" i="45"/>
  <c r="G35" i="45" s="1"/>
  <c r="I40" i="45"/>
  <c r="G40" i="45" s="1"/>
  <c r="I23" i="45"/>
  <c r="I23" i="44" s="1"/>
  <c r="F23" i="42" s="1"/>
  <c r="I19" i="45"/>
  <c r="E19" i="45" s="1"/>
  <c r="H19" i="42" s="1"/>
  <c r="G18" i="44"/>
  <c r="E18" i="42" s="1"/>
  <c r="G18" i="45"/>
  <c r="E38" i="45"/>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i="45"/>
  <c r="I27" i="45"/>
  <c r="I27" i="43" s="1"/>
  <c r="B27" i="42" s="1"/>
  <c r="I14" i="45"/>
  <c r="G14" i="45"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i="45"/>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D42" i="38658"/>
  <c r="I42" i="38658" s="1"/>
  <c r="F48" i="45"/>
  <c r="I46" i="45"/>
  <c r="J48" i="11"/>
  <c r="D48" i="38656"/>
  <c r="D29" i="38658"/>
  <c r="I29" i="38658" s="1"/>
  <c r="F32" i="19"/>
  <c r="G43" i="18"/>
  <c r="K43" i="38667"/>
  <c r="F33" i="19"/>
  <c r="G27" i="18"/>
  <c r="K27" i="38667"/>
  <c r="J48" i="9"/>
  <c r="C39" i="44"/>
  <c r="C39" i="42" s="1"/>
  <c r="E39" i="44"/>
  <c r="D39" i="42" s="1"/>
  <c r="I39" i="43"/>
  <c r="B39" i="42" s="1"/>
  <c r="C39" i="45"/>
  <c r="G39" i="42" s="1"/>
  <c r="I39" i="44"/>
  <c r="F39" i="42" s="1"/>
  <c r="I36" i="45"/>
  <c r="G36" i="45" s="1"/>
  <c r="D32" i="20"/>
  <c r="D50" i="38656"/>
  <c r="D39" i="20"/>
  <c r="C24" i="41"/>
  <c r="D24" i="41"/>
  <c r="C39" i="41"/>
  <c r="D39" i="41"/>
  <c r="D14" i="20"/>
  <c r="D16" i="39"/>
  <c r="F16" i="39"/>
  <c r="H16" i="39"/>
  <c r="K40" i="38667"/>
  <c r="G40" i="18"/>
  <c r="C38" i="41"/>
  <c r="D38" i="41"/>
  <c r="D24" i="20"/>
  <c r="F44" i="38659"/>
  <c r="I44" i="38658"/>
  <c r="B48" i="39"/>
  <c r="F11" i="39"/>
  <c r="H11" i="39"/>
  <c r="D11" i="39"/>
  <c r="E16" i="5"/>
  <c r="H26" i="39"/>
  <c r="D26" i="39"/>
  <c r="F26" i="39"/>
  <c r="D45" i="38655"/>
  <c r="G45" i="19"/>
  <c r="F25" i="19"/>
  <c r="E14" i="5"/>
  <c r="D32" i="18"/>
  <c r="J32" i="38667"/>
  <c r="K23" i="38667"/>
  <c r="G23" i="18"/>
  <c r="I33" i="45"/>
  <c r="G33" i="45" s="1"/>
  <c r="D31" i="41"/>
  <c r="C31" i="41"/>
  <c r="D19" i="18"/>
  <c r="J19" i="38667"/>
  <c r="D16" i="27"/>
  <c r="D16" i="76" s="1"/>
  <c r="B16" i="76"/>
  <c r="D23" i="41"/>
  <c r="C23" i="41"/>
  <c r="D25" i="38655"/>
  <c r="G25" i="19"/>
  <c r="B48" i="19"/>
  <c r="F12" i="19"/>
  <c r="H41" i="39"/>
  <c r="D41" i="39"/>
  <c r="F41" i="39"/>
  <c r="F31" i="19"/>
  <c r="G41" i="18"/>
  <c r="K41" i="38667"/>
  <c r="G19" i="20"/>
  <c r="D16" i="20"/>
  <c r="D40" i="41"/>
  <c r="C40" i="41"/>
  <c r="J26" i="38667"/>
  <c r="D26" i="18"/>
  <c r="G37" i="18"/>
  <c r="K37" i="38667"/>
  <c r="D22" i="20"/>
  <c r="D23" i="39"/>
  <c r="F23" i="39"/>
  <c r="H23" i="39"/>
  <c r="E34" i="5"/>
  <c r="F35" i="19"/>
  <c r="D34" i="38655"/>
  <c r="G34" i="19"/>
  <c r="D48" i="9"/>
  <c r="I38" i="38658"/>
  <c r="F38" i="38659"/>
  <c r="H45" i="39"/>
  <c r="D45" i="39"/>
  <c r="F45" i="39"/>
  <c r="F13" i="39"/>
  <c r="H13" i="39"/>
  <c r="D13" i="39"/>
  <c r="E17" i="5"/>
  <c r="D14" i="41"/>
  <c r="C14" i="41"/>
  <c r="E42" i="5"/>
  <c r="E31" i="5"/>
  <c r="E18" i="5"/>
  <c r="D39" i="38655"/>
  <c r="G39" i="19"/>
  <c r="D28" i="38655"/>
  <c r="G28" i="19"/>
  <c r="D20" i="38655"/>
  <c r="G20" i="19"/>
  <c r="G25" i="20"/>
  <c r="E38" i="5"/>
  <c r="D35" i="41"/>
  <c r="C35" i="41"/>
  <c r="G22" i="20"/>
  <c r="D15" i="18"/>
  <c r="J15" i="38667"/>
  <c r="J23" i="38655"/>
  <c r="J34" i="11"/>
  <c r="D17" i="41"/>
  <c r="C17" i="41"/>
  <c r="G17" i="20"/>
  <c r="D50" i="20"/>
  <c r="D17" i="20"/>
  <c r="D26" i="41"/>
  <c r="C26" i="41"/>
  <c r="F51" i="19"/>
  <c r="G24" i="20"/>
  <c r="E51" i="5"/>
  <c r="D28" i="20"/>
  <c r="D17" i="38655"/>
  <c r="G17" i="19"/>
  <c r="G28" i="20"/>
  <c r="D27" i="18"/>
  <c r="J27" i="38667"/>
  <c r="I51" i="19"/>
  <c r="D12" i="39"/>
  <c r="F12" i="39"/>
  <c r="H12" i="39"/>
  <c r="D12" i="38655"/>
  <c r="G12" i="19"/>
  <c r="G45" i="18"/>
  <c r="K45" i="38667"/>
  <c r="D24" i="39"/>
  <c r="F24" i="39"/>
  <c r="H24" i="39"/>
  <c r="D37" i="38655"/>
  <c r="G37" i="19"/>
  <c r="F38" i="19"/>
  <c r="D48" i="26"/>
  <c r="E45" i="5"/>
  <c r="D25" i="18"/>
  <c r="J25" i="38667"/>
  <c r="F24" i="19"/>
  <c r="D38" i="20"/>
  <c r="J38" i="11"/>
  <c r="D46" i="39"/>
  <c r="F46" i="39"/>
  <c r="H46" i="39"/>
  <c r="G15" i="19"/>
  <c r="D15" i="38655"/>
  <c r="D15" i="20"/>
  <c r="C50" i="41"/>
  <c r="D50" i="41"/>
  <c r="G23" i="20"/>
  <c r="G44" i="18"/>
  <c r="K44" i="38667"/>
  <c r="K20" i="38667"/>
  <c r="G20" i="18"/>
  <c r="E24" i="5"/>
  <c r="D26" i="38655"/>
  <c r="G26" i="19"/>
  <c r="D18" i="38655"/>
  <c r="G18" i="19"/>
  <c r="F34" i="19"/>
  <c r="G42" i="18"/>
  <c r="K42" i="38667"/>
  <c r="G17" i="18"/>
  <c r="K17" i="38667"/>
  <c r="K13" i="38667"/>
  <c r="G13" i="18"/>
  <c r="D51" i="18"/>
  <c r="I38" i="43"/>
  <c r="B38" i="42" s="1"/>
  <c r="I38" i="44"/>
  <c r="F38" i="42" s="1"/>
  <c r="E38" i="44"/>
  <c r="D38" i="42" s="1"/>
  <c r="C38" i="44"/>
  <c r="C38" i="42" s="1"/>
  <c r="C38" i="45"/>
  <c r="G38" i="42" s="1"/>
  <c r="D48" i="10"/>
  <c r="C43" i="41"/>
  <c r="D43" i="41"/>
  <c r="I44" i="43"/>
  <c r="B44" i="42" s="1"/>
  <c r="E44" i="44"/>
  <c r="D44" i="42" s="1"/>
  <c r="I44" i="44"/>
  <c r="F44" i="42" s="1"/>
  <c r="C44" i="44"/>
  <c r="C44" i="42" s="1"/>
  <c r="F32" i="39"/>
  <c r="H32" i="39"/>
  <c r="D32" i="39"/>
  <c r="D37" i="38658"/>
  <c r="D21" i="38658"/>
  <c r="E26" i="18"/>
  <c r="D46" i="38658"/>
  <c r="D35" i="38658"/>
  <c r="D16" i="7"/>
  <c r="G16" i="8"/>
  <c r="D19" i="38656"/>
  <c r="D27" i="38656"/>
  <c r="D42" i="20"/>
  <c r="D32" i="41"/>
  <c r="C32" i="41"/>
  <c r="D37" i="18"/>
  <c r="J37" i="38667"/>
  <c r="D38" i="38656"/>
  <c r="D40" i="27"/>
  <c r="D40" i="76" s="1"/>
  <c r="B40" i="76"/>
  <c r="J26" i="11"/>
  <c r="D18" i="20"/>
  <c r="G41" i="20"/>
  <c r="C42" i="41"/>
  <c r="D42" i="41"/>
  <c r="F37" i="19"/>
  <c r="E21" i="5"/>
  <c r="G13" i="19"/>
  <c r="D13" i="38655"/>
  <c r="D38" i="38655"/>
  <c r="G38" i="19"/>
  <c r="I47" i="38658"/>
  <c r="F47" i="38659"/>
  <c r="F17" i="19"/>
  <c r="G31" i="18"/>
  <c r="K31" i="38667"/>
  <c r="I51" i="45"/>
  <c r="G51" i="45" s="1"/>
  <c r="I13" i="45"/>
  <c r="G13" i="45" s="1"/>
  <c r="C11" i="5"/>
  <c r="C48" i="5" s="1"/>
  <c r="K48" i="3188"/>
  <c r="F48" i="78"/>
  <c r="B11" i="43"/>
  <c r="E48" i="20"/>
  <c r="G11" i="20"/>
  <c r="F45" i="19"/>
  <c r="G33" i="20"/>
  <c r="D37" i="20"/>
  <c r="D35" i="38655"/>
  <c r="G35" i="19"/>
  <c r="G35" i="18"/>
  <c r="K35" i="38667"/>
  <c r="J42" i="38667"/>
  <c r="D42" i="18"/>
  <c r="G19" i="19"/>
  <c r="D19" i="38655"/>
  <c r="D19" i="20"/>
  <c r="D40" i="20"/>
  <c r="G40" i="20"/>
  <c r="D50" i="18"/>
  <c r="F44" i="19"/>
  <c r="D22" i="18"/>
  <c r="J22" i="38667"/>
  <c r="J11" i="38667"/>
  <c r="D11" i="18"/>
  <c r="G36" i="19"/>
  <c r="D36" i="38655"/>
  <c r="D19" i="39"/>
  <c r="F19" i="39"/>
  <c r="H19" i="39"/>
  <c r="F26" i="38659"/>
  <c r="I26" i="38658"/>
  <c r="I18" i="38658"/>
  <c r="F18" i="38659"/>
  <c r="F27" i="19"/>
  <c r="E27" i="5"/>
  <c r="D40" i="18"/>
  <c r="J40" i="38667"/>
  <c r="D31" i="38656"/>
  <c r="D23" i="27"/>
  <c r="D23" i="76" s="1"/>
  <c r="B23" i="76"/>
  <c r="D18" i="38656"/>
  <c r="F17" i="39"/>
  <c r="H17" i="39"/>
  <c r="D17" i="39"/>
  <c r="G46" i="20"/>
  <c r="G32" i="20"/>
  <c r="G16" i="20"/>
  <c r="C45" i="41"/>
  <c r="D45" i="41"/>
  <c r="E44" i="5"/>
  <c r="F18" i="19"/>
  <c r="D13" i="38658"/>
  <c r="E32" i="5"/>
  <c r="K28" i="38667"/>
  <c r="G28" i="18"/>
  <c r="G44" i="19"/>
  <c r="D44" i="38655"/>
  <c r="I39" i="38658"/>
  <c r="F39" i="38659"/>
  <c r="F45" i="38659"/>
  <c r="I45" i="38658"/>
  <c r="G12" i="18"/>
  <c r="K12" i="38667"/>
  <c r="G34" i="20"/>
  <c r="D45" i="20"/>
  <c r="D34" i="18"/>
  <c r="J34" i="38667"/>
  <c r="J27" i="11"/>
  <c r="J16" i="38655"/>
  <c r="D27" i="27"/>
  <c r="D27" i="76" s="1"/>
  <c r="B27" i="76"/>
  <c r="D19" i="41"/>
  <c r="C19" i="41"/>
  <c r="J43" i="38667"/>
  <c r="D43" i="18"/>
  <c r="G36" i="20"/>
  <c r="G44" i="20"/>
  <c r="D26" i="20"/>
  <c r="F28" i="19"/>
  <c r="D33" i="18"/>
  <c r="J33" i="38667"/>
  <c r="F41" i="19"/>
  <c r="D31" i="39"/>
  <c r="F31" i="39"/>
  <c r="H31" i="39"/>
  <c r="E46" i="5"/>
  <c r="E15" i="5"/>
  <c r="E35" i="5"/>
  <c r="E12" i="5"/>
  <c r="J25" i="11"/>
  <c r="D43" i="20"/>
  <c r="G19" i="18"/>
  <c r="K19" i="38667"/>
  <c r="J13" i="38667"/>
  <c r="D13" i="18"/>
  <c r="K14" i="38667"/>
  <c r="G14" i="18"/>
  <c r="D44" i="18"/>
  <c r="J44" i="38667"/>
  <c r="F43" i="19"/>
  <c r="K15" i="38667"/>
  <c r="G15" i="18"/>
  <c r="D27" i="38658"/>
  <c r="D36" i="38658"/>
  <c r="D19" i="38658"/>
  <c r="D16" i="19"/>
  <c r="D28" i="38658"/>
  <c r="D23" i="19"/>
  <c r="B18" i="18"/>
  <c r="B45" i="18"/>
  <c r="D45" i="8"/>
  <c r="C22" i="41"/>
  <c r="D22" i="41"/>
  <c r="D32" i="27"/>
  <c r="D32" i="76" s="1"/>
  <c r="B32" i="76"/>
  <c r="D38" i="39"/>
  <c r="F38" i="39"/>
  <c r="H38" i="39"/>
  <c r="C27" i="41"/>
  <c r="D27" i="41"/>
  <c r="D21" i="38655"/>
  <c r="G21" i="19"/>
  <c r="G34" i="18"/>
  <c r="K34" i="38667"/>
  <c r="F42" i="19"/>
  <c r="D44" i="20"/>
  <c r="D46" i="18"/>
  <c r="J46" i="38667"/>
  <c r="D44" i="38656"/>
  <c r="J18" i="38655"/>
  <c r="C46" i="41"/>
  <c r="D46" i="41"/>
  <c r="H18" i="39"/>
  <c r="D18" i="39"/>
  <c r="F18" i="39"/>
  <c r="E19" i="5"/>
  <c r="D24" i="18"/>
  <c r="J24" i="38667"/>
  <c r="D12" i="18"/>
  <c r="J12" i="38667"/>
  <c r="G24" i="18"/>
  <c r="K24" i="38667"/>
  <c r="D40" i="38655"/>
  <c r="G40" i="19"/>
  <c r="F15" i="38659"/>
  <c r="I15" i="38658"/>
  <c r="I40" i="38658"/>
  <c r="F40" i="38659"/>
  <c r="E33" i="5"/>
  <c r="D28" i="39"/>
  <c r="F28" i="39"/>
  <c r="H28" i="39"/>
  <c r="F25" i="39"/>
  <c r="H25" i="39"/>
  <c r="D25" i="39"/>
  <c r="G48" i="38655"/>
  <c r="F36" i="19"/>
  <c r="E37" i="5"/>
  <c r="E43" i="5"/>
  <c r="I26" i="45"/>
  <c r="G26" i="45" s="1"/>
  <c r="I20" i="45"/>
  <c r="D42" i="38656"/>
  <c r="D45" i="27"/>
  <c r="D45" i="76" s="1"/>
  <c r="B45" i="76"/>
  <c r="G42" i="20"/>
  <c r="G15" i="20"/>
  <c r="D14" i="18"/>
  <c r="J14" i="38667"/>
  <c r="D20" i="20"/>
  <c r="D35" i="18"/>
  <c r="J35" i="38667"/>
  <c r="J48" i="26"/>
  <c r="I34" i="38658"/>
  <c r="F34" i="38659"/>
  <c r="D39" i="39"/>
  <c r="F39" i="39"/>
  <c r="H39" i="39"/>
  <c r="I25" i="38658"/>
  <c r="F25" i="38659"/>
  <c r="D41" i="38655"/>
  <c r="G41" i="19"/>
  <c r="E36" i="5"/>
  <c r="E26" i="5"/>
  <c r="D24" i="38655"/>
  <c r="G24" i="19"/>
  <c r="D16" i="38655"/>
  <c r="G16" i="19"/>
  <c r="F21" i="19"/>
  <c r="G50" i="20"/>
  <c r="D17" i="38656"/>
  <c r="G31" i="20"/>
  <c r="D31" i="20"/>
  <c r="G18" i="20"/>
  <c r="E13" i="5"/>
  <c r="D15" i="39"/>
  <c r="F15" i="39"/>
  <c r="H15" i="39"/>
  <c r="J11" i="38655"/>
  <c r="G48" i="38656"/>
  <c r="G48" i="11"/>
  <c r="D12" i="20"/>
  <c r="G11" i="19"/>
  <c r="D11" i="38655"/>
  <c r="D27" i="38655"/>
  <c r="G27" i="19"/>
  <c r="F48" i="41"/>
  <c r="G48" i="41" s="1"/>
  <c r="G11" i="41"/>
  <c r="F40" i="39"/>
  <c r="H40" i="39"/>
  <c r="D40" i="39"/>
  <c r="C11" i="41"/>
  <c r="D11" i="41"/>
  <c r="B48" i="41"/>
  <c r="H22" i="39"/>
  <c r="D22" i="39"/>
  <c r="F22" i="39"/>
  <c r="H14" i="39"/>
  <c r="D14" i="39"/>
  <c r="F14" i="39"/>
  <c r="D46" i="38655"/>
  <c r="G46" i="19"/>
  <c r="F11" i="19"/>
  <c r="E40" i="5"/>
  <c r="D43" i="38655"/>
  <c r="G43" i="19"/>
  <c r="G43" i="20"/>
  <c r="I34" i="45"/>
  <c r="G34" i="45" s="1"/>
  <c r="J30" i="38667"/>
  <c r="D30" i="18"/>
  <c r="I21" i="45"/>
  <c r="G21" i="45" s="1"/>
  <c r="E25" i="5"/>
  <c r="C18" i="41"/>
  <c r="D18" i="41"/>
  <c r="G21" i="20"/>
  <c r="D25" i="20"/>
  <c r="G36" i="18"/>
  <c r="K36" i="38667"/>
  <c r="D23" i="20"/>
  <c r="D27" i="20"/>
  <c r="D13" i="41"/>
  <c r="C13" i="41"/>
  <c r="C41" i="41"/>
  <c r="D41" i="41"/>
  <c r="F39" i="19"/>
  <c r="E23" i="5"/>
  <c r="D42" i="39"/>
  <c r="F42" i="39"/>
  <c r="H42" i="39"/>
  <c r="E28" i="5"/>
  <c r="H37" i="39"/>
  <c r="D37" i="39"/>
  <c r="F37" i="39"/>
  <c r="G22" i="19"/>
  <c r="D22" i="38655"/>
  <c r="D14" i="38655"/>
  <c r="G14" i="19"/>
  <c r="F15" i="19"/>
  <c r="K18" i="38667"/>
  <c r="G18" i="18"/>
  <c r="D41" i="18"/>
  <c r="J41" i="38667"/>
  <c r="D20" i="18"/>
  <c r="J20" i="38667"/>
  <c r="D52" i="38658"/>
  <c r="G39" i="45"/>
  <c r="B16" i="18"/>
  <c r="B17" i="18"/>
  <c r="D40" i="19"/>
  <c r="E38" i="18"/>
  <c r="D33" i="38658"/>
  <c r="L30" i="38667"/>
  <c r="I30" i="19"/>
  <c r="J34" i="38655"/>
  <c r="G46" i="18"/>
  <c r="K46" i="38667"/>
  <c r="D22" i="38656"/>
  <c r="J15" i="38655"/>
  <c r="D33" i="27"/>
  <c r="D33" i="76" s="1"/>
  <c r="B33" i="76"/>
  <c r="D46" i="27"/>
  <c r="D46" i="76" s="1"/>
  <c r="B46" i="76"/>
  <c r="F23" i="38659"/>
  <c r="I23" i="38658"/>
  <c r="K25" i="38667"/>
  <c r="G25" i="18"/>
  <c r="G37" i="20"/>
  <c r="D36" i="20"/>
  <c r="G26" i="20"/>
  <c r="G20" i="20"/>
  <c r="F14" i="19"/>
  <c r="F22" i="19"/>
  <c r="G33" i="18"/>
  <c r="K33" i="38667"/>
  <c r="H48" i="18"/>
  <c r="E11" i="5"/>
  <c r="F50" i="19"/>
  <c r="G42" i="19"/>
  <c r="D42" i="38655"/>
  <c r="D34" i="39"/>
  <c r="F34" i="39"/>
  <c r="H34" i="39"/>
  <c r="D50" i="38655"/>
  <c r="G50" i="19"/>
  <c r="D36" i="18"/>
  <c r="J36" i="38667"/>
  <c r="I15" i="45"/>
  <c r="G15" i="45" s="1"/>
  <c r="I31" i="45"/>
  <c r="G31" i="45" s="1"/>
  <c r="I12" i="45"/>
  <c r="G12" i="45" s="1"/>
  <c r="J21" i="38655"/>
  <c r="D51" i="20"/>
  <c r="G14" i="20"/>
  <c r="D28" i="18"/>
  <c r="J28" i="38667"/>
  <c r="D36" i="27"/>
  <c r="D36" i="76" s="1"/>
  <c r="B36" i="76"/>
  <c r="K22" i="38667"/>
  <c r="G22" i="18"/>
  <c r="D37" i="27"/>
  <c r="D37" i="76" s="1"/>
  <c r="B37" i="76"/>
  <c r="D20" i="41"/>
  <c r="C20" i="41"/>
  <c r="D35" i="20"/>
  <c r="F26" i="19"/>
  <c r="G51" i="18"/>
  <c r="G39" i="20"/>
  <c r="F21" i="39"/>
  <c r="H21" i="39"/>
  <c r="D21" i="39"/>
  <c r="F44" i="39"/>
  <c r="H44" i="39"/>
  <c r="D44" i="39"/>
  <c r="F20" i="19"/>
  <c r="G32" i="18"/>
  <c r="K32" i="38667"/>
  <c r="B48" i="40"/>
  <c r="D48" i="40" s="1"/>
  <c r="D11" i="40"/>
  <c r="D32" i="38655"/>
  <c r="G32" i="19"/>
  <c r="G23" i="19"/>
  <c r="D23" i="38655"/>
  <c r="D20" i="39"/>
  <c r="F20" i="39"/>
  <c r="H20" i="39"/>
  <c r="I41" i="38658"/>
  <c r="F41" i="38659"/>
  <c r="I30" i="38658"/>
  <c r="F30" i="38659"/>
  <c r="I22" i="38658"/>
  <c r="F22" i="38659"/>
  <c r="E39" i="5"/>
  <c r="D38" i="18"/>
  <c r="J38" i="38667"/>
  <c r="K21" i="38667"/>
  <c r="G21" i="18"/>
  <c r="J32" i="38655"/>
  <c r="J36" i="38655"/>
  <c r="D13" i="38656"/>
  <c r="B20" i="76"/>
  <c r="D20" i="27"/>
  <c r="D20" i="76" s="1"/>
  <c r="D37" i="38656"/>
  <c r="J43" i="11"/>
  <c r="G50" i="18"/>
  <c r="J21" i="38667"/>
  <c r="D21" i="18"/>
  <c r="G51" i="20"/>
  <c r="C12" i="41"/>
  <c r="D12" i="41"/>
  <c r="D21" i="20"/>
  <c r="F36" i="39"/>
  <c r="H36" i="39"/>
  <c r="D36" i="39"/>
  <c r="G48" i="26"/>
  <c r="H33" i="39"/>
  <c r="D33" i="39"/>
  <c r="F33" i="39"/>
  <c r="D11" i="20"/>
  <c r="B48" i="20"/>
  <c r="E22" i="5"/>
  <c r="F13" i="19"/>
  <c r="G39" i="18"/>
  <c r="K39" i="38667"/>
  <c r="D23" i="18"/>
  <c r="J23" i="38667"/>
  <c r="I28" i="45"/>
  <c r="C36" i="41"/>
  <c r="D36" i="41"/>
  <c r="D35" i="38656"/>
  <c r="D46" i="38656"/>
  <c r="F19" i="19"/>
  <c r="D33" i="20"/>
  <c r="D34" i="20"/>
  <c r="D13" i="20"/>
  <c r="D31" i="18"/>
  <c r="J31" i="38667"/>
  <c r="D39" i="18"/>
  <c r="J39" i="38667"/>
  <c r="D41" i="20"/>
  <c r="G12" i="20"/>
  <c r="G45" i="20"/>
  <c r="G38" i="20"/>
  <c r="E50" i="5"/>
  <c r="D35" i="39"/>
  <c r="F35" i="39"/>
  <c r="H35" i="39"/>
  <c r="D33" i="38655"/>
  <c r="G33" i="19"/>
  <c r="G13" i="20"/>
  <c r="D31" i="38655"/>
  <c r="G31" i="19"/>
  <c r="E41" i="5"/>
  <c r="E20" i="5"/>
  <c r="G16" i="18"/>
  <c r="K16" i="38667"/>
  <c r="D43" i="39"/>
  <c r="F43" i="39"/>
  <c r="H43" i="39"/>
  <c r="E24" i="44"/>
  <c r="D24" i="42" s="1"/>
  <c r="C24" i="44"/>
  <c r="C24" i="42" s="1"/>
  <c r="I24" i="43"/>
  <c r="B24" i="42" s="1"/>
  <c r="I24" i="44"/>
  <c r="F24" i="42" s="1"/>
  <c r="C24" i="45"/>
  <c r="G24" i="42" s="1"/>
  <c r="G11" i="18"/>
  <c r="K11" i="38667"/>
  <c r="G48" i="10"/>
  <c r="D48" i="11"/>
  <c r="E39" i="45"/>
  <c r="H39" i="42" s="1"/>
  <c r="D43" i="38658"/>
  <c r="G39" i="44"/>
  <c r="E39" i="42" s="1"/>
  <c r="D46" i="19"/>
  <c r="D14" i="38658"/>
  <c r="D48" i="38658"/>
  <c r="I22" i="45"/>
  <c r="D17" i="38658"/>
  <c r="D24" i="38658"/>
  <c r="E40" i="45" l="1"/>
  <c r="H40" i="42" s="1"/>
  <c r="C35" i="44"/>
  <c r="C35" i="42" s="1"/>
  <c r="I40" i="43"/>
  <c r="B40" i="42" s="1"/>
  <c r="C35" i="45"/>
  <c r="G35" i="42" s="1"/>
  <c r="C14" i="44"/>
  <c r="C14" i="42" s="1"/>
  <c r="M30" i="38667"/>
  <c r="G23" i="44"/>
  <c r="E23" i="42" s="1"/>
  <c r="C14" i="45"/>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i="45"/>
  <c r="H37" i="42" s="1"/>
  <c r="G19" i="44"/>
  <c r="E19" i="42" s="1"/>
  <c r="E48" i="18"/>
  <c r="G48" i="18" s="1"/>
  <c r="E37" i="44"/>
  <c r="D37" i="42" s="1"/>
  <c r="F29" i="38659"/>
  <c r="C19" i="44"/>
  <c r="C19" i="42" s="1"/>
  <c r="G19" i="45"/>
  <c r="C37" i="44"/>
  <c r="C37" i="42" s="1"/>
  <c r="C37" i="45"/>
  <c r="G37" i="42" s="1"/>
  <c r="I19" i="43"/>
  <c r="B19" i="42" s="1"/>
  <c r="J18" i="42"/>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i="42"/>
  <c r="J25" i="42"/>
  <c r="J50" i="42"/>
  <c r="J41" i="42"/>
  <c r="J16" i="42"/>
  <c r="G46" i="44"/>
  <c r="E46" i="42" s="1"/>
  <c r="C46" i="44"/>
  <c r="C46" i="42" s="1"/>
  <c r="E46" i="45"/>
  <c r="H46" i="42" s="1"/>
  <c r="I46" i="44"/>
  <c r="F46" i="42" s="1"/>
  <c r="G46" i="45"/>
  <c r="E46" i="44"/>
  <c r="D46" i="42" s="1"/>
  <c r="C46" i="45"/>
  <c r="G46" i="42" s="1"/>
  <c r="F42" i="38659"/>
  <c r="I46" i="43"/>
  <c r="B46" i="42" s="1"/>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I32" i="19"/>
  <c r="L32" i="38667"/>
  <c r="M32" i="38667" s="1"/>
  <c r="I42" i="19"/>
  <c r="L42" i="38667"/>
  <c r="M42" i="38667" s="1"/>
  <c r="G38" i="18"/>
  <c r="K38" i="38667"/>
  <c r="D48" i="8"/>
  <c r="L43" i="38667"/>
  <c r="M43" i="38667" s="1"/>
  <c r="I43" i="19"/>
  <c r="I46" i="19"/>
  <c r="L46" i="38667"/>
  <c r="M46" i="38667" s="1"/>
  <c r="C48" i="41"/>
  <c r="D48" i="41"/>
  <c r="L41" i="38667"/>
  <c r="M41" i="38667" s="1"/>
  <c r="I41" i="19"/>
  <c r="I20" i="43"/>
  <c r="B20" i="42" s="1"/>
  <c r="C20" i="44"/>
  <c r="C20" i="42" s="1"/>
  <c r="E20" i="44"/>
  <c r="D20" i="42" s="1"/>
  <c r="I20" i="44"/>
  <c r="F20" i="42" s="1"/>
  <c r="C20" i="45"/>
  <c r="G20" i="42" s="1"/>
  <c r="G20" i="44"/>
  <c r="E20" i="42" s="1"/>
  <c r="E20" i="45"/>
  <c r="H20" i="42" s="1"/>
  <c r="F16" i="19"/>
  <c r="F27" i="38659"/>
  <c r="I27" i="38658"/>
  <c r="G48" i="9"/>
  <c r="I13" i="38658"/>
  <c r="D50" i="38658"/>
  <c r="I50" i="38658" s="1"/>
  <c r="F13" i="38659"/>
  <c r="F11" i="43"/>
  <c r="B48" i="43"/>
  <c r="I38" i="19"/>
  <c r="L38" i="38667"/>
  <c r="I13" i="19"/>
  <c r="L13" i="38667"/>
  <c r="M13" i="38667" s="1"/>
  <c r="F46" i="38659"/>
  <c r="I46" i="38658"/>
  <c r="L12" i="38667"/>
  <c r="M12" i="38667" s="1"/>
  <c r="I12" i="19"/>
  <c r="I28" i="19"/>
  <c r="L28" i="38667"/>
  <c r="M28" i="38667" s="1"/>
  <c r="H52" i="22"/>
  <c r="J24" i="42"/>
  <c r="E48" i="5"/>
  <c r="G22" i="45"/>
  <c r="I14" i="38658"/>
  <c r="F14" i="38659"/>
  <c r="G48" i="8"/>
  <c r="I33" i="19"/>
  <c r="L33" i="38667"/>
  <c r="M33" i="38667"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F33" i="38659"/>
  <c r="I33" i="38658"/>
  <c r="I14" i="19"/>
  <c r="L14" i="38667"/>
  <c r="M14" i="38667" s="1"/>
  <c r="L22" i="38667"/>
  <c r="M22" i="38667" s="1"/>
  <c r="I22" i="19"/>
  <c r="J45" i="38667"/>
  <c r="D45" i="18"/>
  <c r="D18" i="18"/>
  <c r="J18" i="38667"/>
  <c r="I28" i="38658"/>
  <c r="F28" i="38659"/>
  <c r="F19" i="38659"/>
  <c r="I19" i="38658"/>
  <c r="L44" i="38667"/>
  <c r="M44" i="38667" s="1"/>
  <c r="I44" i="19"/>
  <c r="L36" i="38667"/>
  <c r="M36" i="38667" s="1"/>
  <c r="I36" i="19"/>
  <c r="F54" i="23"/>
  <c r="G48" i="20"/>
  <c r="G26" i="18"/>
  <c r="K26" i="38667"/>
  <c r="L15" i="38667"/>
  <c r="M15" i="38667" s="1"/>
  <c r="I15" i="19"/>
  <c r="I37" i="19"/>
  <c r="L37" i="38667"/>
  <c r="M37" i="38667" s="1"/>
  <c r="L39" i="38667"/>
  <c r="M39" i="38667" s="1"/>
  <c r="I39" i="19"/>
  <c r="I45" i="19"/>
  <c r="L45" i="38667"/>
  <c r="J38" i="42"/>
  <c r="F24" i="38659"/>
  <c r="I24" i="38658"/>
  <c r="I17" i="38658"/>
  <c r="F17" i="38659"/>
  <c r="F46" i="19"/>
  <c r="I43" i="38658"/>
  <c r="F43" i="38659"/>
  <c r="I31" i="19"/>
  <c r="L31" i="38667"/>
  <c r="M31" i="38667" s="1"/>
  <c r="L23" i="38667"/>
  <c r="M23" i="38667" s="1"/>
  <c r="I23" i="19"/>
  <c r="I52" i="38658"/>
  <c r="I34" i="44"/>
  <c r="F34" i="42" s="1"/>
  <c r="C34" i="44"/>
  <c r="C34" i="42" s="1"/>
  <c r="E34" i="44"/>
  <c r="D34" i="42" s="1"/>
  <c r="I34" i="43"/>
  <c r="B34" i="42" s="1"/>
  <c r="C34" i="45"/>
  <c r="G34" i="42" s="1"/>
  <c r="G34" i="44"/>
  <c r="E34" i="42" s="1"/>
  <c r="E34" i="45"/>
  <c r="H34" i="42" s="1"/>
  <c r="D48" i="38655"/>
  <c r="J48" i="38655"/>
  <c r="L16" i="38667"/>
  <c r="I16" i="19"/>
  <c r="C26" i="44"/>
  <c r="C26" i="42" s="1"/>
  <c r="E26" i="44"/>
  <c r="D26" i="42" s="1"/>
  <c r="I26" i="44"/>
  <c r="F26" i="42" s="1"/>
  <c r="I26" i="43"/>
  <c r="B26" i="42" s="1"/>
  <c r="C26" i="45"/>
  <c r="G26" i="42" s="1"/>
  <c r="E26" i="45"/>
  <c r="H26" i="42" s="1"/>
  <c r="G26" i="44"/>
  <c r="E26" i="42" s="1"/>
  <c r="L21" i="38667"/>
  <c r="M21" i="38667" s="1"/>
  <c r="I21" i="19"/>
  <c r="F23" i="19"/>
  <c r="E51" i="45"/>
  <c r="H51" i="42" s="1"/>
  <c r="C51" i="44"/>
  <c r="C51" i="42" s="1"/>
  <c r="C51" i="45"/>
  <c r="G51" i="42" s="1"/>
  <c r="I51" i="44"/>
  <c r="F51" i="42" s="1"/>
  <c r="I51" i="43"/>
  <c r="B51" i="42" s="1"/>
  <c r="E51" i="44"/>
  <c r="D51" i="42" s="1"/>
  <c r="G51" i="44"/>
  <c r="E51" i="42" s="1"/>
  <c r="D48" i="27"/>
  <c r="D48" i="76" s="1"/>
  <c r="F37" i="38659"/>
  <c r="I37" i="38658"/>
  <c r="L18" i="38667"/>
  <c r="I18" i="19"/>
  <c r="I34" i="19"/>
  <c r="L34" i="38667"/>
  <c r="M34" i="38667" s="1"/>
  <c r="I25" i="19"/>
  <c r="L25" i="38667"/>
  <c r="M25" i="38667"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i="42"/>
  <c r="J39" i="42"/>
  <c r="I48" i="38658"/>
  <c r="F48" i="38659"/>
  <c r="D48" i="7"/>
  <c r="D48" i="20"/>
  <c r="D54" i="23"/>
  <c r="G31" i="44"/>
  <c r="E31" i="42" s="1"/>
  <c r="C31" i="44"/>
  <c r="C31" i="42" s="1"/>
  <c r="E31" i="44"/>
  <c r="D31" i="42" s="1"/>
  <c r="I31" i="43"/>
  <c r="B31" i="42" s="1"/>
  <c r="I31" i="44"/>
  <c r="F31" i="42" s="1"/>
  <c r="C31" i="45"/>
  <c r="G31" i="42" s="1"/>
  <c r="E31" i="45"/>
  <c r="H31" i="42" s="1"/>
  <c r="I50" i="19"/>
  <c r="F54" i="22"/>
  <c r="F52" i="22"/>
  <c r="F40" i="19"/>
  <c r="J17" i="38667"/>
  <c r="D17" i="18"/>
  <c r="J16" i="38667"/>
  <c r="D16" i="18"/>
  <c r="I21" i="44"/>
  <c r="F21" i="42" s="1"/>
  <c r="C21" i="45"/>
  <c r="G21" i="42" s="1"/>
  <c r="C21" i="44"/>
  <c r="C21" i="42" s="1"/>
  <c r="E21" i="44"/>
  <c r="D21" i="42" s="1"/>
  <c r="I21" i="43"/>
  <c r="B21" i="42" s="1"/>
  <c r="G21" i="44"/>
  <c r="E21" i="42" s="1"/>
  <c r="E21" i="45"/>
  <c r="H21" i="42" s="1"/>
  <c r="L27" i="38667"/>
  <c r="M27" i="38667" s="1"/>
  <c r="I27" i="19"/>
  <c r="I11" i="19"/>
  <c r="L11" i="38667"/>
  <c r="M11" i="38667" s="1"/>
  <c r="G48" i="19"/>
  <c r="I24" i="19"/>
  <c r="L24" i="38667"/>
  <c r="M24" i="38667" s="1"/>
  <c r="L40" i="38667"/>
  <c r="M40" i="38667" s="1"/>
  <c r="I40" i="19"/>
  <c r="F36" i="38659"/>
  <c r="I36" i="38658"/>
  <c r="L19" i="38667"/>
  <c r="M19" i="38667" s="1"/>
  <c r="I19" i="19"/>
  <c r="L35" i="38667"/>
  <c r="M35" i="38667" s="1"/>
  <c r="I35" i="19"/>
  <c r="C13" i="44"/>
  <c r="C13" i="42" s="1"/>
  <c r="E13" i="44"/>
  <c r="D13" i="42" s="1"/>
  <c r="C13" i="45"/>
  <c r="G13" i="42" s="1"/>
  <c r="I13" i="44"/>
  <c r="F13" i="42" s="1"/>
  <c r="G13" i="44"/>
  <c r="E13" i="42" s="1"/>
  <c r="I13" i="43"/>
  <c r="B13" i="42" s="1"/>
  <c r="E13" i="45"/>
  <c r="H13" i="42" s="1"/>
  <c r="I35" i="38658"/>
  <c r="F35" i="38659"/>
  <c r="F21" i="38659"/>
  <c r="I21" i="38658"/>
  <c r="I26" i="19"/>
  <c r="L26" i="38667"/>
  <c r="I17" i="19"/>
  <c r="L17" i="38667"/>
  <c r="I20" i="19"/>
  <c r="L20" i="38667"/>
  <c r="M20" i="38667" s="1"/>
  <c r="B48" i="76"/>
  <c r="G28" i="45"/>
  <c r="D48" i="19"/>
  <c r="G20" i="45"/>
  <c r="B48" i="18"/>
  <c r="M38" i="38667" l="1"/>
  <c r="I11" i="38658"/>
  <c r="J40" i="42"/>
  <c r="K48" i="38667"/>
  <c r="D52" i="22"/>
  <c r="J45" i="42"/>
  <c r="J35" i="42"/>
  <c r="J23" i="42"/>
  <c r="J37" i="42"/>
  <c r="J19" i="42"/>
  <c r="J32" i="42"/>
  <c r="J27" i="42"/>
  <c r="J14" i="42"/>
  <c r="J17" i="42"/>
  <c r="J43" i="42"/>
  <c r="M26" i="38667"/>
  <c r="J46" i="42"/>
  <c r="M17" i="38667"/>
  <c r="J31" i="42"/>
  <c r="B37" i="38659"/>
  <c r="E37" i="38659" s="1"/>
  <c r="K37" i="38659" s="1"/>
  <c r="D35" i="5"/>
  <c r="E35" i="70"/>
  <c r="D34" i="5"/>
  <c r="B36" i="38659"/>
  <c r="E36" i="38659" s="1"/>
  <c r="K36" i="38659" s="1"/>
  <c r="E34" i="70"/>
  <c r="J52" i="22"/>
  <c r="J54" i="22"/>
  <c r="F48" i="19"/>
  <c r="I48" i="19"/>
  <c r="B54" i="23"/>
  <c r="L48" i="38667"/>
  <c r="H11" i="43"/>
  <c r="F48" i="43"/>
  <c r="J21" i="42"/>
  <c r="M16" i="38667"/>
  <c r="J34" i="42"/>
  <c r="J15" i="42"/>
  <c r="J20" i="42"/>
  <c r="J22" i="42"/>
  <c r="D27" i="5"/>
  <c r="B29" i="38659"/>
  <c r="E29" i="38659" s="1"/>
  <c r="G29" i="38659" s="1"/>
  <c r="E27" i="70"/>
  <c r="D30" i="5"/>
  <c r="B32" i="38659"/>
  <c r="E32" i="38659" s="1"/>
  <c r="G32" i="38659" s="1"/>
  <c r="E30" i="70"/>
  <c r="J48" i="38667"/>
  <c r="B52" i="22"/>
  <c r="D48" i="18"/>
  <c r="B34" i="38659"/>
  <c r="E34" i="38659" s="1"/>
  <c r="G34" i="38659" s="1"/>
  <c r="D32" i="5"/>
  <c r="E32" i="70"/>
  <c r="J36" i="42"/>
  <c r="J26" i="42"/>
  <c r="J12" i="42"/>
  <c r="J28" i="42"/>
  <c r="D29" i="5"/>
  <c r="B31" i="38659"/>
  <c r="E31" i="38659" s="1"/>
  <c r="G31" i="38659" s="1"/>
  <c r="E29" i="70"/>
  <c r="D26" i="5"/>
  <c r="B28" i="38659"/>
  <c r="E28" i="38659" s="1"/>
  <c r="K28" i="38659" s="1"/>
  <c r="E26" i="70"/>
  <c r="F50" i="38659"/>
  <c r="J13" i="42"/>
  <c r="J33" i="42"/>
  <c r="M18" i="38667"/>
  <c r="M45" i="38667"/>
  <c r="G28" i="38659" l="1"/>
  <c r="G36" i="38659"/>
  <c r="G37" i="38659"/>
  <c r="D50" i="5"/>
  <c r="E50" i="70"/>
  <c r="F26" i="5"/>
  <c r="C26" i="38"/>
  <c r="E26" i="38"/>
  <c r="G26" i="38"/>
  <c r="F26" i="11"/>
  <c r="C26" i="38656"/>
  <c r="I26" i="20"/>
  <c r="C26" i="35"/>
  <c r="C26" i="34"/>
  <c r="G26" i="34"/>
  <c r="C26" i="37"/>
  <c r="E26" i="82"/>
  <c r="C26" i="27"/>
  <c r="C26" i="76" s="1"/>
  <c r="E26" i="25"/>
  <c r="E26" i="35"/>
  <c r="I26" i="25"/>
  <c r="C26" i="11"/>
  <c r="C26" i="36"/>
  <c r="C26" i="10"/>
  <c r="G26" i="25"/>
  <c r="I26" i="9"/>
  <c r="F26" i="9"/>
  <c r="C26" i="9"/>
  <c r="F26" i="10"/>
  <c r="E26" i="36"/>
  <c r="C26" i="82"/>
  <c r="C26" i="8"/>
  <c r="C26" i="26"/>
  <c r="F26" i="38655"/>
  <c r="E26" i="34"/>
  <c r="G26" i="36"/>
  <c r="F26" i="38656"/>
  <c r="F26" i="8"/>
  <c r="C26" i="25"/>
  <c r="F26" i="26"/>
  <c r="I26" i="10"/>
  <c r="I26" i="38655"/>
  <c r="I26" i="26"/>
  <c r="E26" i="37"/>
  <c r="C26" i="7"/>
  <c r="I26" i="11"/>
  <c r="C26" i="19"/>
  <c r="E26" i="19"/>
  <c r="C26" i="20"/>
  <c r="I26" i="18"/>
  <c r="F26" i="20"/>
  <c r="C26" i="18"/>
  <c r="C26" i="38655"/>
  <c r="H26" i="19"/>
  <c r="F26" i="18"/>
  <c r="K31" i="38659"/>
  <c r="L31" i="38659"/>
  <c r="D25" i="5"/>
  <c r="B27" i="38659"/>
  <c r="E27" i="38659" s="1"/>
  <c r="G27" i="38659" s="1"/>
  <c r="E25" i="70"/>
  <c r="K34" i="38659"/>
  <c r="L34" i="38659"/>
  <c r="F30" i="5"/>
  <c r="E30" i="38"/>
  <c r="C30" i="38"/>
  <c r="G30" i="38"/>
  <c r="I30" i="20"/>
  <c r="I30" i="11"/>
  <c r="I30" i="26"/>
  <c r="F30" i="38655"/>
  <c r="G30" i="36"/>
  <c r="C30" i="9"/>
  <c r="C30" i="27"/>
  <c r="C30" i="76" s="1"/>
  <c r="C30" i="7"/>
  <c r="E30" i="36"/>
  <c r="C30" i="82"/>
  <c r="I30" i="38655"/>
  <c r="C30" i="25"/>
  <c r="F30" i="26"/>
  <c r="C30" i="10"/>
  <c r="E30" i="82"/>
  <c r="C30" i="35"/>
  <c r="G30" i="25"/>
  <c r="E30" i="25"/>
  <c r="C30" i="11"/>
  <c r="E30" i="37"/>
  <c r="E30" i="34"/>
  <c r="C30" i="8"/>
  <c r="I30" i="10"/>
  <c r="I30" i="25"/>
  <c r="F30" i="10"/>
  <c r="C30" i="37"/>
  <c r="F30" i="11"/>
  <c r="C30" i="38656"/>
  <c r="C30" i="36"/>
  <c r="E30" i="35"/>
  <c r="C30" i="26"/>
  <c r="C30" i="34"/>
  <c r="F30" i="38656"/>
  <c r="G30" i="34"/>
  <c r="F30" i="20"/>
  <c r="I30" i="18"/>
  <c r="F30" i="9"/>
  <c r="F30" i="18"/>
  <c r="C30" i="19"/>
  <c r="I30" i="9"/>
  <c r="E30" i="19"/>
  <c r="F30" i="8"/>
  <c r="C30" i="38655"/>
  <c r="C30" i="20"/>
  <c r="H30" i="19"/>
  <c r="C30" i="18"/>
  <c r="K29" i="38659"/>
  <c r="L29" i="38659"/>
  <c r="L28" i="38659"/>
  <c r="M48" i="38667"/>
  <c r="L37" i="38659"/>
  <c r="B43" i="38659"/>
  <c r="E43" i="38659" s="1"/>
  <c r="G43" i="38659" s="1"/>
  <c r="D41" i="5"/>
  <c r="E41" i="70"/>
  <c r="D22" i="5"/>
  <c r="B24" i="38659"/>
  <c r="E24" i="38659" s="1"/>
  <c r="G24" i="38659" s="1"/>
  <c r="E22" i="70"/>
  <c r="B22" i="38659"/>
  <c r="E22" i="38659" s="1"/>
  <c r="G22" i="38659" s="1"/>
  <c r="D20" i="5"/>
  <c r="E20" i="70"/>
  <c r="D23" i="5"/>
  <c r="B25" i="38659"/>
  <c r="E25" i="38659" s="1"/>
  <c r="G25" i="38659" s="1"/>
  <c r="E23" i="70"/>
  <c r="D36" i="5"/>
  <c r="B38" i="38659"/>
  <c r="E38" i="38659" s="1"/>
  <c r="G38" i="38659" s="1"/>
  <c r="E36" i="70"/>
  <c r="D17" i="5"/>
  <c r="B19" i="38659"/>
  <c r="E19" i="38659" s="1"/>
  <c r="G19" i="38659" s="1"/>
  <c r="E17" i="70"/>
  <c r="F32" i="5"/>
  <c r="C32" i="38"/>
  <c r="E32" i="38"/>
  <c r="G32" i="38"/>
  <c r="C32" i="38656"/>
  <c r="F32" i="26"/>
  <c r="C32" i="37"/>
  <c r="I32" i="20"/>
  <c r="F32" i="10"/>
  <c r="I32" i="26"/>
  <c r="F32" i="38656"/>
  <c r="G32" i="34"/>
  <c r="F32" i="8"/>
  <c r="F32" i="9"/>
  <c r="C32" i="9"/>
  <c r="E32" i="82"/>
  <c r="E32" i="37"/>
  <c r="C32" i="82"/>
  <c r="F32" i="38655"/>
  <c r="E32" i="36"/>
  <c r="E32" i="34"/>
  <c r="C32" i="26"/>
  <c r="G32" i="36"/>
  <c r="C32" i="7"/>
  <c r="I32" i="10"/>
  <c r="C32" i="11"/>
  <c r="C32" i="25"/>
  <c r="I32" i="9"/>
  <c r="C32" i="36"/>
  <c r="C32" i="10"/>
  <c r="C32" i="8"/>
  <c r="C32" i="34"/>
  <c r="F32" i="11"/>
  <c r="E32" i="35"/>
  <c r="E32" i="25"/>
  <c r="C32" i="35"/>
  <c r="I32" i="11"/>
  <c r="G32" i="25"/>
  <c r="I32" i="25"/>
  <c r="E32" i="19"/>
  <c r="F32" i="20"/>
  <c r="C32" i="27"/>
  <c r="C32" i="76" s="1"/>
  <c r="I32" i="38655"/>
  <c r="C32" i="18"/>
  <c r="I32" i="18"/>
  <c r="C32" i="38655"/>
  <c r="C32" i="19"/>
  <c r="C32" i="20"/>
  <c r="F32" i="18"/>
  <c r="H32" i="19"/>
  <c r="B46" i="38659"/>
  <c r="E46" i="38659" s="1"/>
  <c r="G46" i="38659" s="1"/>
  <c r="D44" i="5"/>
  <c r="E44" i="70"/>
  <c r="D43" i="5"/>
  <c r="B45" i="38659"/>
  <c r="E45" i="38659" s="1"/>
  <c r="G45" i="38659" s="1"/>
  <c r="E43" i="70"/>
  <c r="D40" i="5"/>
  <c r="B42" i="38659"/>
  <c r="E42" i="38659" s="1"/>
  <c r="G42" i="38659" s="1"/>
  <c r="E40" i="70"/>
  <c r="K32" i="38659"/>
  <c r="L32" i="38659"/>
  <c r="F34" i="5"/>
  <c r="G34" i="38"/>
  <c r="C34" i="38"/>
  <c r="E34" i="38"/>
  <c r="E34" i="36"/>
  <c r="C34" i="35"/>
  <c r="E34" i="37"/>
  <c r="I34" i="20"/>
  <c r="C34" i="27"/>
  <c r="C34" i="76" s="1"/>
  <c r="G34" i="36"/>
  <c r="C34" i="37"/>
  <c r="I34" i="25"/>
  <c r="C34" i="7"/>
  <c r="F34" i="11"/>
  <c r="F34" i="38656"/>
  <c r="C34" i="36"/>
  <c r="I34" i="26"/>
  <c r="C34" i="38656"/>
  <c r="C34" i="8"/>
  <c r="C34" i="25"/>
  <c r="F34" i="9"/>
  <c r="C34" i="26"/>
  <c r="C34" i="34"/>
  <c r="E34" i="25"/>
  <c r="F34" i="38655"/>
  <c r="F34" i="26"/>
  <c r="G34" i="34"/>
  <c r="E34" i="82"/>
  <c r="F34" i="8"/>
  <c r="C34" i="11"/>
  <c r="I34" i="9"/>
  <c r="C34" i="9"/>
  <c r="E34" i="35"/>
  <c r="I34" i="10"/>
  <c r="G34" i="25"/>
  <c r="F34" i="10"/>
  <c r="E34" i="34"/>
  <c r="C34" i="10"/>
  <c r="C34" i="82"/>
  <c r="C34" i="38655"/>
  <c r="C34" i="18"/>
  <c r="I34" i="18"/>
  <c r="F34" i="18"/>
  <c r="C34" i="19"/>
  <c r="I34" i="11"/>
  <c r="E34" i="19"/>
  <c r="I34" i="38655"/>
  <c r="F34" i="20"/>
  <c r="C34" i="20"/>
  <c r="H34" i="19"/>
  <c r="D51" i="5"/>
  <c r="E51" i="70"/>
  <c r="D37" i="5"/>
  <c r="B39" i="38659"/>
  <c r="E39" i="38659" s="1"/>
  <c r="G39" i="38659" s="1"/>
  <c r="E37" i="70"/>
  <c r="B26" i="38659"/>
  <c r="E26" i="38659" s="1"/>
  <c r="G26" i="38659" s="1"/>
  <c r="D24" i="5"/>
  <c r="E24" i="70"/>
  <c r="L36" i="38659"/>
  <c r="B41" i="38659"/>
  <c r="E41" i="38659" s="1"/>
  <c r="G41" i="38659" s="1"/>
  <c r="D39" i="5"/>
  <c r="E39" i="70"/>
  <c r="H48" i="43"/>
  <c r="I11" i="45"/>
  <c r="I11" i="43" s="1"/>
  <c r="B11" i="42" s="1"/>
  <c r="B13" i="38659"/>
  <c r="D11" i="5"/>
  <c r="E11" i="70"/>
  <c r="D42" i="5"/>
  <c r="B44" i="38659"/>
  <c r="E44" i="38659" s="1"/>
  <c r="G44" i="38659" s="1"/>
  <c r="E42" i="70"/>
  <c r="B21" i="38659"/>
  <c r="E21" i="38659" s="1"/>
  <c r="G21" i="38659" s="1"/>
  <c r="D19" i="5"/>
  <c r="E19" i="70"/>
  <c r="D18" i="5"/>
  <c r="E18" i="70"/>
  <c r="B23" i="38659"/>
  <c r="E23" i="38659" s="1"/>
  <c r="G23" i="38659" s="1"/>
  <c r="D21" i="5"/>
  <c r="E21" i="70"/>
  <c r="B14" i="38659"/>
  <c r="E14" i="38659" s="1"/>
  <c r="G14" i="38659" s="1"/>
  <c r="D12" i="5"/>
  <c r="E12" i="70"/>
  <c r="B47" i="38659"/>
  <c r="E47" i="38659" s="1"/>
  <c r="G47" i="38659" s="1"/>
  <c r="D45" i="5"/>
  <c r="E45" i="70"/>
  <c r="D33" i="5"/>
  <c r="B35" i="38659"/>
  <c r="E35" i="38659" s="1"/>
  <c r="G35" i="38659" s="1"/>
  <c r="E33" i="70"/>
  <c r="B48" i="38659"/>
  <c r="E48" i="38659" s="1"/>
  <c r="G48" i="38659" s="1"/>
  <c r="D46" i="5"/>
  <c r="E46" i="70"/>
  <c r="F29" i="5"/>
  <c r="C29" i="38"/>
  <c r="G29" i="38"/>
  <c r="E29" i="38"/>
  <c r="G29" i="25"/>
  <c r="E29" i="35"/>
  <c r="I29" i="20"/>
  <c r="E29" i="37"/>
  <c r="I29" i="11"/>
  <c r="I29" i="26"/>
  <c r="C29" i="35"/>
  <c r="C29" i="8"/>
  <c r="I29" i="38655"/>
  <c r="C29" i="36"/>
  <c r="C29" i="37"/>
  <c r="C29" i="34"/>
  <c r="F29" i="11"/>
  <c r="C29" i="25"/>
  <c r="C29" i="9"/>
  <c r="F29" i="38656"/>
  <c r="I29" i="10"/>
  <c r="C29" i="10"/>
  <c r="F29" i="38655"/>
  <c r="E29" i="82"/>
  <c r="F29" i="8"/>
  <c r="E29" i="36"/>
  <c r="F29" i="26"/>
  <c r="C29" i="38656"/>
  <c r="G29" i="36"/>
  <c r="F29" i="10"/>
  <c r="I29" i="25"/>
  <c r="F29" i="9"/>
  <c r="E29" i="34"/>
  <c r="C29" i="27"/>
  <c r="C29" i="76" s="1"/>
  <c r="C29" i="26"/>
  <c r="C29" i="11"/>
  <c r="E29" i="25"/>
  <c r="C29" i="82"/>
  <c r="G29" i="34"/>
  <c r="I29" i="9"/>
  <c r="C29" i="7"/>
  <c r="C29" i="20"/>
  <c r="C29" i="19"/>
  <c r="E29" i="19"/>
  <c r="C29" i="38655"/>
  <c r="I29" i="18"/>
  <c r="F29" i="18"/>
  <c r="F29" i="20"/>
  <c r="C29" i="18"/>
  <c r="H29" i="19"/>
  <c r="D15" i="5"/>
  <c r="B17" i="38659"/>
  <c r="E17" i="38659" s="1"/>
  <c r="G17" i="38659" s="1"/>
  <c r="E15" i="70"/>
  <c r="D31" i="5"/>
  <c r="B33" i="38659"/>
  <c r="E33" i="38659" s="1"/>
  <c r="G33" i="38659" s="1"/>
  <c r="E31" i="70"/>
  <c r="B18" i="38659"/>
  <c r="E18" i="38659" s="1"/>
  <c r="G18" i="38659" s="1"/>
  <c r="D16" i="5"/>
  <c r="E16" i="70"/>
  <c r="D13" i="5"/>
  <c r="B15" i="38659"/>
  <c r="E15" i="38659" s="1"/>
  <c r="G15" i="38659" s="1"/>
  <c r="E13" i="70"/>
  <c r="D38" i="5"/>
  <c r="B40" i="38659"/>
  <c r="E40" i="38659" s="1"/>
  <c r="G40" i="38659" s="1"/>
  <c r="E38" i="70"/>
  <c r="F27" i="5"/>
  <c r="C27" i="38"/>
  <c r="G27" i="38"/>
  <c r="E27" i="38"/>
  <c r="I27" i="20"/>
  <c r="E27" i="37"/>
  <c r="F27" i="38656"/>
  <c r="F27" i="20"/>
  <c r="E27" i="35"/>
  <c r="C27" i="36"/>
  <c r="E27" i="25"/>
  <c r="G27" i="34"/>
  <c r="F27" i="11"/>
  <c r="F27" i="10"/>
  <c r="E27" i="34"/>
  <c r="F27" i="8"/>
  <c r="I27" i="25"/>
  <c r="E27" i="36"/>
  <c r="I27" i="10"/>
  <c r="C27" i="10"/>
  <c r="C27" i="9"/>
  <c r="E27" i="82"/>
  <c r="C27" i="26"/>
  <c r="C27" i="34"/>
  <c r="G27" i="25"/>
  <c r="F27" i="9"/>
  <c r="C27" i="8"/>
  <c r="C27" i="11"/>
  <c r="F27" i="26"/>
  <c r="C27" i="35"/>
  <c r="I27" i="26"/>
  <c r="I27" i="38655"/>
  <c r="I27" i="9"/>
  <c r="C27" i="25"/>
  <c r="F27" i="38655"/>
  <c r="G27" i="36"/>
  <c r="C27" i="7"/>
  <c r="C27" i="82"/>
  <c r="C27" i="37"/>
  <c r="I27" i="18"/>
  <c r="C27" i="27"/>
  <c r="C27" i="76" s="1"/>
  <c r="C27" i="20"/>
  <c r="F27" i="18"/>
  <c r="C27" i="18"/>
  <c r="C27" i="38656"/>
  <c r="I27" i="11"/>
  <c r="E27" i="19"/>
  <c r="C27" i="38655"/>
  <c r="C27" i="19"/>
  <c r="H27" i="19"/>
  <c r="F35" i="5"/>
  <c r="C35" i="38"/>
  <c r="E35" i="38"/>
  <c r="G35" i="38"/>
  <c r="I35" i="20"/>
  <c r="G35" i="34"/>
  <c r="E35" i="37"/>
  <c r="F35" i="11"/>
  <c r="E35" i="25"/>
  <c r="C35" i="35"/>
  <c r="G35" i="36"/>
  <c r="G35" i="25"/>
  <c r="C35" i="10"/>
  <c r="C35" i="36"/>
  <c r="I35" i="26"/>
  <c r="I35" i="25"/>
  <c r="C35" i="25"/>
  <c r="F35" i="9"/>
  <c r="E35" i="82"/>
  <c r="C35" i="27"/>
  <c r="C35" i="76" s="1"/>
  <c r="C35" i="7"/>
  <c r="I35" i="11"/>
  <c r="C35" i="82"/>
  <c r="I35" i="38655"/>
  <c r="C35" i="9"/>
  <c r="F35" i="20"/>
  <c r="I35" i="9"/>
  <c r="I35" i="10"/>
  <c r="F35" i="38656"/>
  <c r="E35" i="36"/>
  <c r="C35" i="26"/>
  <c r="F35" i="26"/>
  <c r="F35" i="38655"/>
  <c r="C35" i="34"/>
  <c r="C35" i="11"/>
  <c r="E35" i="34"/>
  <c r="F35" i="8"/>
  <c r="C35" i="8"/>
  <c r="F35" i="10"/>
  <c r="E35" i="35"/>
  <c r="C35" i="37"/>
  <c r="F35" i="18"/>
  <c r="C35" i="19"/>
  <c r="I35" i="18"/>
  <c r="C35" i="18"/>
  <c r="C35" i="20"/>
  <c r="E35" i="19"/>
  <c r="C35" i="38655"/>
  <c r="C35" i="38656"/>
  <c r="H35" i="19"/>
  <c r="B30" i="38659"/>
  <c r="E30" i="38659" s="1"/>
  <c r="G30" i="38659" s="1"/>
  <c r="D28" i="5"/>
  <c r="E28" i="70"/>
  <c r="D14" i="5"/>
  <c r="E14" i="70"/>
  <c r="F14" i="5" l="1"/>
  <c r="C14" i="38"/>
  <c r="E14" i="38"/>
  <c r="G14" i="38"/>
  <c r="I14" i="20"/>
  <c r="C14" i="11"/>
  <c r="C14" i="10"/>
  <c r="E14" i="34"/>
  <c r="C14" i="38656"/>
  <c r="I14" i="25"/>
  <c r="C14" i="8"/>
  <c r="I14" i="38655"/>
  <c r="F14" i="11"/>
  <c r="F14" i="38655"/>
  <c r="C14" i="82"/>
  <c r="G14" i="34"/>
  <c r="C14" i="35"/>
  <c r="C14" i="36"/>
  <c r="C14" i="37"/>
  <c r="G14" i="25"/>
  <c r="F14" i="10"/>
  <c r="I14" i="11"/>
  <c r="G14" i="36"/>
  <c r="C14" i="7"/>
  <c r="C14" i="25"/>
  <c r="E14" i="36"/>
  <c r="E14" i="25"/>
  <c r="C14" i="9"/>
  <c r="E14" i="82"/>
  <c r="C14" i="34"/>
  <c r="E14" i="35"/>
  <c r="F14" i="38656"/>
  <c r="I14" i="9"/>
  <c r="F14" i="9"/>
  <c r="I14" i="10"/>
  <c r="I14" i="26"/>
  <c r="C14" i="27"/>
  <c r="C14" i="76" s="1"/>
  <c r="E14" i="37"/>
  <c r="C14" i="26"/>
  <c r="F14" i="26"/>
  <c r="F14" i="8"/>
  <c r="F14" i="20"/>
  <c r="C14" i="20"/>
  <c r="I14" i="18"/>
  <c r="C14" i="38655"/>
  <c r="C14" i="19"/>
  <c r="E14" i="19"/>
  <c r="F14" i="18"/>
  <c r="C14" i="18"/>
  <c r="H14" i="19"/>
  <c r="D35" i="6"/>
  <c r="E35" i="6" s="1"/>
  <c r="C35" i="38648" s="1"/>
  <c r="K40" i="38659"/>
  <c r="L40" i="38659"/>
  <c r="F13" i="5"/>
  <c r="G13" i="38"/>
  <c r="C13" i="38"/>
  <c r="E13" i="38"/>
  <c r="I13" i="20"/>
  <c r="C13" i="8"/>
  <c r="C13" i="9"/>
  <c r="I13" i="11"/>
  <c r="E13" i="36"/>
  <c r="E13" i="82"/>
  <c r="I13" i="25"/>
  <c r="I13" i="38655"/>
  <c r="F13" i="38655"/>
  <c r="F13" i="8"/>
  <c r="G13" i="25"/>
  <c r="C13" i="82"/>
  <c r="C13" i="11"/>
  <c r="C13" i="10"/>
  <c r="I13" i="10"/>
  <c r="G13" i="34"/>
  <c r="I13" i="9"/>
  <c r="C13" i="36"/>
  <c r="F13" i="10"/>
  <c r="C13" i="34"/>
  <c r="C13" i="35"/>
  <c r="G13" i="36"/>
  <c r="E13" i="34"/>
  <c r="C13" i="27"/>
  <c r="C13" i="76" s="1"/>
  <c r="F13" i="11"/>
  <c r="C13" i="25"/>
  <c r="C13" i="7"/>
  <c r="E13" i="37"/>
  <c r="I13" i="26"/>
  <c r="F13" i="26"/>
  <c r="E13" i="35"/>
  <c r="F13" i="38656"/>
  <c r="C13" i="26"/>
  <c r="C13" i="37"/>
  <c r="E13" i="25"/>
  <c r="F13" i="9"/>
  <c r="C13" i="38656"/>
  <c r="F13" i="18"/>
  <c r="C13" i="38655"/>
  <c r="C13" i="20"/>
  <c r="C13" i="18"/>
  <c r="I13" i="18"/>
  <c r="C13" i="19"/>
  <c r="E13" i="19"/>
  <c r="F13" i="20"/>
  <c r="H13" i="19"/>
  <c r="K17" i="38659"/>
  <c r="L17" i="38659"/>
  <c r="K35" i="38659"/>
  <c r="L35" i="38659"/>
  <c r="K47" i="38659"/>
  <c r="L47" i="38659"/>
  <c r="F18" i="5"/>
  <c r="E18" i="38"/>
  <c r="G18" i="38"/>
  <c r="C18" i="38"/>
  <c r="I18" i="20"/>
  <c r="C18" i="8"/>
  <c r="C18" i="34"/>
  <c r="G18" i="36"/>
  <c r="E18" i="36"/>
  <c r="C18" i="36"/>
  <c r="E18" i="37"/>
  <c r="I18" i="26"/>
  <c r="C18" i="82"/>
  <c r="E18" i="34"/>
  <c r="F18" i="26"/>
  <c r="G18" i="34"/>
  <c r="C18" i="37"/>
  <c r="C18" i="11"/>
  <c r="C18" i="25"/>
  <c r="C18" i="35"/>
  <c r="C18" i="26"/>
  <c r="C18" i="9"/>
  <c r="I18" i="25"/>
  <c r="F18" i="11"/>
  <c r="F18" i="8"/>
  <c r="C18" i="27"/>
  <c r="C18" i="76" s="1"/>
  <c r="E18" i="35"/>
  <c r="E18" i="25"/>
  <c r="C18" i="7"/>
  <c r="E18" i="82"/>
  <c r="F18" i="38656"/>
  <c r="F18" i="38655"/>
  <c r="I18" i="9"/>
  <c r="C18" i="10"/>
  <c r="F18" i="10"/>
  <c r="G18" i="25"/>
  <c r="I18" i="11"/>
  <c r="I18" i="10"/>
  <c r="I18" i="18"/>
  <c r="C18" i="38655"/>
  <c r="F18" i="9"/>
  <c r="C18" i="20"/>
  <c r="E18" i="19"/>
  <c r="F18" i="20"/>
  <c r="F18" i="18"/>
  <c r="C18" i="19"/>
  <c r="I18" i="38655"/>
  <c r="C18" i="38656"/>
  <c r="C18" i="18"/>
  <c r="H18" i="19"/>
  <c r="E48" i="70"/>
  <c r="I48" i="45"/>
  <c r="C11" i="45"/>
  <c r="G11" i="42" s="1"/>
  <c r="C11" i="44"/>
  <c r="C11" i="42" s="1"/>
  <c r="I11" i="44"/>
  <c r="F11" i="42" s="1"/>
  <c r="E11" i="44"/>
  <c r="D11" i="42" s="1"/>
  <c r="G11" i="45"/>
  <c r="E11" i="45"/>
  <c r="H11" i="42" s="1"/>
  <c r="G11" i="44"/>
  <c r="E11" i="42" s="1"/>
  <c r="K41" i="38659"/>
  <c r="L41" i="38659"/>
  <c r="F24" i="5"/>
  <c r="C24" i="38"/>
  <c r="E24" i="38"/>
  <c r="G24" i="38"/>
  <c r="I24" i="20"/>
  <c r="G24" i="36"/>
  <c r="C24" i="82"/>
  <c r="C24" i="37"/>
  <c r="G24" i="34"/>
  <c r="F24" i="11"/>
  <c r="I24" i="25"/>
  <c r="I24" i="38655"/>
  <c r="C24" i="35"/>
  <c r="C24" i="8"/>
  <c r="C24" i="11"/>
  <c r="C24" i="9"/>
  <c r="C24" i="27"/>
  <c r="C24" i="76" s="1"/>
  <c r="E24" i="25"/>
  <c r="I24" i="11"/>
  <c r="F24" i="8"/>
  <c r="E24" i="82"/>
  <c r="I24" i="26"/>
  <c r="C24" i="36"/>
  <c r="F24" i="26"/>
  <c r="C24" i="26"/>
  <c r="F24" i="38655"/>
  <c r="E24" i="34"/>
  <c r="E24" i="37"/>
  <c r="G24" i="25"/>
  <c r="C24" i="34"/>
  <c r="E24" i="35"/>
  <c r="C24" i="38656"/>
  <c r="E24" i="36"/>
  <c r="I24" i="10"/>
  <c r="C24" i="7"/>
  <c r="F24" i="38656"/>
  <c r="I24" i="9"/>
  <c r="F24" i="9"/>
  <c r="F24" i="10"/>
  <c r="C24" i="10"/>
  <c r="C24" i="25"/>
  <c r="C24" i="18"/>
  <c r="F24" i="20"/>
  <c r="E24" i="19"/>
  <c r="I24" i="18"/>
  <c r="F24" i="18"/>
  <c r="C24" i="19"/>
  <c r="C24" i="20"/>
  <c r="C24" i="38655"/>
  <c r="H24" i="19"/>
  <c r="F37" i="5"/>
  <c r="C37" i="38"/>
  <c r="G37" i="38"/>
  <c r="E37" i="38"/>
  <c r="I37" i="38655"/>
  <c r="G37" i="34"/>
  <c r="E37" i="36"/>
  <c r="E37" i="25"/>
  <c r="I37" i="20"/>
  <c r="F37" i="9"/>
  <c r="F37" i="38655"/>
  <c r="E37" i="34"/>
  <c r="C37" i="36"/>
  <c r="C37" i="9"/>
  <c r="F37" i="10"/>
  <c r="I37" i="25"/>
  <c r="G37" i="36"/>
  <c r="C37" i="82"/>
  <c r="E37" i="82"/>
  <c r="C37" i="25"/>
  <c r="C37" i="10"/>
  <c r="E37" i="35"/>
  <c r="G37" i="25"/>
  <c r="C37" i="26"/>
  <c r="C37" i="8"/>
  <c r="C37" i="37"/>
  <c r="C37" i="35"/>
  <c r="F37" i="26"/>
  <c r="C37" i="7"/>
  <c r="I37" i="11"/>
  <c r="C37" i="34"/>
  <c r="C37" i="11"/>
  <c r="I37" i="9"/>
  <c r="F37" i="11"/>
  <c r="F37" i="8"/>
  <c r="I37" i="26"/>
  <c r="I37" i="10"/>
  <c r="F37" i="38656"/>
  <c r="E37" i="37"/>
  <c r="F37" i="18"/>
  <c r="E37" i="19"/>
  <c r="C37" i="27"/>
  <c r="C37" i="76" s="1"/>
  <c r="C37" i="38655"/>
  <c r="I37" i="18"/>
  <c r="C37" i="19"/>
  <c r="C37" i="20"/>
  <c r="F37" i="20"/>
  <c r="C37" i="18"/>
  <c r="C37" i="38656"/>
  <c r="H37" i="19"/>
  <c r="D34" i="6"/>
  <c r="E34" i="6" s="1"/>
  <c r="C34" i="38648" s="1"/>
  <c r="K42" i="38659"/>
  <c r="L42" i="38659"/>
  <c r="F43" i="5"/>
  <c r="C43" i="38"/>
  <c r="E43" i="38"/>
  <c r="G43" i="38"/>
  <c r="I43" i="20"/>
  <c r="I43" i="25"/>
  <c r="C43" i="37"/>
  <c r="C43" i="27"/>
  <c r="C43" i="76" s="1"/>
  <c r="C43" i="8"/>
  <c r="E43" i="37"/>
  <c r="I43" i="38655"/>
  <c r="F43" i="9"/>
  <c r="C43" i="9"/>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i="20"/>
  <c r="E43" i="19"/>
  <c r="C43" i="19"/>
  <c r="I43" i="11"/>
  <c r="C43" i="18"/>
  <c r="C43" i="38655"/>
  <c r="F43" i="18"/>
  <c r="I43" i="18"/>
  <c r="H43" i="19"/>
  <c r="F17" i="5"/>
  <c r="C17" i="38"/>
  <c r="E17" i="38"/>
  <c r="G17" i="38"/>
  <c r="I17" i="20"/>
  <c r="G17" i="36"/>
  <c r="C17" i="27"/>
  <c r="C17" i="76" s="1"/>
  <c r="C17" i="37"/>
  <c r="C17" i="9"/>
  <c r="I17" i="10"/>
  <c r="C17" i="34"/>
  <c r="E17" i="25"/>
  <c r="G17" i="34"/>
  <c r="I17" i="26"/>
  <c r="F17" i="38656"/>
  <c r="C17" i="10"/>
  <c r="F17" i="26"/>
  <c r="I17" i="11"/>
  <c r="E17" i="34"/>
  <c r="C17" i="35"/>
  <c r="C17" i="25"/>
  <c r="C17" i="26"/>
  <c r="F17" i="10"/>
  <c r="F17" i="38655"/>
  <c r="G17" i="25"/>
  <c r="E17" i="35"/>
  <c r="E17" i="37"/>
  <c r="E17" i="36"/>
  <c r="E17" i="82"/>
  <c r="F17" i="8"/>
  <c r="C17" i="11"/>
  <c r="I17" i="25"/>
  <c r="I17" i="38655"/>
  <c r="C17" i="82"/>
  <c r="F17" i="11"/>
  <c r="C17" i="8"/>
  <c r="C17" i="36"/>
  <c r="F17" i="9"/>
  <c r="C17" i="7"/>
  <c r="I17" i="18"/>
  <c r="F17" i="18"/>
  <c r="C17" i="19"/>
  <c r="I17" i="9"/>
  <c r="F17" i="20"/>
  <c r="C17" i="20"/>
  <c r="E17" i="19"/>
  <c r="C17" i="38656"/>
  <c r="C17" i="38655"/>
  <c r="H17" i="19"/>
  <c r="C17" i="18"/>
  <c r="F20" i="5"/>
  <c r="E20" i="38"/>
  <c r="C20" i="38"/>
  <c r="G20" i="38"/>
  <c r="C20" i="37"/>
  <c r="I20" i="20"/>
  <c r="C20" i="8"/>
  <c r="C20" i="25"/>
  <c r="F20" i="10"/>
  <c r="F20" i="38655"/>
  <c r="G20" i="36"/>
  <c r="F20" i="38656"/>
  <c r="I20" i="11"/>
  <c r="E20" i="35"/>
  <c r="C20" i="35"/>
  <c r="F20" i="8"/>
  <c r="C20" i="82"/>
  <c r="C20" i="9"/>
  <c r="C20" i="11"/>
  <c r="C20" i="10"/>
  <c r="G20" i="25"/>
  <c r="C20" i="38656"/>
  <c r="I20" i="25"/>
  <c r="I20" i="9"/>
  <c r="C20" i="34"/>
  <c r="F20" i="9"/>
  <c r="I20" i="26"/>
  <c r="I20" i="38655"/>
  <c r="F20" i="26"/>
  <c r="F20" i="11"/>
  <c r="E20" i="82"/>
  <c r="I20" i="10"/>
  <c r="G20" i="34"/>
  <c r="C20" i="36"/>
  <c r="C20" i="7"/>
  <c r="E20" i="34"/>
  <c r="C20" i="26"/>
  <c r="E20" i="36"/>
  <c r="E20" i="25"/>
  <c r="E20" i="37"/>
  <c r="F20" i="18"/>
  <c r="F20" i="20"/>
  <c r="I20" i="18"/>
  <c r="C20" i="20"/>
  <c r="C20" i="27"/>
  <c r="C20" i="76" s="1"/>
  <c r="C20" i="19"/>
  <c r="C20" i="18"/>
  <c r="E20" i="19"/>
  <c r="C20" i="38655"/>
  <c r="H20" i="19"/>
  <c r="F22" i="5"/>
  <c r="C22" i="38"/>
  <c r="G22" i="38"/>
  <c r="E22" i="38"/>
  <c r="I22" i="20"/>
  <c r="I22" i="11"/>
  <c r="E22" i="34"/>
  <c r="F22" i="38656"/>
  <c r="F22" i="8"/>
  <c r="C22" i="37"/>
  <c r="C22" i="8"/>
  <c r="F22" i="11"/>
  <c r="G22" i="25"/>
  <c r="F22" i="38655"/>
  <c r="C22" i="34"/>
  <c r="F22" i="26"/>
  <c r="E22" i="36"/>
  <c r="I22" i="10"/>
  <c r="C22" i="25"/>
  <c r="F22" i="10"/>
  <c r="I22" i="9"/>
  <c r="C22" i="35"/>
  <c r="I22" i="26"/>
  <c r="I22" i="25"/>
  <c r="C22" i="11"/>
  <c r="I22" i="38655"/>
  <c r="C22" i="27"/>
  <c r="C22" i="76" s="1"/>
  <c r="E22" i="37"/>
  <c r="E22" i="35"/>
  <c r="C22" i="10"/>
  <c r="E22" i="25"/>
  <c r="C22" i="7"/>
  <c r="C22" i="36"/>
  <c r="C22" i="26"/>
  <c r="C22" i="9"/>
  <c r="E22" i="82"/>
  <c r="G22" i="36"/>
  <c r="F22" i="9"/>
  <c r="G22" i="34"/>
  <c r="C22" i="82"/>
  <c r="C22" i="19"/>
  <c r="C22" i="38655"/>
  <c r="E22" i="19"/>
  <c r="C22" i="38656"/>
  <c r="I22" i="18"/>
  <c r="C22" i="20"/>
  <c r="F22" i="20"/>
  <c r="C22" i="18"/>
  <c r="F22" i="18"/>
  <c r="H22" i="19"/>
  <c r="K27" i="38659"/>
  <c r="L27" i="38659"/>
  <c r="F50" i="5"/>
  <c r="D50" i="6" s="1"/>
  <c r="E50" i="6" s="1"/>
  <c r="C50" i="38648" s="1"/>
  <c r="G50" i="38"/>
  <c r="C50" i="38"/>
  <c r="E50" i="38"/>
  <c r="F50" i="26"/>
  <c r="I50" i="20"/>
  <c r="I50" i="11"/>
  <c r="F50" i="8"/>
  <c r="C50" i="34"/>
  <c r="E50" i="25"/>
  <c r="C50" i="11"/>
  <c r="C50" i="9"/>
  <c r="E50" i="37"/>
  <c r="G50" i="25"/>
  <c r="C50" i="8"/>
  <c r="F50" i="11"/>
  <c r="E50" i="34"/>
  <c r="C50" i="37"/>
  <c r="C50" i="35"/>
  <c r="I50" i="9"/>
  <c r="G50" i="36"/>
  <c r="F50" i="9"/>
  <c r="F50" i="38655"/>
  <c r="F50" i="38656"/>
  <c r="I50" i="38655"/>
  <c r="I50" i="25"/>
  <c r="E50" i="36"/>
  <c r="C50" i="10"/>
  <c r="E50" i="35"/>
  <c r="C50" i="27"/>
  <c r="C50" i="76" s="1"/>
  <c r="C50" i="25"/>
  <c r="C50" i="7"/>
  <c r="G50" i="34"/>
  <c r="C50" i="26"/>
  <c r="C50" i="36"/>
  <c r="F50" i="10"/>
  <c r="E50" i="82"/>
  <c r="I50" i="26"/>
  <c r="C50" i="82"/>
  <c r="I50" i="10"/>
  <c r="C50" i="20"/>
  <c r="C50" i="18"/>
  <c r="F50" i="20"/>
  <c r="E50" i="19"/>
  <c r="C50" i="38656"/>
  <c r="C50" i="19"/>
  <c r="C50" i="38655"/>
  <c r="F50" i="18"/>
  <c r="I50" i="18"/>
  <c r="H50" i="19"/>
  <c r="K15" i="38659"/>
  <c r="L15" i="38659"/>
  <c r="K18" i="38659"/>
  <c r="L18" i="38659"/>
  <c r="D29" i="6"/>
  <c r="E29" i="6" s="1"/>
  <c r="C29" i="38648" s="1"/>
  <c r="F45" i="5"/>
  <c r="C45" i="38"/>
  <c r="G45" i="38"/>
  <c r="E45" i="38"/>
  <c r="G45" i="36"/>
  <c r="I45" i="20"/>
  <c r="G45" i="34"/>
  <c r="C45" i="36"/>
  <c r="I45" i="25"/>
  <c r="I45" i="10"/>
  <c r="F45" i="38656"/>
  <c r="C45" i="25"/>
  <c r="C45" i="34"/>
  <c r="I45" i="26"/>
  <c r="C45" i="37"/>
  <c r="F45" i="8"/>
  <c r="I45" i="11"/>
  <c r="F45" i="10"/>
  <c r="F45" i="11"/>
  <c r="G45" i="25"/>
  <c r="E45" i="35"/>
  <c r="C45" i="10"/>
  <c r="F45" i="38655"/>
  <c r="E45" i="36"/>
  <c r="C45" i="26"/>
  <c r="F45" i="26"/>
  <c r="F45" i="9"/>
  <c r="C45" i="9"/>
  <c r="I45" i="38655"/>
  <c r="E45" i="25"/>
  <c r="C45" i="11"/>
  <c r="E45" i="82"/>
  <c r="C45" i="7"/>
  <c r="E45" i="34"/>
  <c r="C45" i="35"/>
  <c r="E45" i="37"/>
  <c r="C45" i="38656"/>
  <c r="I45" i="9"/>
  <c r="C45" i="82"/>
  <c r="C45" i="8"/>
  <c r="C45" i="38655"/>
  <c r="E45" i="19"/>
  <c r="C45" i="27"/>
  <c r="C45" i="76" s="1"/>
  <c r="C45" i="19"/>
  <c r="F45" i="18"/>
  <c r="I45" i="18"/>
  <c r="C45" i="20"/>
  <c r="F45" i="20"/>
  <c r="H45" i="19"/>
  <c r="C45" i="18"/>
  <c r="K14" i="38659"/>
  <c r="L14" i="38659"/>
  <c r="K21" i="38659"/>
  <c r="L21" i="38659"/>
  <c r="F39" i="5"/>
  <c r="E39" i="38"/>
  <c r="C39" i="38"/>
  <c r="G39" i="38"/>
  <c r="C39" i="38656"/>
  <c r="I39" i="20"/>
  <c r="F39" i="9"/>
  <c r="G39" i="34"/>
  <c r="C39" i="9"/>
  <c r="E39" i="25"/>
  <c r="C39" i="82"/>
  <c r="I39" i="9"/>
  <c r="C39" i="35"/>
  <c r="E39" i="34"/>
  <c r="F39" i="38656"/>
  <c r="F39" i="38655"/>
  <c r="G39" i="25"/>
  <c r="C39" i="37"/>
  <c r="F39" i="8"/>
  <c r="C39" i="8"/>
  <c r="I39" i="26"/>
  <c r="C39" i="10"/>
  <c r="C39" i="27"/>
  <c r="C39" i="76" s="1"/>
  <c r="G39" i="36"/>
  <c r="F39" i="11"/>
  <c r="E39" i="36"/>
  <c r="E39" i="35"/>
  <c r="F39" i="26"/>
  <c r="I39" i="10"/>
  <c r="C39" i="26"/>
  <c r="C39" i="7"/>
  <c r="C39" i="11"/>
  <c r="C39" i="36"/>
  <c r="C39" i="34"/>
  <c r="I39" i="38655"/>
  <c r="F39" i="10"/>
  <c r="C39" i="25"/>
  <c r="E39" i="82"/>
  <c r="E39" i="37"/>
  <c r="I39" i="11"/>
  <c r="I39" i="25"/>
  <c r="F39" i="20"/>
  <c r="I39" i="18"/>
  <c r="F39" i="18"/>
  <c r="C39" i="38655"/>
  <c r="E39" i="19"/>
  <c r="C39" i="18"/>
  <c r="C39" i="19"/>
  <c r="C39" i="20"/>
  <c r="H39" i="19"/>
  <c r="K39" i="38659"/>
  <c r="L39" i="38659"/>
  <c r="K45" i="38659"/>
  <c r="L45" i="38659"/>
  <c r="K46" i="38659"/>
  <c r="L46" i="38659"/>
  <c r="K19" i="38659"/>
  <c r="L19" i="38659"/>
  <c r="F36" i="5"/>
  <c r="E36" i="38"/>
  <c r="G36" i="38"/>
  <c r="C36" i="38"/>
  <c r="F36" i="26"/>
  <c r="I36" i="20"/>
  <c r="G36" i="34"/>
  <c r="I36" i="11"/>
  <c r="F36" i="38655"/>
  <c r="C36" i="11"/>
  <c r="E36" i="25"/>
  <c r="I36" i="9"/>
  <c r="E36" i="82"/>
  <c r="F36" i="11"/>
  <c r="I36" i="25"/>
  <c r="F36" i="10"/>
  <c r="I36" i="26"/>
  <c r="E36" i="37"/>
  <c r="C36" i="35"/>
  <c r="C36" i="37"/>
  <c r="C36" i="9"/>
  <c r="C36" i="25"/>
  <c r="F36" i="8"/>
  <c r="C36" i="36"/>
  <c r="G36" i="36"/>
  <c r="F36" i="38656"/>
  <c r="C36" i="7"/>
  <c r="C36" i="38656"/>
  <c r="F36" i="9"/>
  <c r="I36" i="10"/>
  <c r="C36" i="10"/>
  <c r="E36" i="36"/>
  <c r="C36" i="82"/>
  <c r="E36" i="34"/>
  <c r="C36" i="34"/>
  <c r="C36" i="8"/>
  <c r="C36" i="26"/>
  <c r="E36" i="35"/>
  <c r="G36" i="25"/>
  <c r="C36" i="38655"/>
  <c r="F36" i="20"/>
  <c r="I36" i="18"/>
  <c r="C36" i="20"/>
  <c r="C36" i="18"/>
  <c r="F36" i="18"/>
  <c r="C36" i="27"/>
  <c r="C36" i="76" s="1"/>
  <c r="I36" i="38655"/>
  <c r="E36" i="19"/>
  <c r="C36" i="19"/>
  <c r="H36" i="19"/>
  <c r="K24" i="38659"/>
  <c r="L24" i="38659"/>
  <c r="K43" i="38659"/>
  <c r="L43" i="38659"/>
  <c r="K30" i="38659"/>
  <c r="L30" i="38659"/>
  <c r="D27" i="6"/>
  <c r="E27" i="6" s="1"/>
  <c r="C27" i="38648" s="1"/>
  <c r="F31" i="5"/>
  <c r="G31" i="38"/>
  <c r="C31" i="38"/>
  <c r="E31" i="38"/>
  <c r="I31" i="20"/>
  <c r="G31" i="34"/>
  <c r="C31" i="37"/>
  <c r="E31" i="25"/>
  <c r="C31" i="11"/>
  <c r="I31" i="26"/>
  <c r="I31" i="38655"/>
  <c r="E31" i="35"/>
  <c r="E31" i="37"/>
  <c r="G31" i="36"/>
  <c r="C31" i="27"/>
  <c r="C31" i="76" s="1"/>
  <c r="F31" i="10"/>
  <c r="F31" i="9"/>
  <c r="C31" i="10"/>
  <c r="F31" i="38655"/>
  <c r="I31" i="11"/>
  <c r="F31" i="26"/>
  <c r="I31" i="25"/>
  <c r="C31" i="34"/>
  <c r="E31" i="34"/>
  <c r="F31" i="8"/>
  <c r="I31" i="9"/>
  <c r="I31" i="10"/>
  <c r="C31" i="35"/>
  <c r="C31" i="9"/>
  <c r="C31" i="82"/>
  <c r="C31" i="25"/>
  <c r="C31" i="8"/>
  <c r="F31" i="11"/>
  <c r="C31" i="7"/>
  <c r="E31" i="82"/>
  <c r="C31" i="26"/>
  <c r="E31" i="36"/>
  <c r="G31" i="25"/>
  <c r="C31" i="36"/>
  <c r="F31" i="38656"/>
  <c r="C31" i="38656"/>
  <c r="F31" i="20"/>
  <c r="C31" i="38655"/>
  <c r="C31" i="19"/>
  <c r="I31" i="18"/>
  <c r="C31" i="20"/>
  <c r="C31" i="18"/>
  <c r="E31" i="19"/>
  <c r="F31" i="18"/>
  <c r="H31" i="19"/>
  <c r="K23" i="38659"/>
  <c r="L23" i="38659"/>
  <c r="F44" i="5"/>
  <c r="C44" i="38"/>
  <c r="E44" i="38"/>
  <c r="G44" i="38"/>
  <c r="E44" i="36"/>
  <c r="I44" i="20"/>
  <c r="C44" i="7"/>
  <c r="C44" i="27"/>
  <c r="C44" i="76" s="1"/>
  <c r="F44" i="8"/>
  <c r="C44" i="25"/>
  <c r="C44" i="9"/>
  <c r="E44" i="35"/>
  <c r="C44" i="8"/>
  <c r="F44" i="9"/>
  <c r="I44" i="26"/>
  <c r="E44" i="37"/>
  <c r="C44" i="10"/>
  <c r="I44" i="38655"/>
  <c r="C44" i="37"/>
  <c r="F44" i="38655"/>
  <c r="C44" i="36"/>
  <c r="E44" i="82"/>
  <c r="F44" i="10"/>
  <c r="I44" i="9"/>
  <c r="C44" i="11"/>
  <c r="G44" i="25"/>
  <c r="C44" i="26"/>
  <c r="F44" i="26"/>
  <c r="E44" i="25"/>
  <c r="C44" i="82"/>
  <c r="I44" i="10"/>
  <c r="G44" i="34"/>
  <c r="C44" i="34"/>
  <c r="I44" i="25"/>
  <c r="C44" i="35"/>
  <c r="F44" i="38656"/>
  <c r="G44" i="36"/>
  <c r="I44" i="11"/>
  <c r="E44" i="34"/>
  <c r="F44" i="11"/>
  <c r="C44" i="19"/>
  <c r="C44" i="38655"/>
  <c r="F44" i="20"/>
  <c r="C44" i="38656"/>
  <c r="C44" i="20"/>
  <c r="E44" i="19"/>
  <c r="I44" i="18"/>
  <c r="F44" i="18"/>
  <c r="C44" i="18"/>
  <c r="H44" i="19"/>
  <c r="K38" i="38659"/>
  <c r="L38" i="38659"/>
  <c r="F23" i="5"/>
  <c r="C23" i="38"/>
  <c r="G23" i="38"/>
  <c r="E23" i="38"/>
  <c r="I23" i="20"/>
  <c r="F23" i="8"/>
  <c r="C23" i="34"/>
  <c r="E23" i="82"/>
  <c r="E23" i="35"/>
  <c r="I23" i="10"/>
  <c r="G23" i="25"/>
  <c r="F23" i="26"/>
  <c r="C23" i="82"/>
  <c r="C23" i="36"/>
  <c r="I23" i="26"/>
  <c r="C23" i="26"/>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H23" i="19"/>
  <c r="E23" i="19"/>
  <c r="F41" i="5"/>
  <c r="C41" i="38"/>
  <c r="G41" i="38"/>
  <c r="E41" i="38"/>
  <c r="I41" i="10"/>
  <c r="I41" i="20"/>
  <c r="C41" i="26"/>
  <c r="E41" i="36"/>
  <c r="I41" i="38655"/>
  <c r="I41" i="9"/>
  <c r="C41" i="34"/>
  <c r="F41" i="26"/>
  <c r="F41" i="38655"/>
  <c r="C41" i="82"/>
  <c r="C41" i="7"/>
  <c r="I41" i="11"/>
  <c r="C41" i="35"/>
  <c r="C41" i="10"/>
  <c r="G41" i="36"/>
  <c r="F41" i="10"/>
  <c r="C41" i="36"/>
  <c r="E41" i="37"/>
  <c r="C41" i="9"/>
  <c r="C41" i="11"/>
  <c r="F41" i="11"/>
  <c r="C41" i="27"/>
  <c r="C41" i="76" s="1"/>
  <c r="F41" i="38656"/>
  <c r="E41" i="34"/>
  <c r="G41" i="34"/>
  <c r="I41" i="26"/>
  <c r="I41" i="25"/>
  <c r="C41" i="8"/>
  <c r="E41" i="82"/>
  <c r="E41" i="35"/>
  <c r="C41" i="38656"/>
  <c r="F41" i="9"/>
  <c r="G41" i="25"/>
  <c r="C41" i="25"/>
  <c r="F41" i="8"/>
  <c r="C41" i="37"/>
  <c r="E41" i="25"/>
  <c r="F41" i="18"/>
  <c r="C41" i="18"/>
  <c r="F41" i="20"/>
  <c r="C41" i="38655"/>
  <c r="I41" i="18"/>
  <c r="C41" i="19"/>
  <c r="E41" i="19"/>
  <c r="C41" i="20"/>
  <c r="H41" i="19"/>
  <c r="D30" i="6"/>
  <c r="E30" i="6" s="1"/>
  <c r="C30" i="38648" s="1"/>
  <c r="F16" i="5"/>
  <c r="G16" i="38"/>
  <c r="C16" i="38"/>
  <c r="E16" i="38"/>
  <c r="G16" i="34"/>
  <c r="E16" i="36"/>
  <c r="I16" i="20"/>
  <c r="I16" i="25"/>
  <c r="E16" i="25"/>
  <c r="I16" i="11"/>
  <c r="C16" i="38656"/>
  <c r="C16" i="8"/>
  <c r="F16" i="11"/>
  <c r="C16" i="11"/>
  <c r="I16" i="26"/>
  <c r="C16" i="26"/>
  <c r="C16" i="36"/>
  <c r="E16" i="37"/>
  <c r="I16" i="9"/>
  <c r="F16" i="10"/>
  <c r="F16" i="26"/>
  <c r="G16" i="25"/>
  <c r="C16" i="10"/>
  <c r="C16" i="34"/>
  <c r="G16" i="36"/>
  <c r="F16" i="9"/>
  <c r="F16" i="38655"/>
  <c r="E16" i="35"/>
  <c r="C16" i="9"/>
  <c r="E16" i="82"/>
  <c r="E16" i="34"/>
  <c r="C16" i="25"/>
  <c r="C16" i="82"/>
  <c r="F16" i="38656"/>
  <c r="I16" i="10"/>
  <c r="C16" i="37"/>
  <c r="C16" i="35"/>
  <c r="C16" i="20"/>
  <c r="C16" i="7"/>
  <c r="F16" i="8"/>
  <c r="I16" i="38655"/>
  <c r="C16" i="38655"/>
  <c r="C16" i="27"/>
  <c r="C16" i="76" s="1"/>
  <c r="F16" i="18"/>
  <c r="F16" i="20"/>
  <c r="I16" i="18"/>
  <c r="C16" i="19"/>
  <c r="C16" i="18"/>
  <c r="H16" i="19"/>
  <c r="E16" i="19"/>
  <c r="K48" i="38659"/>
  <c r="L48" i="38659"/>
  <c r="F12" i="5"/>
  <c r="E12" i="38"/>
  <c r="G12" i="38"/>
  <c r="C12" i="38"/>
  <c r="C12" i="37"/>
  <c r="I12" i="20"/>
  <c r="I12" i="10"/>
  <c r="C12" i="11"/>
  <c r="F12" i="26"/>
  <c r="F12" i="8"/>
  <c r="C12" i="10"/>
  <c r="I12" i="38655"/>
  <c r="E12" i="35"/>
  <c r="C12" i="36"/>
  <c r="C12" i="25"/>
  <c r="I12" i="9"/>
  <c r="C12" i="8"/>
  <c r="F12" i="9"/>
  <c r="G12" i="34"/>
  <c r="I12" i="11"/>
  <c r="E12" i="82"/>
  <c r="C12" i="38656"/>
  <c r="F12" i="38656"/>
  <c r="C12" i="26"/>
  <c r="C12" i="35"/>
  <c r="G12" i="25"/>
  <c r="F12" i="10"/>
  <c r="F12" i="11"/>
  <c r="C12" i="34"/>
  <c r="E12" i="34"/>
  <c r="C12" i="7"/>
  <c r="F12" i="38655"/>
  <c r="C12" i="82"/>
  <c r="I12" i="25"/>
  <c r="E12" i="37"/>
  <c r="C12" i="27"/>
  <c r="C12" i="76" s="1"/>
  <c r="G12" i="36"/>
  <c r="I12" i="26"/>
  <c r="C12" i="9"/>
  <c r="E12" i="36"/>
  <c r="E12" i="25"/>
  <c r="E12" i="19"/>
  <c r="I12" i="18"/>
  <c r="C12" i="19"/>
  <c r="F12" i="18"/>
  <c r="C12" i="18"/>
  <c r="F12" i="20"/>
  <c r="C12" i="38655"/>
  <c r="C12" i="20"/>
  <c r="H12" i="19"/>
  <c r="F19" i="5"/>
  <c r="C19" i="38"/>
  <c r="G19" i="38"/>
  <c r="E19" i="38"/>
  <c r="F19" i="11"/>
  <c r="G19" i="34"/>
  <c r="I19" i="20"/>
  <c r="C19" i="37"/>
  <c r="C19" i="10"/>
  <c r="I19" i="11"/>
  <c r="F19" i="26"/>
  <c r="C19" i="82"/>
  <c r="C19" i="25"/>
  <c r="C19" i="36"/>
  <c r="E19" i="82"/>
  <c r="C19" i="9"/>
  <c r="I19" i="26"/>
  <c r="E19" i="36"/>
  <c r="C19" i="27"/>
  <c r="C19" i="76" s="1"/>
  <c r="E19" i="34"/>
  <c r="E19" i="35"/>
  <c r="F19" i="38656"/>
  <c r="I19" i="25"/>
  <c r="G19" i="25"/>
  <c r="C19" i="26"/>
  <c r="C19" i="35"/>
  <c r="E19" i="37"/>
  <c r="C19" i="8"/>
  <c r="F19" i="9"/>
  <c r="C19" i="34"/>
  <c r="F19" i="10"/>
  <c r="I19" i="10"/>
  <c r="F19" i="38655"/>
  <c r="I19" i="9"/>
  <c r="C19" i="7"/>
  <c r="C19" i="11"/>
  <c r="E19" i="25"/>
  <c r="G19" i="36"/>
  <c r="I19" i="38655"/>
  <c r="F19" i="8"/>
  <c r="C19" i="18"/>
  <c r="C19" i="38656"/>
  <c r="C19" i="20"/>
  <c r="C19" i="19"/>
  <c r="F19" i="18"/>
  <c r="F19" i="20"/>
  <c r="C19" i="38655"/>
  <c r="I19" i="18"/>
  <c r="E19" i="19"/>
  <c r="H19" i="19"/>
  <c r="F42" i="5"/>
  <c r="C42" i="38"/>
  <c r="E42" i="38"/>
  <c r="G42" i="38"/>
  <c r="I42" i="20"/>
  <c r="G42" i="34"/>
  <c r="C42" i="35"/>
  <c r="C42" i="7"/>
  <c r="E42" i="34"/>
  <c r="F42" i="8"/>
  <c r="C42" i="11"/>
  <c r="C42" i="37"/>
  <c r="C42" i="36"/>
  <c r="E42" i="37"/>
  <c r="E42" i="25"/>
  <c r="C42" i="26"/>
  <c r="F42" i="9"/>
  <c r="I42" i="10"/>
  <c r="C42" i="10"/>
  <c r="F42" i="10"/>
  <c r="I42" i="26"/>
  <c r="F42" i="38655"/>
  <c r="C42" i="8"/>
  <c r="F42" i="26"/>
  <c r="E42" i="36"/>
  <c r="E42" i="35"/>
  <c r="C42" i="34"/>
  <c r="G42" i="25"/>
  <c r="I42" i="11"/>
  <c r="F42" i="38656"/>
  <c r="C42" i="9"/>
  <c r="C42" i="25"/>
  <c r="E42" i="82"/>
  <c r="I42" i="25"/>
  <c r="I42" i="38655"/>
  <c r="C42" i="82"/>
  <c r="I42" i="9"/>
  <c r="G42" i="36"/>
  <c r="C42" i="27"/>
  <c r="C42" i="76" s="1"/>
  <c r="F42" i="11"/>
  <c r="I42" i="18"/>
  <c r="C42" i="20"/>
  <c r="F42" i="20"/>
  <c r="C42" i="18"/>
  <c r="C42" i="38656"/>
  <c r="C42" i="38655"/>
  <c r="F42" i="18"/>
  <c r="C42" i="19"/>
  <c r="E42" i="19"/>
  <c r="H42" i="19"/>
  <c r="E13" i="38659"/>
  <c r="G13" i="38659" s="1"/>
  <c r="B50" i="38659"/>
  <c r="F51" i="5"/>
  <c r="D51" i="6" s="1"/>
  <c r="E51" i="6" s="1"/>
  <c r="C51" i="38648" s="1"/>
  <c r="C51" i="38"/>
  <c r="E51" i="38"/>
  <c r="G51" i="38"/>
  <c r="F51" i="26"/>
  <c r="I51" i="20"/>
  <c r="G51" i="34"/>
  <c r="C51" i="9"/>
  <c r="C51" i="7"/>
  <c r="I51" i="38655"/>
  <c r="C51" i="38656"/>
  <c r="C51" i="11"/>
  <c r="I51" i="26"/>
  <c r="G51" i="36"/>
  <c r="E51" i="36"/>
  <c r="F51" i="9"/>
  <c r="F51" i="38656"/>
  <c r="F51" i="38655"/>
  <c r="C51" i="26"/>
  <c r="C51" i="27"/>
  <c r="C51" i="76" s="1"/>
  <c r="C51" i="37"/>
  <c r="E51" i="34"/>
  <c r="C51" i="8"/>
  <c r="C51" i="25"/>
  <c r="C51" i="38655"/>
  <c r="F51" i="10"/>
  <c r="E51" i="82"/>
  <c r="F51" i="11"/>
  <c r="C51" i="36"/>
  <c r="F51" i="8"/>
  <c r="C51" i="10"/>
  <c r="I51" i="10"/>
  <c r="I51" i="25"/>
  <c r="C51" i="35"/>
  <c r="E51" i="25"/>
  <c r="I51" i="9"/>
  <c r="C51" i="34"/>
  <c r="E51" i="37"/>
  <c r="C51" i="82"/>
  <c r="E51" i="35"/>
  <c r="I51" i="11"/>
  <c r="G51" i="25"/>
  <c r="E51" i="19"/>
  <c r="I51" i="18"/>
  <c r="H51" i="19"/>
  <c r="C51" i="19"/>
  <c r="C51" i="20"/>
  <c r="F51" i="18"/>
  <c r="F51" i="20"/>
  <c r="C51" i="18"/>
  <c r="F28" i="5"/>
  <c r="E28" i="38"/>
  <c r="G28" i="38"/>
  <c r="C28" i="38"/>
  <c r="E28" i="36"/>
  <c r="I28" i="20"/>
  <c r="F28" i="9"/>
  <c r="C28" i="34"/>
  <c r="C28" i="36"/>
  <c r="E28" i="82"/>
  <c r="C28" i="26"/>
  <c r="F28" i="11"/>
  <c r="F28" i="38655"/>
  <c r="C28" i="10"/>
  <c r="I28" i="25"/>
  <c r="I28" i="10"/>
  <c r="G28" i="36"/>
  <c r="E28" i="34"/>
  <c r="I28" i="38655"/>
  <c r="F28" i="38656"/>
  <c r="C28" i="38656"/>
  <c r="C28" i="82"/>
  <c r="I28" i="9"/>
  <c r="F28" i="10"/>
  <c r="C28" i="25"/>
  <c r="C28" i="11"/>
  <c r="C28" i="27"/>
  <c r="C28" i="76" s="1"/>
  <c r="F28" i="26"/>
  <c r="G28" i="25"/>
  <c r="E28" i="37"/>
  <c r="E28" i="35"/>
  <c r="G28" i="34"/>
  <c r="C28" i="35"/>
  <c r="I28" i="26"/>
  <c r="F28" i="8"/>
  <c r="C28" i="37"/>
  <c r="I28" i="11"/>
  <c r="C28" i="8"/>
  <c r="E28" i="25"/>
  <c r="C28" i="9"/>
  <c r="C28" i="7"/>
  <c r="E28" i="19"/>
  <c r="F28" i="20"/>
  <c r="C28" i="19"/>
  <c r="C28" i="18"/>
  <c r="C28" i="38655"/>
  <c r="C28" i="20"/>
  <c r="I28" i="18"/>
  <c r="F28" i="18"/>
  <c r="H28" i="19"/>
  <c r="F38" i="5"/>
  <c r="E38" i="38"/>
  <c r="C38" i="38"/>
  <c r="G38" i="38"/>
  <c r="I38" i="20"/>
  <c r="C38" i="35"/>
  <c r="F38" i="38656"/>
  <c r="I38" i="38655"/>
  <c r="C38" i="9"/>
  <c r="E38" i="25"/>
  <c r="C38" i="25"/>
  <c r="C38" i="82"/>
  <c r="G38" i="34"/>
  <c r="C38" i="34"/>
  <c r="I38" i="26"/>
  <c r="C38" i="27"/>
  <c r="C38" i="76" s="1"/>
  <c r="E38" i="34"/>
  <c r="I38" i="25"/>
  <c r="F38" i="9"/>
  <c r="F38" i="11"/>
  <c r="G38" i="36"/>
  <c r="F38" i="10"/>
  <c r="C38" i="11"/>
  <c r="F38" i="38655"/>
  <c r="I38" i="9"/>
  <c r="F38" i="8"/>
  <c r="E38" i="35"/>
  <c r="C38" i="26"/>
  <c r="E38" i="82"/>
  <c r="C38" i="7"/>
  <c r="C38" i="36"/>
  <c r="E38" i="36"/>
  <c r="C38" i="10"/>
  <c r="E38" i="37"/>
  <c r="G38" i="25"/>
  <c r="C38" i="8"/>
  <c r="I38" i="10"/>
  <c r="F38" i="26"/>
  <c r="C38" i="37"/>
  <c r="C38" i="20"/>
  <c r="C38" i="38656"/>
  <c r="C38" i="18"/>
  <c r="F38" i="20"/>
  <c r="I38" i="11"/>
  <c r="C38" i="38655"/>
  <c r="C38" i="19"/>
  <c r="I38" i="18"/>
  <c r="E38" i="19"/>
  <c r="F38" i="18"/>
  <c r="H38" i="19"/>
  <c r="K33" i="38659"/>
  <c r="L33" i="38659"/>
  <c r="F15" i="5"/>
  <c r="G15" i="38"/>
  <c r="E15" i="38"/>
  <c r="C15" i="38"/>
  <c r="E15" i="36"/>
  <c r="I15" i="20"/>
  <c r="C15" i="10"/>
  <c r="F15" i="10"/>
  <c r="F15" i="11"/>
  <c r="C15" i="9"/>
  <c r="I15" i="11"/>
  <c r="C15" i="26"/>
  <c r="E15" i="34"/>
  <c r="F15" i="8"/>
  <c r="E15" i="37"/>
  <c r="C15" i="37"/>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i="18"/>
  <c r="C15" i="20"/>
  <c r="F15" i="18"/>
  <c r="F15" i="20"/>
  <c r="C15" i="19"/>
  <c r="E15" i="19"/>
  <c r="I15" i="38655"/>
  <c r="H15" i="19"/>
  <c r="F46" i="5"/>
  <c r="E46" i="38"/>
  <c r="G46" i="38"/>
  <c r="C46" i="38"/>
  <c r="C46" i="37"/>
  <c r="E46" i="35"/>
  <c r="C46" i="35"/>
  <c r="G46" i="36"/>
  <c r="I46" i="20"/>
  <c r="F46" i="38656"/>
  <c r="F46" i="11"/>
  <c r="C46" i="7"/>
  <c r="E46" i="36"/>
  <c r="C46" i="8"/>
  <c r="I46" i="11"/>
  <c r="E46" i="25"/>
  <c r="E46" i="82"/>
  <c r="E46" i="37"/>
  <c r="F46" i="9"/>
  <c r="G46" i="34"/>
  <c r="G46" i="25"/>
  <c r="F46" i="8"/>
  <c r="F46" i="26"/>
  <c r="C46" i="36"/>
  <c r="C46" i="11"/>
  <c r="E46" i="34"/>
  <c r="F46" i="10"/>
  <c r="C46" i="25"/>
  <c r="C46" i="34"/>
  <c r="I46" i="9"/>
  <c r="I46" i="10"/>
  <c r="C46" i="10"/>
  <c r="C46" i="20"/>
  <c r="I46" i="26"/>
  <c r="F46" i="38655"/>
  <c r="C46" i="82"/>
  <c r="C46" i="26"/>
  <c r="I46" i="38655"/>
  <c r="C46" i="9"/>
  <c r="I46" i="25"/>
  <c r="C46" i="27"/>
  <c r="C46" i="76" s="1"/>
  <c r="C46" i="38656"/>
  <c r="F46" i="20"/>
  <c r="I46" i="18"/>
  <c r="C46" i="18"/>
  <c r="C46" i="38655"/>
  <c r="C46" i="19"/>
  <c r="F46" i="18"/>
  <c r="E46" i="19"/>
  <c r="H46" i="19"/>
  <c r="F33" i="5"/>
  <c r="G33" i="38"/>
  <c r="E33" i="38"/>
  <c r="C33" i="38"/>
  <c r="I33" i="20"/>
  <c r="C33" i="37"/>
  <c r="E33" i="36"/>
  <c r="G33" i="34"/>
  <c r="C33" i="8"/>
  <c r="C33" i="38656"/>
  <c r="F33" i="11"/>
  <c r="C33" i="26"/>
  <c r="F33" i="9"/>
  <c r="E33" i="82"/>
  <c r="I33" i="9"/>
  <c r="I33" i="11"/>
  <c r="C33" i="82"/>
  <c r="F33" i="26"/>
  <c r="F33" i="38656"/>
  <c r="C33" i="11"/>
  <c r="G33" i="25"/>
  <c r="F33" i="10"/>
  <c r="E33" i="37"/>
  <c r="C33" i="25"/>
  <c r="C33" i="9"/>
  <c r="F33" i="38655"/>
  <c r="C33" i="36"/>
  <c r="I33" i="38655"/>
  <c r="C33" i="35"/>
  <c r="C33" i="34"/>
  <c r="F33" i="8"/>
  <c r="I33" i="25"/>
  <c r="G33" i="36"/>
  <c r="E33" i="25"/>
  <c r="C33" i="10"/>
  <c r="I33" i="10"/>
  <c r="C33" i="7"/>
  <c r="I33" i="26"/>
  <c r="E33" i="35"/>
  <c r="E33" i="34"/>
  <c r="F33" i="20"/>
  <c r="C33" i="27"/>
  <c r="C33" i="76" s="1"/>
  <c r="E33" i="19"/>
  <c r="C33" i="19"/>
  <c r="C33" i="18"/>
  <c r="I33" i="18"/>
  <c r="F33" i="18"/>
  <c r="C33" i="20"/>
  <c r="C33" i="38655"/>
  <c r="H33" i="19"/>
  <c r="F21" i="5"/>
  <c r="E21" i="38"/>
  <c r="C21" i="38"/>
  <c r="G21" i="38"/>
  <c r="I21" i="20"/>
  <c r="E21" i="36"/>
  <c r="E21" i="37"/>
  <c r="C21" i="27"/>
  <c r="C21" i="76" s="1"/>
  <c r="I21" i="25"/>
  <c r="C21" i="26"/>
  <c r="G21" i="34"/>
  <c r="C21" i="11"/>
  <c r="F21" i="38655"/>
  <c r="C21" i="38656"/>
  <c r="F21" i="38656"/>
  <c r="C21" i="35"/>
  <c r="C21" i="9"/>
  <c r="F21" i="26"/>
  <c r="E21" i="82"/>
  <c r="F21" i="10"/>
  <c r="I21" i="10"/>
  <c r="F21" i="8"/>
  <c r="I21" i="11"/>
  <c r="C21" i="34"/>
  <c r="C21" i="8"/>
  <c r="F21" i="11"/>
  <c r="C21" i="25"/>
  <c r="F21" i="9"/>
  <c r="C21" i="10"/>
  <c r="G21" i="36"/>
  <c r="I21" i="26"/>
  <c r="C21" i="36"/>
  <c r="E21" i="25"/>
  <c r="C21" i="37"/>
  <c r="E21" i="35"/>
  <c r="C21" i="7"/>
  <c r="G21" i="25"/>
  <c r="E21" i="34"/>
  <c r="C21" i="82"/>
  <c r="I21" i="9"/>
  <c r="C21" i="38655"/>
  <c r="C21" i="19"/>
  <c r="I21" i="38655"/>
  <c r="C21" i="18"/>
  <c r="I21" i="18"/>
  <c r="E21" i="19"/>
  <c r="F21" i="20"/>
  <c r="F21" i="18"/>
  <c r="C21" i="20"/>
  <c r="H21" i="19"/>
  <c r="K44" i="38659"/>
  <c r="L44" i="38659"/>
  <c r="F11" i="5"/>
  <c r="D48" i="5"/>
  <c r="C11" i="38"/>
  <c r="E11" i="38"/>
  <c r="G11" i="38"/>
  <c r="I11" i="20"/>
  <c r="I11" i="26"/>
  <c r="C11" i="8"/>
  <c r="F11" i="38655"/>
  <c r="C11" i="37"/>
  <c r="G11" i="34"/>
  <c r="C11" i="10"/>
  <c r="G11" i="25"/>
  <c r="C11" i="38656"/>
  <c r="C11" i="9"/>
  <c r="I11" i="25"/>
  <c r="E11" i="37"/>
  <c r="E11" i="34"/>
  <c r="F11" i="9"/>
  <c r="F11" i="10"/>
  <c r="C11" i="25"/>
  <c r="I11" i="11"/>
  <c r="C11" i="26"/>
  <c r="E11" i="35"/>
  <c r="F11" i="26"/>
  <c r="C11" i="36"/>
  <c r="C11" i="27"/>
  <c r="C11" i="76" s="1"/>
  <c r="I11" i="10"/>
  <c r="E11" i="25"/>
  <c r="I11" i="9"/>
  <c r="C11" i="11"/>
  <c r="E11" i="36"/>
  <c r="G11" i="36"/>
  <c r="C11" i="7"/>
  <c r="F11" i="11"/>
  <c r="F11" i="38656"/>
  <c r="F11" i="8"/>
  <c r="C11" i="82"/>
  <c r="C11" i="35"/>
  <c r="C11" i="34"/>
  <c r="E11" i="82"/>
  <c r="F11" i="20"/>
  <c r="I11" i="38655"/>
  <c r="F11" i="18"/>
  <c r="C11" i="19"/>
  <c r="C11" i="38655"/>
  <c r="I11" i="18"/>
  <c r="C11" i="18"/>
  <c r="E11" i="19"/>
  <c r="C11" i="20"/>
  <c r="H11" i="19"/>
  <c r="K26" i="38659"/>
  <c r="L26" i="38659"/>
  <c r="F40" i="5"/>
  <c r="C40" i="38"/>
  <c r="G40" i="38"/>
  <c r="E40" i="38"/>
  <c r="C40" i="7"/>
  <c r="I40" i="20"/>
  <c r="C40" i="26"/>
  <c r="F40" i="8"/>
  <c r="G40" i="25"/>
  <c r="E40" i="82"/>
  <c r="F40" i="38655"/>
  <c r="E40" i="34"/>
  <c r="G40" i="36"/>
  <c r="C40" i="11"/>
  <c r="C40" i="35"/>
  <c r="C40" i="9"/>
  <c r="C40" i="8"/>
  <c r="C40" i="82"/>
  <c r="C40" i="34"/>
  <c r="E40" i="37"/>
  <c r="E40" i="35"/>
  <c r="C40" i="37"/>
  <c r="C40" i="10"/>
  <c r="E40" i="25"/>
  <c r="I40" i="9"/>
  <c r="C40" i="36"/>
  <c r="F40" i="10"/>
  <c r="I40" i="25"/>
  <c r="F40" i="11"/>
  <c r="I40" i="11"/>
  <c r="I40" i="26"/>
  <c r="E40" i="36"/>
  <c r="I40" i="10"/>
  <c r="F40" i="26"/>
  <c r="I40" i="38655"/>
  <c r="F40" i="9"/>
  <c r="F40" i="38656"/>
  <c r="G40" i="34"/>
  <c r="C40" i="38656"/>
  <c r="C40" i="25"/>
  <c r="I40" i="18"/>
  <c r="C40" i="19"/>
  <c r="C40" i="27"/>
  <c r="C40" i="76" s="1"/>
  <c r="C40" i="20"/>
  <c r="F40" i="20"/>
  <c r="C40" i="18"/>
  <c r="F40" i="18"/>
  <c r="C40" i="38655"/>
  <c r="H40" i="19"/>
  <c r="E40" i="19"/>
  <c r="D32" i="6"/>
  <c r="E32" i="6" s="1"/>
  <c r="C32" i="38648" s="1"/>
  <c r="K25" i="38659"/>
  <c r="L25" i="38659"/>
  <c r="K22" i="38659"/>
  <c r="L22" i="38659"/>
  <c r="F25" i="5"/>
  <c r="C25" i="38"/>
  <c r="E25" i="38"/>
  <c r="G25" i="38"/>
  <c r="E25" i="36"/>
  <c r="E25" i="37"/>
  <c r="C25" i="8"/>
  <c r="I25" i="20"/>
  <c r="E25" i="35"/>
  <c r="E25" i="82"/>
  <c r="C25" i="25"/>
  <c r="F25" i="38655"/>
  <c r="I25" i="9"/>
  <c r="E25" i="34"/>
  <c r="C25" i="36"/>
  <c r="C25" i="7"/>
  <c r="F25" i="10"/>
  <c r="I25" i="25"/>
  <c r="F25" i="26"/>
  <c r="E25" i="25"/>
  <c r="C25" i="37"/>
  <c r="C25" i="27"/>
  <c r="C25" i="76" s="1"/>
  <c r="I25" i="38655"/>
  <c r="F25" i="11"/>
  <c r="G25" i="25"/>
  <c r="F25" i="8"/>
  <c r="C25" i="34"/>
  <c r="I25" i="10"/>
  <c r="C25" i="9"/>
  <c r="I25" i="26"/>
  <c r="C25" i="26"/>
  <c r="C25" i="10"/>
  <c r="C25" i="82"/>
  <c r="G25" i="34"/>
  <c r="C25" i="35"/>
  <c r="F25" i="9"/>
  <c r="C25" i="11"/>
  <c r="G25" i="36"/>
  <c r="F25" i="38656"/>
  <c r="C25" i="38656"/>
  <c r="C25" i="38655"/>
  <c r="C25" i="18"/>
  <c r="C25" i="20"/>
  <c r="F25" i="18"/>
  <c r="F25" i="20"/>
  <c r="C25" i="19"/>
  <c r="I25" i="11"/>
  <c r="I25" i="18"/>
  <c r="E25" i="19"/>
  <c r="H25" i="19"/>
  <c r="D26" i="6"/>
  <c r="E26" i="6" s="1"/>
  <c r="C26" i="38648" s="1"/>
  <c r="J11" i="42" l="1"/>
  <c r="D11" i="6"/>
  <c r="F48" i="5"/>
  <c r="D21" i="6"/>
  <c r="E21" i="6" s="1"/>
  <c r="C21" i="38648" s="1"/>
  <c r="D46" i="6"/>
  <c r="E46" i="6" s="1"/>
  <c r="C46" i="38648" s="1"/>
  <c r="D28" i="6"/>
  <c r="E28" i="6" s="1"/>
  <c r="C28" i="38648" s="1"/>
  <c r="E50" i="38659"/>
  <c r="G50" i="38659" s="1"/>
  <c r="K13" i="38659"/>
  <c r="L13" i="38659"/>
  <c r="D19" i="6"/>
  <c r="E19" i="6" s="1"/>
  <c r="C19" i="38648" s="1"/>
  <c r="D23" i="6"/>
  <c r="E23" i="6" s="1"/>
  <c r="C23" i="38648" s="1"/>
  <c r="D44" i="6"/>
  <c r="E44" i="6" s="1"/>
  <c r="C44" i="38648" s="1"/>
  <c r="D31" i="6"/>
  <c r="E31" i="6" s="1"/>
  <c r="C31" i="38648" s="1"/>
  <c r="D14" i="6"/>
  <c r="E14" i="6" s="1"/>
  <c r="C14" i="38648" s="1"/>
  <c r="J54" i="23"/>
  <c r="M25" i="21"/>
  <c r="G48" i="38"/>
  <c r="C48" i="38"/>
  <c r="I48" i="20"/>
  <c r="C48" i="10"/>
  <c r="E48" i="35"/>
  <c r="I48" i="26"/>
  <c r="F48" i="11"/>
  <c r="C48" i="37"/>
  <c r="C48" i="11"/>
  <c r="C48" i="26"/>
  <c r="I48" i="10"/>
  <c r="C48" i="25"/>
  <c r="I48" i="25"/>
  <c r="F48" i="38655"/>
  <c r="F48" i="26"/>
  <c r="C48" i="82"/>
  <c r="E48" i="36"/>
  <c r="I48" i="11"/>
  <c r="C48" i="38656"/>
  <c r="C48" i="9"/>
  <c r="E48" i="25"/>
  <c r="E48" i="37"/>
  <c r="E48" i="34"/>
  <c r="G48" i="25"/>
  <c r="F48" i="38656"/>
  <c r="E48" i="82"/>
  <c r="C48" i="34"/>
  <c r="F48" i="10"/>
  <c r="C48" i="35"/>
  <c r="I48" i="9"/>
  <c r="G48" i="34"/>
  <c r="C48" i="36"/>
  <c r="G48" i="36"/>
  <c r="C48" i="19"/>
  <c r="I48" i="38655"/>
  <c r="C48" i="27"/>
  <c r="C48" i="76" s="1"/>
  <c r="C48" i="8"/>
  <c r="C48" i="7"/>
  <c r="F48" i="8"/>
  <c r="F48" i="18"/>
  <c r="F48" i="20"/>
  <c r="C48" i="38655"/>
  <c r="C48" i="20"/>
  <c r="I48" i="18"/>
  <c r="F48" i="9"/>
  <c r="E48" i="19"/>
  <c r="C48" i="18"/>
  <c r="H48" i="19"/>
  <c r="D39" i="6"/>
  <c r="E39" i="6" s="1"/>
  <c r="C39" i="38648" s="1"/>
  <c r="D20" i="6"/>
  <c r="E20" i="6" s="1"/>
  <c r="C20" i="38648" s="1"/>
  <c r="D43" i="6"/>
  <c r="E43" i="6" s="1"/>
  <c r="C43" i="38648" s="1"/>
  <c r="D24" i="6"/>
  <c r="E24" i="6" s="1"/>
  <c r="C24" i="38648" s="1"/>
  <c r="D15" i="6"/>
  <c r="E15" i="6" s="1"/>
  <c r="C15" i="38648" s="1"/>
  <c r="D38" i="6"/>
  <c r="E38" i="6" s="1"/>
  <c r="C38" i="38648" s="1"/>
  <c r="D42" i="6"/>
  <c r="E42" i="6" s="1"/>
  <c r="C42" i="38648" s="1"/>
  <c r="D12" i="6"/>
  <c r="E12" i="6" s="1"/>
  <c r="C12" i="38648" s="1"/>
  <c r="D16" i="6"/>
  <c r="E16" i="6" s="1"/>
  <c r="C16" i="38648" s="1"/>
  <c r="D41" i="6"/>
  <c r="E41" i="6" s="1"/>
  <c r="C41" i="38648" s="1"/>
  <c r="D18" i="6"/>
  <c r="E18" i="6" s="1"/>
  <c r="C18" i="38648" s="1"/>
  <c r="D13" i="6"/>
  <c r="E13" i="6" s="1"/>
  <c r="C13" i="38648" s="1"/>
  <c r="D33" i="6"/>
  <c r="E33" i="6" s="1"/>
  <c r="C33" i="38648" s="1"/>
  <c r="D25" i="6"/>
  <c r="E25" i="6" s="1"/>
  <c r="C25" i="38648" s="1"/>
  <c r="D40" i="6"/>
  <c r="E40" i="6" s="1"/>
  <c r="C40" i="38648" s="1"/>
  <c r="D36" i="6"/>
  <c r="E36" i="6" s="1"/>
  <c r="C36" i="38648" s="1"/>
  <c r="D45" i="6"/>
  <c r="E45" i="6" s="1"/>
  <c r="C45" i="38648" s="1"/>
  <c r="D22" i="6"/>
  <c r="E22" i="6" s="1"/>
  <c r="C22" i="38648" s="1"/>
  <c r="D17" i="6"/>
  <c r="E17" i="6" s="1"/>
  <c r="C17" i="38648" s="1"/>
  <c r="D37" i="6"/>
  <c r="E37" i="6" s="1"/>
  <c r="C37" i="38648" s="1"/>
  <c r="I48" i="43"/>
  <c r="B48" i="42" s="1"/>
  <c r="C48" i="45"/>
  <c r="G48" i="42" s="1"/>
  <c r="L16" i="42" s="1"/>
  <c r="I48" i="44"/>
  <c r="F48" i="42" s="1"/>
  <c r="L15" i="42" s="1"/>
  <c r="E48" i="44"/>
  <c r="D48" i="42" s="1"/>
  <c r="L13" i="42" s="1"/>
  <c r="C48" i="44"/>
  <c r="C48" i="42" s="1"/>
  <c r="L12" i="42" s="1"/>
  <c r="G48" i="45"/>
  <c r="G48" i="44"/>
  <c r="E48" i="42" s="1"/>
  <c r="L14" i="42" s="1"/>
  <c r="E48" i="45"/>
  <c r="H48" i="42" s="1"/>
  <c r="L17" i="42" s="1"/>
  <c r="L11" i="42" l="1"/>
  <c r="L19" i="42" s="1"/>
  <c r="J48" i="42"/>
  <c r="E11" i="6"/>
  <c r="C11" i="38648" s="1"/>
  <c r="D48" i="6"/>
  <c r="E48" i="6" s="1"/>
  <c r="C48" i="38648" s="1"/>
  <c r="K50" i="38659"/>
  <c r="E48" i="38"/>
  <c r="G29" i="38663" l="1"/>
  <c r="D29" i="32" l="1"/>
  <c r="E29" i="38648" l="1"/>
  <c r="G29" i="38667" l="1"/>
  <c r="I29" i="38667"/>
  <c r="E29" i="38667"/>
  <c r="G30" i="38663" l="1"/>
  <c r="D48" i="38663" l="1"/>
  <c r="E48" i="38663"/>
  <c r="D30" i="32"/>
  <c r="F27" i="39"/>
  <c r="E48" i="39"/>
  <c r="F48" i="39" s="1"/>
  <c r="G13" i="38663"/>
  <c r="F48" i="38663"/>
  <c r="G17" i="38663"/>
  <c r="G21" i="38663"/>
  <c r="G25" i="38663"/>
  <c r="G31" i="38663"/>
  <c r="G35" i="38663"/>
  <c r="G50" i="38663"/>
  <c r="G12" i="38663"/>
  <c r="G16" i="38663"/>
  <c r="G24" i="38663"/>
  <c r="G42" i="38663"/>
  <c r="G46" i="38663"/>
  <c r="C48" i="39"/>
  <c r="D48" i="39" s="1"/>
  <c r="D27" i="39"/>
  <c r="G19" i="38663"/>
  <c r="G23" i="38663"/>
  <c r="G27" i="38663"/>
  <c r="G33" i="38663"/>
  <c r="G41" i="38663"/>
  <c r="G45" i="38663"/>
  <c r="H27" i="39"/>
  <c r="G48" i="39"/>
  <c r="H48" i="39" s="1"/>
  <c r="G14" i="38663"/>
  <c r="G18" i="38663"/>
  <c r="G20" i="38663"/>
  <c r="G22" i="38663"/>
  <c r="G26" i="38663"/>
  <c r="G28" i="38663"/>
  <c r="G32" i="38663"/>
  <c r="G36" i="38663"/>
  <c r="G38" i="38663"/>
  <c r="G40" i="38663"/>
  <c r="G44" i="38663"/>
  <c r="G51" i="38663"/>
  <c r="D42" i="32"/>
  <c r="D51" i="32" l="1"/>
  <c r="G37" i="38663"/>
  <c r="G39" i="38663"/>
  <c r="G29" i="54"/>
  <c r="F29" i="54"/>
  <c r="D22" i="32"/>
  <c r="D43" i="32"/>
  <c r="D41" i="32"/>
  <c r="D21" i="32"/>
  <c r="D26" i="32"/>
  <c r="G34" i="38663"/>
  <c r="G15" i="38663"/>
  <c r="B48" i="38663"/>
  <c r="D45" i="32"/>
  <c r="D34" i="32"/>
  <c r="D25" i="32"/>
  <c r="D16" i="32"/>
  <c r="D13" i="32"/>
  <c r="D35" i="32"/>
  <c r="D32" i="32"/>
  <c r="D15" i="32"/>
  <c r="D14" i="32"/>
  <c r="D24" i="32"/>
  <c r="J29" i="54"/>
  <c r="I29" i="54"/>
  <c r="G30" i="54"/>
  <c r="F30" i="54"/>
  <c r="B48" i="32"/>
  <c r="D46" i="32"/>
  <c r="D37" i="32"/>
  <c r="D28" i="32"/>
  <c r="D17" i="32"/>
  <c r="D39" i="32"/>
  <c r="D36" i="32"/>
  <c r="D33" i="32"/>
  <c r="J30" i="54"/>
  <c r="I30" i="54"/>
  <c r="E29" i="76"/>
  <c r="D29" i="54"/>
  <c r="C29" i="54"/>
  <c r="D30" i="54"/>
  <c r="E30" i="76"/>
  <c r="C30" i="54"/>
  <c r="G11" i="38663"/>
  <c r="C48" i="38663"/>
  <c r="D12" i="32"/>
  <c r="D31" i="32"/>
  <c r="D38" i="32"/>
  <c r="D20" i="32"/>
  <c r="D27" i="32"/>
  <c r="D50" i="32"/>
  <c r="D44" i="32"/>
  <c r="D40" i="32"/>
  <c r="D23" i="32"/>
  <c r="D19" i="32"/>
  <c r="G43" i="38663"/>
  <c r="D18" i="32"/>
  <c r="E16" i="38648"/>
  <c r="E35" i="38648"/>
  <c r="E28" i="38648"/>
  <c r="E23" i="38648"/>
  <c r="E12" i="38648"/>
  <c r="E41" i="38648"/>
  <c r="E32" i="38648"/>
  <c r="E13" i="38648"/>
  <c r="E19" i="38648"/>
  <c r="E31" i="38648"/>
  <c r="E36" i="38648"/>
  <c r="E14" i="38648"/>
  <c r="E44" i="38648"/>
  <c r="E34" i="38648"/>
  <c r="E17" i="38648"/>
  <c r="E46" i="38648"/>
  <c r="E42" i="38648"/>
  <c r="E38" i="38648"/>
  <c r="E20" i="38648"/>
  <c r="E26" i="38648"/>
  <c r="E15" i="38648"/>
  <c r="E45" i="38648"/>
  <c r="E21" i="38648"/>
  <c r="E50" i="38648"/>
  <c r="E43" i="38648"/>
  <c r="E22" i="38648"/>
  <c r="E33" i="38648"/>
  <c r="E27" i="38648"/>
  <c r="E18" i="38648"/>
  <c r="E51" i="38648"/>
  <c r="E40" i="38648"/>
  <c r="E25" i="38648"/>
  <c r="C48" i="32"/>
  <c r="E11" i="38648"/>
  <c r="E39" i="38648"/>
  <c r="E30" i="38648"/>
  <c r="E24" i="38648"/>
  <c r="E37" i="38648"/>
  <c r="G13" i="54" l="1"/>
  <c r="F13" i="54"/>
  <c r="J27" i="54"/>
  <c r="I27" i="54"/>
  <c r="D20" i="54"/>
  <c r="E20" i="76"/>
  <c r="C20" i="54"/>
  <c r="J35" i="54"/>
  <c r="I35" i="54"/>
  <c r="J18" i="54"/>
  <c r="I18" i="54"/>
  <c r="D38" i="54"/>
  <c r="E38" i="76"/>
  <c r="C38" i="54"/>
  <c r="D25" i="54"/>
  <c r="E25" i="76"/>
  <c r="C25" i="54"/>
  <c r="G17" i="54"/>
  <c r="F17" i="54"/>
  <c r="D21" i="54"/>
  <c r="C21" i="54"/>
  <c r="G14" i="54"/>
  <c r="F14" i="54"/>
  <c r="J14" i="54"/>
  <c r="I14" i="54"/>
  <c r="J32" i="54"/>
  <c r="I32" i="54"/>
  <c r="D23" i="54"/>
  <c r="E23" i="76"/>
  <c r="C23" i="54"/>
  <c r="J23" i="54"/>
  <c r="I23" i="54"/>
  <c r="G44" i="54"/>
  <c r="F44" i="54"/>
  <c r="G22" i="54"/>
  <c r="F22" i="54"/>
  <c r="G33" i="54"/>
  <c r="F33" i="54"/>
  <c r="G50" i="54"/>
  <c r="F50" i="54"/>
  <c r="J41" i="54"/>
  <c r="I41" i="54"/>
  <c r="G37" i="54"/>
  <c r="F37" i="54"/>
  <c r="D40" i="54"/>
  <c r="E40" i="76"/>
  <c r="C40" i="54"/>
  <c r="G40" i="54"/>
  <c r="F40" i="54"/>
  <c r="G24" i="54"/>
  <c r="F24" i="54"/>
  <c r="G42" i="54"/>
  <c r="F42" i="54"/>
  <c r="D22" i="54"/>
  <c r="E22" i="76"/>
  <c r="C22" i="54"/>
  <c r="J51" i="54"/>
  <c r="I51" i="54"/>
  <c r="D24" i="54"/>
  <c r="E24" i="76"/>
  <c r="C24" i="54"/>
  <c r="G21" i="54"/>
  <c r="F21" i="54"/>
  <c r="D11" i="54"/>
  <c r="C11" i="54"/>
  <c r="G19" i="54"/>
  <c r="F19" i="54"/>
  <c r="G51" i="54"/>
  <c r="F51" i="54"/>
  <c r="G36" i="54"/>
  <c r="F36" i="54"/>
  <c r="D50" i="54"/>
  <c r="E50" i="76"/>
  <c r="C50" i="54"/>
  <c r="G16" i="54"/>
  <c r="F16" i="54"/>
  <c r="D44" i="54"/>
  <c r="E44" i="76"/>
  <c r="C44" i="54"/>
  <c r="J40" i="54"/>
  <c r="I40" i="54"/>
  <c r="J34" i="54"/>
  <c r="I34" i="54"/>
  <c r="G39" i="54"/>
  <c r="F39" i="54"/>
  <c r="D51" i="54"/>
  <c r="E51" i="76"/>
  <c r="C51" i="54"/>
  <c r="D13" i="54"/>
  <c r="E13" i="76"/>
  <c r="C13" i="54"/>
  <c r="G25" i="54"/>
  <c r="F25" i="54"/>
  <c r="J13" i="54"/>
  <c r="I13" i="54"/>
  <c r="G15" i="54"/>
  <c r="F15" i="54"/>
  <c r="G35" i="54"/>
  <c r="F35" i="54"/>
  <c r="G45" i="54"/>
  <c r="F45" i="54"/>
  <c r="D31" i="54"/>
  <c r="E31" i="76"/>
  <c r="C31" i="54"/>
  <c r="D41" i="54"/>
  <c r="E41" i="76"/>
  <c r="C41" i="54"/>
  <c r="J39" i="54"/>
  <c r="I39" i="54"/>
  <c r="D14" i="54"/>
  <c r="E14" i="76"/>
  <c r="C14" i="54"/>
  <c r="G30" i="76"/>
  <c r="F30" i="76"/>
  <c r="G29" i="76"/>
  <c r="F29" i="76"/>
  <c r="D43" i="54"/>
  <c r="C43" i="54"/>
  <c r="J20" i="54"/>
  <c r="I20" i="54"/>
  <c r="J24" i="54"/>
  <c r="I24" i="54"/>
  <c r="G41" i="54"/>
  <c r="F41" i="54"/>
  <c r="J15" i="54"/>
  <c r="I15" i="54"/>
  <c r="G32" i="54"/>
  <c r="F32" i="54"/>
  <c r="J22" i="54"/>
  <c r="I22" i="54"/>
  <c r="D28" i="54"/>
  <c r="E28" i="76"/>
  <c r="C28" i="54"/>
  <c r="D46" i="54"/>
  <c r="E46" i="76"/>
  <c r="C46" i="54"/>
  <c r="G28" i="54"/>
  <c r="F28" i="54"/>
  <c r="J31" i="54"/>
  <c r="I31" i="54"/>
  <c r="D35" i="54"/>
  <c r="E35" i="76"/>
  <c r="C35" i="54"/>
  <c r="J50" i="54"/>
  <c r="I50" i="54"/>
  <c r="J45" i="54"/>
  <c r="I45" i="54"/>
  <c r="D33" i="54"/>
  <c r="E33" i="76"/>
  <c r="C33" i="54"/>
  <c r="J42" i="54"/>
  <c r="I42" i="54"/>
  <c r="G23" i="54"/>
  <c r="F23" i="54"/>
  <c r="G34" i="54"/>
  <c r="F34" i="54"/>
  <c r="G46" i="54"/>
  <c r="F46" i="54"/>
  <c r="D42" i="54"/>
  <c r="E42" i="76"/>
  <c r="C42" i="54"/>
  <c r="G38" i="54"/>
  <c r="F38" i="54"/>
  <c r="D45" i="54"/>
  <c r="E45" i="76"/>
  <c r="C45" i="54"/>
  <c r="J46" i="54"/>
  <c r="I46" i="54"/>
  <c r="D15" i="54"/>
  <c r="E15" i="76"/>
  <c r="C15" i="54"/>
  <c r="G31" i="54"/>
  <c r="F31" i="54"/>
  <c r="J44" i="54"/>
  <c r="I44" i="54"/>
  <c r="J17" i="54"/>
  <c r="I17" i="54"/>
  <c r="G11" i="54"/>
  <c r="F11" i="54"/>
  <c r="J25" i="54"/>
  <c r="I25" i="54"/>
  <c r="J16" i="54"/>
  <c r="I16" i="54"/>
  <c r="J37" i="54"/>
  <c r="I37" i="54"/>
  <c r="D39" i="54"/>
  <c r="E39" i="76"/>
  <c r="C39" i="54"/>
  <c r="D34" i="54"/>
  <c r="E34" i="76"/>
  <c r="C34" i="54"/>
  <c r="G12" i="54"/>
  <c r="F12" i="54"/>
  <c r="J26" i="54"/>
  <c r="I26" i="54"/>
  <c r="D26" i="54"/>
  <c r="C26" i="54"/>
  <c r="D12" i="54"/>
  <c r="C12" i="54"/>
  <c r="G27" i="54"/>
  <c r="F27" i="54"/>
  <c r="E17" i="76"/>
  <c r="D17" i="54"/>
  <c r="C17" i="54"/>
  <c r="J36" i="54"/>
  <c r="I36" i="54"/>
  <c r="J38" i="54"/>
  <c r="I38" i="54"/>
  <c r="D18" i="54"/>
  <c r="C18" i="54"/>
  <c r="D37" i="54"/>
  <c r="E37" i="76"/>
  <c r="C37" i="54"/>
  <c r="J28" i="54"/>
  <c r="I28" i="54"/>
  <c r="G20" i="54"/>
  <c r="F20" i="54"/>
  <c r="J33" i="54"/>
  <c r="I33" i="54"/>
  <c r="D19" i="54"/>
  <c r="E19" i="76"/>
  <c r="C19" i="54"/>
  <c r="D32" i="54"/>
  <c r="E32" i="76"/>
  <c r="C32" i="54"/>
  <c r="D16" i="54"/>
  <c r="E16" i="76"/>
  <c r="C16" i="54"/>
  <c r="J19" i="54"/>
  <c r="I19" i="54"/>
  <c r="D27" i="54"/>
  <c r="E27" i="76"/>
  <c r="C27" i="54"/>
  <c r="G48" i="38663"/>
  <c r="D11" i="32"/>
  <c r="D48" i="32" s="1"/>
  <c r="E11" i="76"/>
  <c r="E26" i="76"/>
  <c r="E21" i="76"/>
  <c r="G21" i="76" l="1"/>
  <c r="F21" i="76"/>
  <c r="G26" i="76"/>
  <c r="F26" i="76"/>
  <c r="G11" i="76"/>
  <c r="F11" i="76"/>
  <c r="D36" i="54"/>
  <c r="E36" i="76"/>
  <c r="C36" i="54"/>
  <c r="G43" i="54"/>
  <c r="F43" i="54"/>
  <c r="G30" i="38667"/>
  <c r="I30" i="38667"/>
  <c r="E30" i="38667"/>
  <c r="G45" i="76"/>
  <c r="F45" i="76"/>
  <c r="G33" i="76"/>
  <c r="F33" i="76"/>
  <c r="G41" i="76"/>
  <c r="F41" i="76"/>
  <c r="G13" i="76"/>
  <c r="F13" i="76"/>
  <c r="G44" i="76"/>
  <c r="F44" i="76"/>
  <c r="G24" i="76"/>
  <c r="F24" i="76"/>
  <c r="G38" i="76"/>
  <c r="F38" i="76"/>
  <c r="E43" i="76"/>
  <c r="G26" i="54"/>
  <c r="F26" i="54"/>
  <c r="J12" i="54"/>
  <c r="I12" i="54"/>
  <c r="G16" i="76"/>
  <c r="F16" i="76"/>
  <c r="G34" i="76"/>
  <c r="F34" i="76"/>
  <c r="G15" i="76"/>
  <c r="F15" i="76"/>
  <c r="G35" i="76"/>
  <c r="F35" i="76"/>
  <c r="G14" i="76"/>
  <c r="F14" i="76"/>
  <c r="G31" i="76"/>
  <c r="F31" i="76"/>
  <c r="G51" i="76"/>
  <c r="F51" i="76"/>
  <c r="G23" i="76"/>
  <c r="F23" i="76"/>
  <c r="G20" i="76"/>
  <c r="F20" i="76"/>
  <c r="J43" i="54"/>
  <c r="I43" i="54"/>
  <c r="J11" i="54"/>
  <c r="I11" i="54"/>
  <c r="G27" i="76"/>
  <c r="F27" i="76"/>
  <c r="G32" i="76"/>
  <c r="F32" i="76"/>
  <c r="G37" i="76"/>
  <c r="F37" i="76"/>
  <c r="G39" i="76"/>
  <c r="F39" i="76"/>
  <c r="G46" i="76"/>
  <c r="F46" i="76"/>
  <c r="G40" i="76"/>
  <c r="F40" i="76"/>
  <c r="B48" i="54"/>
  <c r="J21" i="54"/>
  <c r="I21" i="54"/>
  <c r="G44" i="38667"/>
  <c r="I44" i="38667"/>
  <c r="E44" i="38667"/>
  <c r="G18" i="54"/>
  <c r="F18" i="54"/>
  <c r="G19" i="76"/>
  <c r="F19" i="76"/>
  <c r="G17" i="76"/>
  <c r="F17" i="76"/>
  <c r="G42" i="76"/>
  <c r="F42" i="76"/>
  <c r="G28" i="76"/>
  <c r="F28" i="76"/>
  <c r="G50" i="76"/>
  <c r="F50" i="76"/>
  <c r="G22" i="76"/>
  <c r="F22" i="76"/>
  <c r="G25" i="76"/>
  <c r="F25" i="76"/>
  <c r="E18" i="76"/>
  <c r="E12" i="76"/>
  <c r="E48" i="38648"/>
  <c r="C72" i="3188" l="1"/>
  <c r="G23" i="38667"/>
  <c r="I23" i="38667"/>
  <c r="E23" i="38667"/>
  <c r="G14" i="38667"/>
  <c r="I14" i="38667"/>
  <c r="E14" i="38667"/>
  <c r="G15" i="38667"/>
  <c r="I15" i="38667"/>
  <c r="E15" i="38667"/>
  <c r="G35" i="38667"/>
  <c r="I35" i="38667"/>
  <c r="E35" i="38667"/>
  <c r="G45" i="38667"/>
  <c r="I45" i="38667"/>
  <c r="E45" i="38667"/>
  <c r="G21" i="38667"/>
  <c r="I21" i="38667"/>
  <c r="E21" i="38667"/>
  <c r="G40" i="38667"/>
  <c r="I40" i="38667"/>
  <c r="E40" i="38667"/>
  <c r="G16" i="38667"/>
  <c r="I16" i="38667"/>
  <c r="E16" i="38667"/>
  <c r="G48" i="54"/>
  <c r="F48" i="54"/>
  <c r="G22" i="38667"/>
  <c r="I22" i="38667"/>
  <c r="E22" i="38667"/>
  <c r="D48" i="54"/>
  <c r="E48" i="76"/>
  <c r="C48" i="54"/>
  <c r="G24" i="38667"/>
  <c r="I24" i="38667"/>
  <c r="E24" i="38667"/>
  <c r="G34" i="38667"/>
  <c r="I34" i="38667"/>
  <c r="E34" i="38667"/>
  <c r="G25" i="38667"/>
  <c r="I25" i="38667"/>
  <c r="E25" i="38667"/>
  <c r="I32" i="38667"/>
  <c r="G32" i="38667"/>
  <c r="E32" i="38667"/>
  <c r="I13" i="38667"/>
  <c r="G13" i="38667"/>
  <c r="E13" i="38667"/>
  <c r="G43" i="76"/>
  <c r="F43" i="76"/>
  <c r="G41" i="38667"/>
  <c r="I41" i="38667"/>
  <c r="E41" i="38667"/>
  <c r="G46" i="38667"/>
  <c r="I46" i="38667"/>
  <c r="E46" i="38667"/>
  <c r="G36" i="38667"/>
  <c r="I36" i="38667"/>
  <c r="E36" i="38667"/>
  <c r="G28" i="38667"/>
  <c r="I28" i="38667"/>
  <c r="E28" i="38667"/>
  <c r="G38" i="38667"/>
  <c r="I38" i="38667"/>
  <c r="E38" i="38667"/>
  <c r="G18" i="76"/>
  <c r="F18" i="76"/>
  <c r="J48" i="54"/>
  <c r="I48" i="54"/>
  <c r="G26" i="38667"/>
  <c r="I26" i="38667"/>
  <c r="E26" i="38667"/>
  <c r="G12" i="76"/>
  <c r="F12" i="76"/>
  <c r="G36" i="76"/>
  <c r="F36" i="76"/>
  <c r="G20" i="38667" l="1"/>
  <c r="I20" i="38667"/>
  <c r="E20" i="38667"/>
  <c r="G31" i="38667"/>
  <c r="I31" i="38667"/>
  <c r="E31" i="38667"/>
  <c r="G27" i="38667"/>
  <c r="I27" i="38667"/>
  <c r="E27" i="38667"/>
  <c r="G42" i="38667"/>
  <c r="I42" i="38667"/>
  <c r="E42" i="38667"/>
  <c r="G18" i="38667"/>
  <c r="I18" i="38667"/>
  <c r="E18" i="38667"/>
  <c r="G11" i="38667"/>
  <c r="I11" i="38667"/>
  <c r="D48" i="38667"/>
  <c r="E11" i="38667"/>
  <c r="I17" i="38667"/>
  <c r="G17" i="38667"/>
  <c r="E17" i="38667"/>
  <c r="G37" i="38667"/>
  <c r="I37" i="38667"/>
  <c r="E37" i="38667"/>
  <c r="G19" i="38667"/>
  <c r="I19" i="38667"/>
  <c r="E19" i="38667"/>
  <c r="I43" i="38667"/>
  <c r="G43" i="38667"/>
  <c r="E43" i="38667"/>
  <c r="G48" i="76"/>
  <c r="F48" i="76"/>
  <c r="I12" i="38667"/>
  <c r="G12" i="38667"/>
  <c r="E12" i="38667"/>
  <c r="G39" i="38667"/>
  <c r="I39" i="38667"/>
  <c r="E39" i="38667"/>
  <c r="G33" i="38667"/>
  <c r="I33" i="38667"/>
  <c r="E33" i="38667"/>
  <c r="G48" i="38667" l="1"/>
  <c r="I48" i="38667"/>
  <c r="E48" i="38667"/>
</calcChain>
</file>

<file path=xl/comments1.xml><?xml version="1.0" encoding="utf-8"?>
<comments xmlns="http://schemas.openxmlformats.org/spreadsheetml/2006/main">
  <authors>
    <author>GPizzaro</author>
  </authors>
  <commentList>
    <comment ref="J8" authorId="0" shapeId="0">
      <text>
        <r>
          <rPr>
            <sz val="8"/>
            <color indexed="81"/>
            <rFont val="Tahoma"/>
            <family val="2"/>
          </rPr>
          <t>Portioned assessment come from W:\Edusfb\Total School Assessment\YYYY F assessment.</t>
        </r>
      </text>
    </comment>
    <comment ref="H16" authorId="0" shapeId="0">
      <text>
        <r>
          <rPr>
            <b/>
            <sz val="8"/>
            <color indexed="81"/>
            <rFont val="Tahoma"/>
            <family val="2"/>
          </rPr>
          <t>GPizzaro:</t>
        </r>
        <r>
          <rPr>
            <sz val="8"/>
            <color indexed="81"/>
            <rFont val="Tahoma"/>
            <family val="2"/>
          </rPr>
          <t xml:space="preserve">
Take it from the folder</t>
        </r>
      </text>
    </comment>
  </commentList>
</comments>
</file>

<file path=xl/sharedStrings.xml><?xml version="1.0" encoding="utf-8"?>
<sst xmlns="http://schemas.openxmlformats.org/spreadsheetml/2006/main" count="3224" uniqueCount="658">
  <si>
    <t>REVENUE AND TRANSFERS</t>
  </si>
  <si>
    <t xml:space="preserve"> EXPENSE BY CATEGORY</t>
  </si>
  <si>
    <t xml:space="preserve">  REVENUE BY CATEGORY</t>
  </si>
  <si>
    <t>TANGIBLE CAPITAL ASSETS</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</si>
  <si>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</si>
  <si>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</si>
  <si>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</si>
  <si>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</si>
  <si>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</si>
  <si>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</si>
  <si>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</si>
  <si>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</si>
  <si>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</si>
  <si>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</si>
  <si>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</si>
  <si>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</si>
  <si>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</si>
  <si>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</si>
  <si>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</si>
  <si>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</si>
  <si>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</si>
  <si>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</si>
  <si>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</si>
  <si>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</si>
  <si>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</si>
  <si>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</si>
  <si>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</si>
  <si>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</si>
  <si>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</si>
  <si>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</si>
  <si>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</si>
  <si>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</si>
  <si>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</si>
  <si>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</si>
  <si>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</si>
  <si>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</si>
  <si>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</si>
  <si>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</si>
  <si>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</si>
  <si>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</si>
  <si>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</si>
  <si>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</si>
  <si>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</si>
  <si>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</si>
  <si>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</si>
  <si>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</si>
  <si>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</si>
  <si>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</si>
  <si>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</si>
  <si>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</si>
  <si>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</si>
  <si>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</si>
  <si>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</si>
  <si>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</si>
  <si>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</si>
  <si>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</si>
  <si>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</si>
  <si>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</si>
  <si>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</si>
  <si>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</si>
  <si>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</si>
  <si>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</si>
  <si>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</si>
  <si>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</si>
  <si>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</si>
  <si>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</si>
  <si>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</si>
  <si>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</si>
  <si>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</si>
  <si>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</si>
  <si>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</si>
  <si>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</si>
  <si>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</si>
  <si>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</si>
  <si>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</si>
  <si>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</si>
  <si>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</si>
  <si>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</si>
  <si>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</si>
  <si>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</si>
  <si>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</si>
  <si>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</si>
  <si>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</si>
  <si>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</si>
  <si>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</si>
  <si>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</si>
  <si>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</si>
  <si>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</si>
  <si>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</si>
  <si>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</si>
  <si>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</si>
  <si>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</si>
  <si>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</si>
  <si>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</si>
  <si>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</si>
  <si>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</si>
  <si>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</si>
  <si>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</si>
  <si>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</si>
  <si>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</si>
  <si>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</si>
  <si>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</si>
  <si>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</si>
  <si>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</si>
  <si>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</si>
  <si>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</si>
  <si>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</si>
  <si>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</si>
  <si>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</si>
  <si>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</si>
  <si>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</si>
  <si>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</si>
  <si>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</si>
  <si>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</si>
  <si>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</si>
  <si>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</si>
  <si>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</si>
  <si>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</si>
  <si>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</si>
  <si>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</si>
  <si>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</si>
  <si>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</si>
  <si>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</si>
  <si>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</si>
  <si>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</si>
  <si>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</si>
  <si>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</si>
  <si>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</si>
  <si>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</si>
  <si>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</si>
  <si>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</si>
  <si>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</si>
  <si>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</si>
  <si>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</si>
  <si>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</si>
  <si>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</si>
  <si>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</si>
  <si>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</si>
  <si>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</si>
  <si>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</si>
  <si>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</si>
  <si>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</si>
  <si>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</si>
  <si>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</si>
  <si>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</si>
  <si>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</si>
  <si>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</si>
  <si>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</si>
  <si>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</si>
  <si>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</si>
  <si>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</si>
  <si>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</si>
  <si>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</si>
  <si>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</si>
  <si>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</si>
  <si>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</si>
  <si>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</si>
  <si>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</si>
  <si>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</si>
  <si>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</si>
  <si>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</si>
  <si>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</si>
  <si>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</si>
  <si>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</si>
  <si>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</si>
  <si>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</si>
  <si>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</si>
  <si>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</si>
  <si>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</si>
  <si>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</si>
  <si>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</si>
  <si>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</si>
  <si>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</si>
  <si>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</si>
  <si>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</si>
  <si>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</si>
  <si>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</si>
  <si>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</si>
  <si>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</si>
  <si>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</si>
  <si>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</si>
  <si>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</si>
  <si>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</si>
  <si>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</si>
  <si>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</si>
  <si>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</si>
  <si>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</si>
  <si>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</si>
  <si>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</si>
  <si>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</si>
  <si>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</si>
  <si>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</si>
  <si>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</si>
  <si>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</si>
  <si>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</si>
  <si>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</si>
  <si>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</si>
  <si>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</si>
  <si>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</si>
  <si>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</si>
  <si>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</si>
  <si>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</si>
  <si>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</si>
  <si>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</si>
  <si>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</si>
  <si>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</si>
  <si>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</si>
  <si>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</si>
  <si>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</si>
  <si>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</si>
  <si>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</si>
  <si>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</si>
  <si>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</si>
  <si>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</si>
  <si>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</si>
  <si>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</si>
  <si>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</si>
  <si>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</si>
  <si>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</si>
  <si>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</si>
  <si>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</si>
  <si>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</si>
  <si>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</si>
  <si>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</si>
  <si>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</si>
  <si>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</si>
  <si>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</si>
  <si>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</si>
  <si>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</si>
  <si>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</si>
  <si>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</si>
  <si>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</si>
  <si>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</si>
  <si>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</si>
  <si>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</si>
  <si>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</si>
  <si>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</si>
  <si>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</si>
  <si>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</si>
  <si>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</si>
  <si>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</si>
  <si>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</si>
  <si>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</si>
  <si>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</si>
  <si>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</si>
  <si>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</si>
  <si>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</si>
  <si>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</si>
  <si>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</si>
  <si>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</si>
  <si>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</si>
  <si>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</si>
  <si>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</si>
  <si>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</si>
  <si>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</si>
  <si>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</si>
  <si>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</si>
  <si>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</si>
  <si>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</si>
  <si>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</si>
  <si>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</si>
  <si>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</si>
  <si>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</si>
  <si>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</si>
  <si>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</si>
  <si>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</si>
  <si>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</si>
  <si>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</si>
  <si>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</si>
  <si>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</si>
  <si>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</si>
  <si>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</si>
  <si>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</si>
  <si>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</si>
  <si>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</si>
  <si>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</si>
  <si>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</si>
  <si>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</si>
  <si>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</si>
  <si>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</si>
  <si>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</si>
  <si>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</si>
  <si>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</si>
  <si>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</si>
  <si>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</si>
  <si>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</si>
  <si>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</si>
  <si>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</si>
  <si>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</si>
  <si>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</si>
  <si>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</si>
  <si>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</si>
  <si>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</si>
  <si>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</si>
  <si>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</si>
  <si>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</si>
  <si>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</si>
  <si>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</si>
  <si>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</si>
  <si>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</si>
  <si>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</si>
  <si>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</si>
  <si>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</si>
  <si>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</si>
  <si>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</si>
  <si>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</si>
  <si>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</si>
  <si>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</si>
  <si>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</si>
  <si>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</si>
  <si>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</si>
  <si>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</si>
  <si>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</si>
  <si>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</si>
  <si>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</si>
  <si>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</si>
  <si>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</si>
  <si>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</si>
  <si>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</si>
  <si>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</si>
  <si>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</si>
  <si>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</si>
  <si>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</si>
  <si>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</si>
  <si>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</si>
  <si>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</si>
  <si>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</si>
  <si>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</si>
  <si>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</si>
  <si>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</si>
  <si>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</si>
  <si>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</si>
  <si>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</si>
  <si>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</si>
  <si>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</si>
  <si>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</si>
  <si>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</si>
  <si>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</si>
  <si>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</si>
  <si>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</si>
  <si>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</si>
  <si>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</si>
  <si>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</si>
  <si>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</si>
  <si>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</si>
  <si>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</si>
  <si>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</si>
  <si>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</si>
  <si>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</si>
  <si>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</si>
  <si>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</si>
  <si>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</si>
  <si>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(2)  Includes other governments, investment income, donations and gain/(loss) on disposal of capital assets. .</t>
  </si>
  <si>
    <t>(2)  Internally restricted and held for future capital expense purposes.</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</si>
  <si>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</si>
  <si>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</si>
  <si>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</si>
  <si>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</si>
  <si>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</si>
  <si>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</si>
  <si>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</si>
  <si>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</si>
  <si>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</si>
  <si>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</si>
  <si>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</si>
  <si>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</si>
  <si>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</si>
  <si>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</si>
  <si>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</si>
  <si>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</si>
  <si>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</si>
  <si>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</si>
  <si>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</si>
  <si>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</si>
  <si>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</si>
  <si>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</si>
  <si>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</si>
  <si>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</si>
  <si>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</si>
  <si>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</si>
  <si>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</si>
  <si>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</si>
  <si>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</si>
  <si>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t>W:\Edusfb\Age and Area</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</si>
  <si>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</si>
  <si>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</si>
  <si>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</si>
  <si>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</si>
  <si>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</si>
  <si>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</si>
  <si>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</si>
  <si>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</si>
  <si>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</si>
  <si>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</si>
  <si>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</si>
  <si>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</si>
  <si>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</si>
  <si>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</si>
  <si>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</si>
  <si>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</si>
  <si>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</si>
  <si>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</si>
  <si>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</si>
  <si>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</si>
  <si>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</si>
  <si>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</si>
  <si>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</si>
  <si>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</si>
  <si>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</si>
  <si>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</si>
  <si>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</si>
  <si>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</si>
  <si>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</si>
  <si>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</si>
  <si>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(2)  Capitalized Information Technology equipment is reported on page 48.</t>
  </si>
  <si>
    <t>(2)  Total Management Information Services expenses in Function 500 (from page 26).</t>
  </si>
  <si>
    <t>(3)  For information technology equipment purchased in Operating Fund, see page 37.</t>
  </si>
  <si>
    <t>(3)  From page 55 (for more information, see page 55).</t>
  </si>
  <si>
    <t xml:space="preserve">(4)  From page 53 (for more information, see page 53). </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</si>
  <si>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</si>
  <si>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</si>
  <si>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</si>
  <si>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</si>
  <si>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</si>
  <si>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</si>
  <si>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</si>
  <si>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</si>
  <si>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</si>
  <si>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</si>
  <si>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</si>
  <si>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</si>
  <si>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</si>
  <si>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</si>
  <si>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</si>
  <si>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</si>
  <si>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</si>
  <si>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</si>
  <si>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</si>
  <si>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</si>
  <si>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</si>
  <si>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</si>
  <si>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</si>
  <si>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</si>
  <si>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</si>
  <si>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</si>
  <si>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</si>
  <si>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</si>
  <si>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</si>
  <si>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</si>
  <si>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</si>
  <si>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</si>
  <si>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</si>
  <si>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</si>
  <si>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</si>
  <si>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</si>
  <si>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</si>
  <si>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</si>
  <si>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</si>
  <si>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</si>
  <si>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r>
      <t xml:space="preserve">REGULAR 
 INSTRUCTION </t>
    </r>
    <r>
      <rPr>
        <b/>
        <vertAlign val="superscript"/>
        <sz val="9"/>
        <rFont val="Arial"/>
        <family val="2"/>
      </rPr>
      <t>(1)</t>
    </r>
  </si>
  <si>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</si>
  <si>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</si>
  <si>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</si>
  <si>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</si>
  <si>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</si>
  <si>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</si>
  <si>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</si>
  <si>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</si>
  <si>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</si>
  <si>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</si>
  <si>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</si>
  <si>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</si>
  <si>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</si>
  <si>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</si>
  <si>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</si>
  <si>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</si>
  <si>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</si>
  <si>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</si>
  <si>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</si>
  <si>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</si>
  <si>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</si>
  <si>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</si>
  <si>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</si>
  <si>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</si>
  <si>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</si>
  <si>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</si>
  <si>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</si>
  <si>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</si>
  <si>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</si>
  <si>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</si>
  <si>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</si>
  <si>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</si>
  <si>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</si>
  <si>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</si>
  <si>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</si>
  <si>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</si>
  <si>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</si>
  <si>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</si>
  <si>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</si>
  <si>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</si>
  <si>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</si>
  <si>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</si>
  <si>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</si>
  <si>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</si>
  <si>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</si>
  <si>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</si>
  <si>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</si>
  <si>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</si>
  <si>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</si>
  <si>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</si>
  <si>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</si>
  <si>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</si>
  <si>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</si>
  <si>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</si>
  <si>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</si>
  <si>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</si>
  <si>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</si>
  <si>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</si>
  <si>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</si>
  <si>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</si>
  <si>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</si>
  <si>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</si>
  <si>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</si>
  <si>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</si>
  <si>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</si>
  <si>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</si>
  <si>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</si>
  <si>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</si>
  <si>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</si>
  <si>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</si>
  <si>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</si>
  <si>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</si>
  <si>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</si>
  <si>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</si>
  <si>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</si>
  <si>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</si>
  <si>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</si>
  <si>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</si>
  <si>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</si>
  <si>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</si>
  <si>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</si>
  <si>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</si>
  <si>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</si>
  <si>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</si>
  <si>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</si>
  <si>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</si>
  <si>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</si>
  <si>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</si>
  <si>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</si>
  <si>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</si>
  <si>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</si>
  <si>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</si>
  <si>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</si>
  <si>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</si>
  <si>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</si>
  <si>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</si>
  <si>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</si>
  <si>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</si>
  <si>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</si>
  <si>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</si>
  <si>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EDUCATION
 SUPPORT 
LEVY</t>
  </si>
  <si>
    <r>
      <t>ASSESSMENT
 PER
 RESIDENT PUPIL</t>
    </r>
    <r>
      <rPr>
        <b/>
        <vertAlign val="superscript"/>
        <sz val="9"/>
        <rFont val="Arial"/>
        <family val="2"/>
      </rPr>
      <t xml:space="preserve"> (1)</t>
    </r>
  </si>
  <si>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</si>
  <si>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</si>
  <si>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</si>
  <si>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</si>
  <si>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</si>
  <si>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</si>
  <si>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</si>
  <si>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</si>
  <si>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</si>
  <si>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</si>
  <si>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</si>
  <si>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</si>
  <si>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</si>
  <si>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</si>
  <si>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</si>
  <si>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</si>
  <si>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</si>
  <si>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</si>
  <si>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</si>
  <si>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</si>
  <si>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</si>
  <si>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</si>
  <si>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</si>
  <si>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</si>
  <si>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(1)  Equalization is provided to recognize the varying ability of school divisions to meet the cost of unsupported program requirements
        through the property tax base of the school division.</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</si>
  <si>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</si>
  <si>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</si>
  <si>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</si>
  <si>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</si>
  <si>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</si>
  <si>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</si>
  <si>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</si>
  <si>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</si>
  <si>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</si>
  <si>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</si>
  <si>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</si>
  <si>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</si>
  <si>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</si>
  <si>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</si>
  <si>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</si>
  <si>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</si>
  <si>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</si>
  <si>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</si>
  <si>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</si>
  <si>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</si>
  <si>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</si>
  <si>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MITT</t>
  </si>
  <si>
    <t>Coming from Budget. Pg 48</t>
  </si>
  <si>
    <r>
      <t>DIVISIONAL ADMINISTRATION FUNCTION 500</t>
    </r>
    <r>
      <rPr>
        <b/>
        <vertAlign val="superscript"/>
        <sz val="9"/>
        <rFont val="Arial"/>
        <family val="2"/>
      </rPr>
      <t xml:space="preserve"> (2)</t>
    </r>
  </si>
  <si>
    <t>LESS:   LIABILITY INSURANCE, ADMIN. PORTION OF SELF-FUNDED EXPENSES &amp; TRUSTEE ELECTION COSTS</t>
  </si>
  <si>
    <t>DEFINED
ADMINISTRATION
EXPENSES</t>
  </si>
  <si>
    <t>Incremental administration costs related to Waywayseecappo</t>
  </si>
  <si>
    <t>TRUSTEE</t>
  </si>
  <si>
    <t>ELECTION</t>
  </si>
  <si>
    <t>PA_WAYWAY</t>
  </si>
  <si>
    <t>N/A</t>
  </si>
  <si>
    <t xml:space="preserve">
 ADMIN. 
LIMIT</t>
  </si>
  <si>
    <t>ADMIN</t>
  </si>
  <si>
    <t>Limit</t>
  </si>
  <si>
    <t>(1)  Comprised of principal and interest payments for long term debt issued to finance asset additions.</t>
  </si>
  <si>
    <t>(2)  Comprised of school and other building new construction and betterments financed primarily through long term debt. Includes
        leasehold improvements and assets under construction.</t>
  </si>
  <si>
    <t>SEPT. 30, 2016</t>
  </si>
  <si>
    <t>2017/18</t>
  </si>
  <si>
    <t>SEPT. 30, 2017</t>
  </si>
  <si>
    <t>2017/2018 ACTUAL</t>
  </si>
  <si>
    <t>(3) The Tax Incentive Grant is a calendar year grant that is being phased-out over a 6 year period beginning in 2018. The amounts shown here are the 
       portions by division after the allocation to the DSFM and are expressed on a school year basis.</t>
  </si>
  <si>
    <t>2018/19</t>
  </si>
  <si>
    <t>2018/2019 ACTUAL</t>
  </si>
  <si>
    <t>SEPT. 30, 2018</t>
  </si>
  <si>
    <t>(2)  The total number of pupils enrolled in schools adjusted for full time equivalence (F.T.E.).  Full time equivalent means pupils are counted on 
       the basis of time attending school - eg. Kindergarten as 1/2.  This total is the same as reported on page 7.</t>
  </si>
  <si>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</si>
  <si>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</si>
  <si>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(1)  Based on area (square footage) of active school buildings as at September 30, 2018. Includes rented and leased space.</t>
  </si>
  <si>
    <t>(1)  Residual interest (accounting value) in all tangible capital assets (i.e. land, buildings, vehicles and equipment) net of accumulated amortization and liabilities.</t>
  </si>
  <si>
    <t>(1) The mill rate for other property in 2018 is 9.77.</t>
  </si>
  <si>
    <t>FOR THE 2018 TAXATION YEAR (2018 IS A REASSESSMENT YEAR)</t>
  </si>
  <si>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</si>
  <si>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t>(2)  Additional Equalization is provided to specifically assist school divisions or districts that have both higher than average tax effort
       and lower than average assessment per pupil.</t>
  </si>
  <si>
    <r>
      <t xml:space="preserve">2018/19 </t>
    </r>
    <r>
      <rPr>
        <b/>
        <vertAlign val="superscript"/>
        <sz val="10"/>
        <rFont val="Arial"/>
        <family val="2"/>
      </rPr>
      <t>(2)</t>
    </r>
  </si>
  <si>
    <r>
      <t xml:space="preserve">2018 </t>
    </r>
    <r>
      <rPr>
        <b/>
        <vertAlign val="superscript"/>
        <sz val="10"/>
        <rFont val="Arial"/>
        <family val="2"/>
      </rPr>
      <t>(3)</t>
    </r>
  </si>
  <si>
    <r>
      <t xml:space="preserve">2018 </t>
    </r>
    <r>
      <rPr>
        <b/>
        <vertAlign val="superscript"/>
        <sz val="10"/>
        <rFont val="Arial"/>
        <family val="2"/>
      </rPr>
      <t>(4)</t>
    </r>
  </si>
  <si>
    <t>2018 TSA</t>
  </si>
  <si>
    <t>W:\Edusfb\Frame.fin\[Final19.xls]Scdatabase - Column AD</t>
  </si>
  <si>
    <t>Sept. 30 / 18</t>
  </si>
  <si>
    <t>(1)  The Tax Incentive Grant (TIG) was a voluntary program intended to assist school divisions that maintained their Special Levy amount 
       adjusted for real growth in property assessment.  Starting in 2018, it is being phased out at 1/6th per year and adjusted (per a TIG 
       Guarantee) to ensure that total operating support including the TIG is at least 98 per cent of last year’s funding.  The 2018 TIG of $53.9
       million is a $7.5 million reduction from the 2017 grant of $61.4 million which is comprised of a $10.2 million reduction (1/6th) offset by
       a $2.7 million TIG guarantee.</t>
  </si>
  <si>
    <t>(3)  Provincially supported pupils (actual September 30, 2017 for 2018/19 and actual September 30, 2016 for 2017/18). The Whiteshell Special 
       Revenue District includes out-of-district pupils.</t>
  </si>
  <si>
    <t>(1)  This appendix provides an analysis of divisional administration expenses as a percentage of the adjusted operating expense base. Frontier  School Division, DSFM, Whiteshell and Manitoba Institute of Trades and Technology are exempt from these limits and are not reflected in the above totals.  Expenses shown for Function 500 may differ from corresponding  amounts shown on page 16 owing to the inclusion of operating transfers for the purpose of calculating administration costs. Effective with fiscal year 2015/16, school divisions are required to limit the proportion of their operating expenses spent on divisional administration to 3.0% (for school divisions with F.T.E enrolment of 5,000 of greater), 3.6% (for school divisions with F.T.E enrolment of 1,000 or less) and between 3.0% and 3.6% for school divisions with F.T.E enrolment between 1,000 and 5,000. Northern school divisions are subject  to a 4.25% limit.</t>
  </si>
  <si>
    <t>(1)  Special Levy net of the Tax Incentive Grant (page 54) requisitioned by school divisions for the 2018 tax year. Actual remittance to
       school divisions by municipalities is reduced by the Education Property Tax Credit. See pages 41 and 42 for more detail.</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</si>
  <si>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</si>
  <si>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</si>
  <si>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</si>
  <si>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</si>
  <si>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</si>
  <si>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(1)  The portion shown here is comprised of operating support only. The total provincial contribution to K-12 public school education, which also
       includes teachers' retirement allowances, capital support and the education property tax credit, is 71.4% in 2018/19. See page i for more
       information.</t>
  </si>
  <si>
    <t>(6) Total provincial contribution to public education is 71.4%. See page i for more details.</t>
  </si>
  <si>
    <t>FRAME Report: 2018/19 Actual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</si>
</sst>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
    <numFmt numFmtId="166" formatCode="0.0%"/>
    <numFmt numFmtId="167" formatCode="#,##0.0_);\(#,##0.0\)"/>
    <numFmt numFmtId="168" formatCode="0.0_)"/>
    <numFmt numFmtId="169" formatCode="0.00_)"/>
    <numFmt numFmtId="170" formatCode="#,##0_ ;\(#,##0\)"/>
    <numFmt numFmtId="171" formatCode="#,##0\ ;\(#,##0\ \)"/>
    <numFmt numFmtId="172" formatCode="#,##0.0;\-#,##0.0"/>
    <numFmt numFmtId="173" formatCode="#,##0.0000;\-#,##0.0000"/>
    <numFmt numFmtId="174" formatCode="#,##0.0_ ;\(#,##0.0\)"/>
    <numFmt numFmtId="175" formatCode="#,##0.0_);[Red]\(#,##0.0\)"/>
    <numFmt numFmtId="176" formatCode="#,##0.00_ ;\(#,##0.00\)"/>
    <numFmt numFmtId="177" formatCode="dd\-mmm\-yy_)"/>
  </numFmts>
  <fonts count="32" x14ac:knownFonts="1">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
      <b/>
      <sz val="5"/>
      <name val="Arial"/>
      <family val="2"/>
    </font>
    <font>
      <sz val="9"/>
      <color rgb="FF000000"/>
      <name val="Times New Roman"/>
      <family val="1"/>
    </font>
    <font>
      <b/>
      <sz val="8"/>
      <color indexed="81"/>
      <name val="Tahoma"/>
      <family val="2"/>
    </font>
  </fonts>
  <fills count="15">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4" fontId="1" fillId="0" borderId="0" applyFont="0" applyFill="0" applyBorder="0" applyAlignment="0" applyProtection="0"/>
    <xf numFmtId="164"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82">
    <xf numFmtId="37" fontId="0" fillId="0" borderId="0" xfId="0"/>
    <xf numFmtId="37" fontId="0" fillId="0" borderId="0" xfId="0" applyAlignment="1">
      <alignment horizontal="right"/>
    </xf>
    <xf numFmtId="37" fontId="7" fillId="0" borderId="0" xfId="0" applyFont="1"/>
    <xf numFmtId="37" fontId="8" fillId="0" borderId="0" xfId="0" applyFont="1"/>
    <xf numFmtId="37" fontId="7" fillId="0" borderId="0" xfId="0" applyFont="1" applyAlignment="1">
      <alignment horizontal="right"/>
    </xf>
    <xf numFmtId="167" fontId="7" fillId="0" borderId="0" xfId="0" applyNumberFormat="1" applyFont="1"/>
    <xf numFmtId="37" fontId="4" fillId="0" borderId="0" xfId="0" applyFont="1"/>
    <xf numFmtId="165"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0" fontId="7" fillId="0" borderId="1" xfId="0" applyNumberFormat="1" applyFont="1" applyBorder="1" applyAlignment="1">
      <alignment vertical="center"/>
    </xf>
    <xf numFmtId="49" fontId="7" fillId="0" borderId="0" xfId="0" applyNumberFormat="1" applyFont="1" applyAlignment="1">
      <alignment vertical="center"/>
    </xf>
    <xf numFmtId="171"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5"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0"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0" fontId="7" fillId="0" borderId="1" xfId="0" applyNumberFormat="1" applyFont="1" applyBorder="1" applyProtection="1"/>
    <xf numFmtId="170" fontId="7" fillId="0" borderId="6" xfId="0" applyNumberFormat="1" applyFont="1" applyBorder="1" applyProtection="1"/>
    <xf numFmtId="37" fontId="7" fillId="0" borderId="6" xfId="0" applyFont="1" applyBorder="1"/>
    <xf numFmtId="170"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0" fontId="4" fillId="0" borderId="19" xfId="0" applyNumberFormat="1" applyFont="1" applyBorder="1" applyProtection="1"/>
    <xf numFmtId="170" fontId="4" fillId="0" borderId="18" xfId="0" applyNumberFormat="1" applyFont="1" applyBorder="1" applyProtection="1"/>
    <xf numFmtId="170" fontId="7" fillId="0" borderId="13" xfId="0" applyNumberFormat="1" applyFont="1" applyBorder="1"/>
    <xf numFmtId="165" fontId="7" fillId="0" borderId="2" xfId="0" applyNumberFormat="1" applyFont="1" applyBorder="1" applyProtection="1"/>
    <xf numFmtId="37" fontId="7" fillId="3" borderId="2" xfId="0" applyFont="1" applyFill="1" applyBorder="1" applyAlignment="1">
      <alignment horizontal="center"/>
    </xf>
    <xf numFmtId="165"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4" fontId="7" fillId="0" borderId="1" xfId="0" applyNumberFormat="1" applyFont="1" applyBorder="1" applyAlignment="1">
      <alignment vertical="center"/>
    </xf>
    <xf numFmtId="174"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7"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7" fontId="7" fillId="5" borderId="0" xfId="0" applyNumberFormat="1" applyFont="1" applyFill="1" applyBorder="1" applyProtection="1"/>
    <xf numFmtId="167"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69"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4" fontId="7" fillId="0" borderId="22" xfId="0" applyNumberFormat="1" applyFont="1" applyBorder="1" applyAlignment="1">
      <alignment vertical="center"/>
    </xf>
    <xf numFmtId="174"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0" fontId="7" fillId="3" borderId="7" xfId="0" applyNumberFormat="1" applyFont="1" applyFill="1" applyBorder="1" applyProtection="1"/>
    <xf numFmtId="166" fontId="7" fillId="3" borderId="7" xfId="0" applyNumberFormat="1" applyFont="1" applyFill="1" applyBorder="1" applyProtection="1"/>
    <xf numFmtId="37" fontId="7" fillId="3" borderId="24" xfId="0" applyFont="1" applyFill="1" applyBorder="1"/>
    <xf numFmtId="170" fontId="7" fillId="3" borderId="24" xfId="0" applyNumberFormat="1" applyFont="1" applyFill="1" applyBorder="1" applyProtection="1"/>
    <xf numFmtId="37" fontId="7" fillId="0" borderId="24" xfId="0" applyFont="1" applyBorder="1"/>
    <xf numFmtId="170" fontId="7" fillId="0" borderId="24" xfId="0" applyNumberFormat="1" applyFont="1" applyBorder="1" applyProtection="1"/>
    <xf numFmtId="170"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6" fontId="7" fillId="0" borderId="0" xfId="0" applyNumberFormat="1" applyFont="1" applyProtection="1"/>
    <xf numFmtId="49" fontId="7" fillId="0" borderId="0" xfId="0" applyNumberFormat="1" applyFont="1"/>
    <xf numFmtId="166" fontId="7" fillId="0" borderId="0" xfId="8" applyNumberFormat="1" applyFont="1"/>
    <xf numFmtId="49" fontId="8" fillId="0" borderId="0" xfId="0" applyNumberFormat="1" applyFont="1"/>
    <xf numFmtId="37" fontId="7" fillId="0" borderId="0" xfId="0" quotePrefix="1" applyFont="1" applyAlignment="1">
      <alignment horizontal="left"/>
    </xf>
    <xf numFmtId="165"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5"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6" fontId="7" fillId="0" borderId="1" xfId="8" applyNumberFormat="1" applyFont="1" applyBorder="1"/>
    <xf numFmtId="165"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5"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0" fontId="7" fillId="0" borderId="1" xfId="0" applyNumberFormat="1" applyFont="1" applyBorder="1"/>
    <xf numFmtId="170"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5"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0" fontId="7" fillId="0" borderId="16" xfId="0" applyNumberFormat="1" applyFont="1" applyBorder="1" applyAlignment="1">
      <alignment vertical="center"/>
    </xf>
    <xf numFmtId="175" fontId="7" fillId="0" borderId="28" xfId="0" applyNumberFormat="1" applyFont="1" applyBorder="1" applyAlignment="1">
      <alignment vertical="center"/>
    </xf>
    <xf numFmtId="175"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5" fontId="7" fillId="0" borderId="0" xfId="0" applyNumberFormat="1" applyFont="1" applyBorder="1" applyProtection="1"/>
    <xf numFmtId="37" fontId="4" fillId="3" borderId="17" xfId="0" applyFont="1" applyFill="1" applyBorder="1" applyAlignment="1">
      <alignment horizontal="centerContinuous"/>
    </xf>
    <xf numFmtId="165"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5"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5"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5"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4" fontId="7" fillId="0" borderId="1" xfId="0" applyNumberFormat="1" applyFont="1" applyBorder="1"/>
    <xf numFmtId="173" fontId="7" fillId="0" borderId="0" xfId="0" applyNumberFormat="1" applyFont="1"/>
    <xf numFmtId="174" fontId="7" fillId="0" borderId="0" xfId="0" applyNumberFormat="1" applyFont="1"/>
    <xf numFmtId="170" fontId="7" fillId="0" borderId="0" xfId="0" applyNumberFormat="1" applyFont="1" applyProtection="1"/>
    <xf numFmtId="37" fontId="4" fillId="0" borderId="24" xfId="0" applyFont="1" applyBorder="1" applyAlignment="1">
      <alignment horizontal="center" vertical="center"/>
    </xf>
    <xf numFmtId="164"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5" fontId="7" fillId="0" borderId="13" xfId="0" applyNumberFormat="1" applyFont="1" applyBorder="1" applyProtection="1"/>
    <xf numFmtId="37" fontId="7" fillId="0" borderId="13" xfId="0" applyFont="1" applyBorder="1" applyAlignment="1">
      <alignment horizontal="centerContinuous" vertical="center"/>
    </xf>
    <xf numFmtId="165" fontId="7" fillId="0" borderId="0" xfId="0" applyNumberFormat="1" applyFont="1" applyAlignment="1" applyProtection="1">
      <alignment horizontal="centerContinuous"/>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165"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0"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0"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4" fontId="7" fillId="6" borderId="1" xfId="0" applyNumberFormat="1" applyFont="1" applyFill="1" applyBorder="1" applyAlignment="1">
      <alignment vertical="center"/>
    </xf>
    <xf numFmtId="174" fontId="7" fillId="6" borderId="22" xfId="0" applyNumberFormat="1" applyFont="1" applyFill="1" applyBorder="1" applyAlignment="1">
      <alignment vertical="center"/>
    </xf>
    <xf numFmtId="174" fontId="7" fillId="6" borderId="6" xfId="0" applyNumberFormat="1" applyFont="1" applyFill="1" applyBorder="1" applyAlignment="1">
      <alignment vertical="center"/>
    </xf>
    <xf numFmtId="174" fontId="4" fillId="6" borderId="19" xfId="0" applyNumberFormat="1" applyFont="1" applyFill="1" applyBorder="1" applyAlignment="1">
      <alignment vertical="center"/>
    </xf>
    <xf numFmtId="174" fontId="4" fillId="6" borderId="33" xfId="0" applyNumberFormat="1" applyFont="1" applyFill="1" applyBorder="1" applyAlignment="1">
      <alignment vertical="center"/>
    </xf>
    <xf numFmtId="174"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0" fontId="7" fillId="9" borderId="16" xfId="0" applyNumberFormat="1" applyFont="1" applyFill="1" applyBorder="1" applyAlignment="1">
      <alignment vertical="center"/>
    </xf>
    <xf numFmtId="175" fontId="7" fillId="9" borderId="28" xfId="0" applyNumberFormat="1" applyFont="1" applyFill="1" applyBorder="1" applyAlignment="1">
      <alignment vertical="center"/>
    </xf>
    <xf numFmtId="170" fontId="4" fillId="6" borderId="17" xfId="0" applyNumberFormat="1" applyFont="1" applyFill="1" applyBorder="1" applyAlignment="1">
      <alignment vertical="center"/>
    </xf>
    <xf numFmtId="175"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8" fontId="7" fillId="3" borderId="24" xfId="0" applyNumberFormat="1" applyFont="1" applyFill="1" applyBorder="1" applyProtection="1"/>
    <xf numFmtId="168" fontId="7" fillId="0" borderId="24" xfId="0" applyNumberFormat="1" applyFont="1" applyBorder="1" applyProtection="1"/>
    <xf numFmtId="168" fontId="4" fillId="0" borderId="7" xfId="8" applyNumberFormat="1" applyFont="1" applyFill="1" applyBorder="1"/>
    <xf numFmtId="170" fontId="4" fillId="0" borderId="23" xfId="0" applyNumberFormat="1" applyFont="1" applyBorder="1" applyProtection="1"/>
    <xf numFmtId="168" fontId="4" fillId="0" borderId="23" xfId="0" applyNumberFormat="1" applyFont="1" applyBorder="1" applyProtection="1"/>
    <xf numFmtId="170" fontId="4" fillId="8" borderId="23" xfId="0" applyNumberFormat="1" applyFont="1" applyFill="1" applyBorder="1" applyProtection="1"/>
    <xf numFmtId="168"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0" fontId="7" fillId="6" borderId="1" xfId="0" applyNumberFormat="1" applyFont="1" applyFill="1" applyBorder="1"/>
    <xf numFmtId="174"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0" fontId="4" fillId="6" borderId="19" xfId="0" applyNumberFormat="1" applyFont="1" applyFill="1" applyBorder="1"/>
    <xf numFmtId="174"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6" fontId="7" fillId="6" borderId="1" xfId="0" applyNumberFormat="1" applyFont="1" applyFill="1" applyBorder="1" applyAlignment="1">
      <alignment vertical="center"/>
    </xf>
    <xf numFmtId="176" fontId="7" fillId="0" borderId="1" xfId="0" applyNumberFormat="1" applyFont="1" applyBorder="1" applyAlignment="1">
      <alignment vertical="center"/>
    </xf>
    <xf numFmtId="176" fontId="7" fillId="6" borderId="1" xfId="0" applyNumberFormat="1" applyFont="1" applyFill="1" applyBorder="1" applyAlignment="1">
      <alignment horizontal="right" vertical="center"/>
    </xf>
    <xf numFmtId="176" fontId="0" fillId="0" borderId="0" xfId="0" applyNumberFormat="1"/>
    <xf numFmtId="176" fontId="4" fillId="6" borderId="19" xfId="0" applyNumberFormat="1" applyFont="1" applyFill="1" applyBorder="1" applyAlignment="1">
      <alignment vertical="center"/>
    </xf>
    <xf numFmtId="170" fontId="7" fillId="6" borderId="1" xfId="0" applyNumberFormat="1" applyFont="1" applyFill="1" applyBorder="1" applyAlignment="1">
      <alignment horizontal="right" vertical="center"/>
    </xf>
    <xf numFmtId="170"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4" fontId="7" fillId="0" borderId="1" xfId="0" applyNumberFormat="1" applyFont="1" applyBorder="1" applyAlignment="1">
      <alignment horizontal="right" vertical="center"/>
    </xf>
    <xf numFmtId="37" fontId="4" fillId="7" borderId="5" xfId="0" applyFont="1" applyFill="1" applyBorder="1" applyAlignment="1"/>
    <xf numFmtId="174" fontId="0" fillId="0" borderId="0" xfId="0" applyNumberFormat="1"/>
    <xf numFmtId="174"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0" fontId="4" fillId="10" borderId="19" xfId="0" applyNumberFormat="1" applyFont="1" applyFill="1" applyBorder="1" applyAlignment="1">
      <alignment vertical="center"/>
    </xf>
    <xf numFmtId="0" fontId="4" fillId="0" borderId="3" xfId="0" applyNumberFormat="1" applyFont="1" applyBorder="1" applyAlignment="1">
      <alignment vertical="center"/>
    </xf>
    <xf numFmtId="165" fontId="7" fillId="0" borderId="2" xfId="0" applyNumberFormat="1" applyFont="1" applyBorder="1" applyAlignment="1" applyProtection="1">
      <alignment horizontal="left"/>
    </xf>
    <xf numFmtId="166" fontId="7" fillId="6" borderId="1" xfId="8" applyNumberFormat="1" applyFont="1" applyFill="1" applyBorder="1"/>
    <xf numFmtId="166"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0" fontId="7" fillId="6" borderId="6" xfId="0" applyNumberFormat="1" applyFont="1" applyFill="1" applyBorder="1" applyAlignment="1">
      <alignment vertical="center"/>
    </xf>
    <xf numFmtId="170" fontId="7" fillId="0" borderId="6" xfId="0" applyNumberFormat="1" applyFont="1" applyBorder="1" applyAlignment="1">
      <alignment vertical="center"/>
    </xf>
    <xf numFmtId="170" fontId="7" fillId="6" borderId="22" xfId="0" applyNumberFormat="1" applyFont="1" applyFill="1" applyBorder="1" applyAlignment="1">
      <alignment vertical="center"/>
    </xf>
    <xf numFmtId="170" fontId="7" fillId="0" borderId="22" xfId="0" applyNumberFormat="1" applyFont="1" applyBorder="1" applyAlignment="1">
      <alignment vertical="center"/>
    </xf>
    <xf numFmtId="170" fontId="4" fillId="6" borderId="18" xfId="0" applyNumberFormat="1" applyFont="1" applyFill="1" applyBorder="1" applyAlignment="1">
      <alignment vertical="center"/>
    </xf>
    <xf numFmtId="170"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8"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4"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5"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5" fontId="10" fillId="0" borderId="0" xfId="6" applyNumberFormat="1" applyFont="1" applyProtection="1">
      <protection locked="0"/>
    </xf>
    <xf numFmtId="170" fontId="7" fillId="0" borderId="0" xfId="6" applyNumberFormat="1" applyFont="1"/>
    <xf numFmtId="49" fontId="7" fillId="0" borderId="1" xfId="6" applyNumberFormat="1" applyFont="1" applyBorder="1" applyAlignment="1">
      <alignment vertical="center"/>
    </xf>
    <xf numFmtId="170" fontId="7" fillId="0" borderId="1" xfId="6" applyNumberFormat="1" applyFont="1" applyBorder="1" applyAlignment="1">
      <alignment vertical="center"/>
    </xf>
    <xf numFmtId="174" fontId="7" fillId="0" borderId="1" xfId="6" applyNumberFormat="1" applyFont="1" applyBorder="1" applyAlignment="1">
      <alignment vertical="center"/>
    </xf>
    <xf numFmtId="0" fontId="7" fillId="0" borderId="11" xfId="6" applyFont="1" applyBorder="1"/>
    <xf numFmtId="170"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0" fontId="7" fillId="10" borderId="1" xfId="6" applyNumberFormat="1" applyFont="1" applyFill="1" applyBorder="1" applyAlignment="1">
      <alignment vertical="center"/>
    </xf>
    <xf numFmtId="174"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0" fontId="4" fillId="10" borderId="23" xfId="6" applyNumberFormat="1" applyFont="1" applyFill="1" applyBorder="1"/>
    <xf numFmtId="174"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5"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0" fontId="26" fillId="0" borderId="0" xfId="6" applyNumberFormat="1" applyFont="1"/>
    <xf numFmtId="176" fontId="26" fillId="0" borderId="0" xfId="6" applyNumberFormat="1" applyFont="1"/>
    <xf numFmtId="172"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5" fontId="7" fillId="0" borderId="11" xfId="0" applyNumberFormat="1" applyFont="1" applyBorder="1" applyProtection="1"/>
    <xf numFmtId="37" fontId="27" fillId="0" borderId="0" xfId="0" applyFont="1"/>
    <xf numFmtId="177"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5" fontId="7" fillId="0" borderId="2" xfId="7" applyNumberFormat="1" applyFont="1" applyBorder="1" applyAlignment="1" applyProtection="1">
      <alignment horizontal="left"/>
    </xf>
    <xf numFmtId="165"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7" fontId="7" fillId="10" borderId="1" xfId="7" applyNumberFormat="1" applyFont="1" applyFill="1" applyBorder="1"/>
    <xf numFmtId="167" fontId="7" fillId="3" borderId="1" xfId="7" applyNumberFormat="1" applyFont="1" applyFill="1" applyBorder="1"/>
    <xf numFmtId="167" fontId="4" fillId="10" borderId="19" xfId="7" applyNumberFormat="1" applyFont="1" applyFill="1" applyBorder="1"/>
    <xf numFmtId="167" fontId="7" fillId="0" borderId="0" xfId="7" applyNumberFormat="1" applyFont="1"/>
    <xf numFmtId="39" fontId="7" fillId="0" borderId="1" xfId="7" applyFont="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5"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5" fontId="15" fillId="0" borderId="11"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vertical="center"/>
    </xf>
    <xf numFmtId="165"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4" fontId="26" fillId="0" borderId="0" xfId="2" applyFont="1"/>
    <xf numFmtId="37" fontId="28" fillId="0" borderId="0" xfId="0" applyFont="1" applyAlignment="1">
      <alignment horizontal="right"/>
    </xf>
    <xf numFmtId="170" fontId="7" fillId="6" borderId="62" xfId="0" applyNumberFormat="1" applyFont="1" applyFill="1" applyBorder="1" applyAlignment="1">
      <alignment vertical="center"/>
    </xf>
    <xf numFmtId="170"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49" fontId="7" fillId="6" borderId="1" xfId="0" quotePrefix="1" applyNumberFormat="1" applyFont="1" applyFill="1" applyBorder="1" applyAlignment="1">
      <alignment horizontal="left"/>
    </xf>
    <xf numFmtId="37" fontId="4" fillId="3" borderId="13" xfId="0" applyFont="1" applyFill="1" applyBorder="1" applyAlignment="1">
      <alignment horizontal="right" vertical="center"/>
    </xf>
    <xf numFmtId="49" fontId="7" fillId="0" borderId="0" xfId="0" applyNumberFormat="1" applyFont="1" applyBorder="1" applyAlignment="1">
      <alignment horizontal="left"/>
    </xf>
    <xf numFmtId="37" fontId="7" fillId="0" borderId="0" xfId="0" applyFont="1" applyAlignment="1">
      <alignment horizontal="center" wrapText="1"/>
    </xf>
    <xf numFmtId="174" fontId="7" fillId="0" borderId="1" xfId="0" quotePrefix="1" applyNumberFormat="1" applyFont="1" applyBorder="1" applyAlignment="1">
      <alignment horizontal="right" vertical="center"/>
    </xf>
    <xf numFmtId="37" fontId="0" fillId="0" borderId="0" xfId="0"/>
    <xf numFmtId="174" fontId="7" fillId="6" borderId="1" xfId="0" applyNumberFormat="1" applyFont="1" applyFill="1" applyBorder="1" applyAlignment="1">
      <alignment horizontal="right" vertical="center"/>
    </xf>
    <xf numFmtId="174" fontId="4" fillId="6" borderId="19" xfId="0" applyNumberFormat="1" applyFont="1" applyFill="1" applyBorder="1" applyAlignment="1">
      <alignment horizontal="right" vertical="center"/>
    </xf>
    <xf numFmtId="172" fontId="7" fillId="0" borderId="0" xfId="0" applyNumberFormat="1" applyFont="1" applyProtection="1"/>
    <xf numFmtId="37" fontId="29" fillId="6" borderId="36" xfId="0" quotePrefix="1" applyFont="1" applyFill="1" applyBorder="1" applyAlignment="1" applyProtection="1">
      <alignment horizontal="center"/>
    </xf>
    <xf numFmtId="37" fontId="0" fillId="0" borderId="0" xfId="0"/>
    <xf numFmtId="37" fontId="7" fillId="12" borderId="0" xfId="0" applyFont="1" applyFill="1"/>
    <xf numFmtId="170" fontId="7" fillId="6" borderId="1" xfId="0" applyNumberFormat="1" applyFont="1" applyFill="1" applyBorder="1" applyAlignment="1">
      <alignment vertical="top"/>
    </xf>
    <xf numFmtId="37" fontId="7" fillId="0" borderId="0" xfId="0" applyFont="1" applyAlignment="1">
      <alignment vertical="top"/>
    </xf>
    <xf numFmtId="170" fontId="7" fillId="0" borderId="1" xfId="0" applyNumberFormat="1" applyFont="1" applyBorder="1" applyAlignment="1">
      <alignment vertical="top"/>
    </xf>
    <xf numFmtId="170" fontId="7" fillId="0" borderId="0" xfId="0" applyNumberFormat="1" applyFont="1" applyAlignment="1">
      <alignment vertical="top"/>
    </xf>
    <xf numFmtId="170" fontId="4" fillId="6" borderId="19" xfId="0" applyNumberFormat="1" applyFont="1" applyFill="1" applyBorder="1" applyAlignment="1">
      <alignment vertical="top"/>
    </xf>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vertical="top" wrapText="1"/>
    </xf>
    <xf numFmtId="37" fontId="7" fillId="0" borderId="0" xfId="0" applyFont="1" applyAlignment="1">
      <alignment horizontal="left" vertical="top"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vertical="top" wrapText="1"/>
    </xf>
    <xf numFmtId="0" fontId="7" fillId="0" borderId="0" xfId="5" quotePrefix="1" applyFont="1" applyAlignment="1">
      <alignment horizontal="left" vertical="top"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62" xfId="0" applyFont="1" applyBorder="1" applyAlignment="1">
      <alignment horizontal="center"/>
    </xf>
    <xf numFmtId="37" fontId="4" fillId="0" borderId="63" xfId="0" applyFont="1" applyBorder="1" applyAlignment="1">
      <alignment horizontal="center"/>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12" xfId="0" quotePrefix="1" applyNumberFormat="1" applyFont="1" applyBorder="1" applyAlignment="1">
      <alignment horizontal="left" vertical="center" wrapText="1"/>
    </xf>
    <xf numFmtId="0" fontId="7" fillId="0" borderId="0" xfId="0" quotePrefix="1" applyNumberFormat="1" applyFont="1" applyBorder="1" applyAlignment="1">
      <alignment horizontal="left" vertical="center" wrapText="1"/>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0" fontId="7" fillId="0" borderId="0" xfId="0" quotePrefix="1" applyNumberFormat="1" applyFont="1" applyBorder="1" applyAlignment="1">
      <alignment horizontal="left" wrapText="1"/>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9" xfId="0" applyFont="1" applyFill="1" applyBorder="1" applyAlignment="1">
      <alignment horizontal="center" wrapText="1"/>
    </xf>
    <xf numFmtId="37" fontId="4" fillId="8" borderId="5" xfId="0" applyFont="1" applyFill="1" applyBorder="1" applyAlignment="1">
      <alignment horizontal="center" wrapText="1"/>
    </xf>
    <xf numFmtId="37" fontId="4" fillId="8" borderId="4" xfId="0" applyFont="1" applyFill="1" applyBorder="1" applyAlignment="1">
      <alignment horizontal="center"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7" fillId="0" borderId="0" xfId="0" applyFont="1" applyAlignment="1">
      <alignment horizontal="center"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514350</xdr:colOff>
          <xdr:row>1</xdr:row>
          <xdr:rowOff>76200</xdr:rowOff>
        </xdr:from>
        <xdr:to>
          <xdr:col>4</xdr:col>
          <xdr:colOff>581025</xdr:colOff>
          <xdr:row>3</xdr:row>
          <xdr:rowOff>47625</xdr:rowOff>
        </xdr:to>
        <xdr:sp macro="" textlink="">
          <xdr:nvSpPr>
            <xdr:cNvPr id="225281" name="Button 1" hidden="1">
              <a:extLst>
                <a:ext uri="{63B3BB69-23CF-44E3-9099-C40C66FF867C}">
                  <a14:compatExt spid="_x0000_s22528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Insert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85725</xdr:rowOff>
        </xdr:from>
        <xdr:to>
          <xdr:col>6</xdr:col>
          <xdr:colOff>95250</xdr:colOff>
          <xdr:row>3</xdr:row>
          <xdr:rowOff>47625</xdr:rowOff>
        </xdr:to>
        <xdr:sp macro="" textlink="">
          <xdr:nvSpPr>
            <xdr:cNvPr id="225282" name="Button 2" hidden="1">
              <a:extLst>
                <a:ext uri="{63B3BB69-23CF-44E3-9099-C40C66FF867C}">
                  <a14:compatExt spid="_x0000_s22528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Delete Draft Only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609600</xdr:colOff>
          <xdr:row>1</xdr:row>
          <xdr:rowOff>66675</xdr:rowOff>
        </xdr:from>
        <xdr:to>
          <xdr:col>8</xdr:col>
          <xdr:colOff>66675</xdr:colOff>
          <xdr:row>3</xdr:row>
          <xdr:rowOff>28575</xdr:rowOff>
        </xdr:to>
        <xdr:sp macro="" textlink="">
          <xdr:nvSpPr>
            <xdr:cNvPr id="225283" name="Button 3" hidden="1">
              <a:extLst>
                <a:ext uri="{63B3BB69-23CF-44E3-9099-C40C66FF867C}">
                  <a14:compatExt spid="_x0000_s22528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900" b="0" i="0" u="none" strike="noStrike" baseline="0">
                  <a:solidFill>
                    <a:srgbClr val="000000"/>
                  </a:solidFill>
                  <a:latin typeface="Times New Roman"/>
                  <a:cs typeface="Times New Roman"/>
                </a:rPr>
                <a:t>Go to A1 in each page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dusfb\Frame\REPORTS\Internet%20Versions\2009-10%20FRAME%20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Edusfb\Age%20and%20Area\Age%20and%20Area%202006-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Edusfb\Internet%20Projects\Forms\_Web%20Site\FB115A_F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dusfb\Frame\REPORTS\2008-09%20FRAME%20Budg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6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K19"/>
  <sheetViews>
    <sheetView showRowColHeaders="0" tabSelected="1" workbookViewId="0"/>
  </sheetViews>
  <sheetFormatPr defaultColWidth="0" defaultRowHeight="12" customHeight="1" zeroHeight="1" x14ac:dyDescent="0.2"/>
  <cols>
    <col min="1" max="1" width="9.33203125" style="594" customWidth="1"/>
    <col min="2" max="2" width="133.5" style="594" customWidth="1"/>
    <col min="3" max="3" width="9.33203125" style="594" customWidth="1"/>
    <col min="4" max="256" width="0" style="594" hidden="1"/>
    <col min="257" max="257" width="9.33203125" style="594" hidden="1" customWidth="1"/>
    <col min="258" max="258" width="133.5" style="594" hidden="1" customWidth="1"/>
    <col min="259" max="259" width="9.33203125" style="594" hidden="1" customWidth="1"/>
    <col min="260" max="512" width="0" style="594" hidden="1"/>
    <col min="513" max="513" width="9.33203125" style="594" hidden="1" customWidth="1"/>
    <col min="514" max="514" width="133.5" style="594" hidden="1" customWidth="1"/>
    <col min="515" max="515" width="9.33203125" style="594" hidden="1" customWidth="1"/>
    <col min="516" max="768" width="0" style="594" hidden="1"/>
    <col min="769" max="769" width="9.33203125" style="594" hidden="1" customWidth="1"/>
    <col min="770" max="770" width="133.5" style="594" hidden="1" customWidth="1"/>
    <col min="771" max="771" width="9.33203125" style="594" hidden="1" customWidth="1"/>
    <col min="772" max="1024" width="0" style="594" hidden="1"/>
    <col min="1025" max="1025" width="9.33203125" style="594" hidden="1" customWidth="1"/>
    <col min="1026" max="1026" width="133.5" style="594" hidden="1" customWidth="1"/>
    <col min="1027" max="1027" width="9.33203125" style="594" hidden="1" customWidth="1"/>
    <col min="1028" max="1280" width="0" style="594" hidden="1"/>
    <col min="1281" max="1281" width="9.33203125" style="594" hidden="1" customWidth="1"/>
    <col min="1282" max="1282" width="133.5" style="594" hidden="1" customWidth="1"/>
    <col min="1283" max="1283" width="9.33203125" style="594" hidden="1" customWidth="1"/>
    <col min="1284" max="1536" width="0" style="594" hidden="1"/>
    <col min="1537" max="1537" width="9.33203125" style="594" hidden="1" customWidth="1"/>
    <col min="1538" max="1538" width="133.5" style="594" hidden="1" customWidth="1"/>
    <col min="1539" max="1539" width="9.33203125" style="594" hidden="1" customWidth="1"/>
    <col min="1540" max="1792" width="0" style="594" hidden="1"/>
    <col min="1793" max="1793" width="9.33203125" style="594" hidden="1" customWidth="1"/>
    <col min="1794" max="1794" width="133.5" style="594" hidden="1" customWidth="1"/>
    <col min="1795" max="1795" width="9.33203125" style="594" hidden="1" customWidth="1"/>
    <col min="1796" max="2048" width="0" style="594" hidden="1"/>
    <col min="2049" max="2049" width="9.33203125" style="594" hidden="1" customWidth="1"/>
    <col min="2050" max="2050" width="133.5" style="594" hidden="1" customWidth="1"/>
    <col min="2051" max="2051" width="9.33203125" style="594" hidden="1" customWidth="1"/>
    <col min="2052" max="2304" width="0" style="594" hidden="1"/>
    <col min="2305" max="2305" width="9.33203125" style="594" hidden="1" customWidth="1"/>
    <col min="2306" max="2306" width="133.5" style="594" hidden="1" customWidth="1"/>
    <col min="2307" max="2307" width="9.33203125" style="594" hidden="1" customWidth="1"/>
    <col min="2308" max="2560" width="0" style="594" hidden="1"/>
    <col min="2561" max="2561" width="9.33203125" style="594" hidden="1" customWidth="1"/>
    <col min="2562" max="2562" width="133.5" style="594" hidden="1" customWidth="1"/>
    <col min="2563" max="2563" width="9.33203125" style="594" hidden="1" customWidth="1"/>
    <col min="2564" max="2816" width="0" style="594" hidden="1"/>
    <col min="2817" max="2817" width="9.33203125" style="594" hidden="1" customWidth="1"/>
    <col min="2818" max="2818" width="133.5" style="594" hidden="1" customWidth="1"/>
    <col min="2819" max="2819" width="9.33203125" style="594" hidden="1" customWidth="1"/>
    <col min="2820" max="3072" width="0" style="594" hidden="1"/>
    <col min="3073" max="3073" width="9.33203125" style="594" hidden="1" customWidth="1"/>
    <col min="3074" max="3074" width="133.5" style="594" hidden="1" customWidth="1"/>
    <col min="3075" max="3075" width="9.33203125" style="594" hidden="1" customWidth="1"/>
    <col min="3076" max="3328" width="0" style="594" hidden="1"/>
    <col min="3329" max="3329" width="9.33203125" style="594" hidden="1" customWidth="1"/>
    <col min="3330" max="3330" width="133.5" style="594" hidden="1" customWidth="1"/>
    <col min="3331" max="3331" width="9.33203125" style="594" hidden="1" customWidth="1"/>
    <col min="3332" max="3584" width="0" style="594" hidden="1"/>
    <col min="3585" max="3585" width="9.33203125" style="594" hidden="1" customWidth="1"/>
    <col min="3586" max="3586" width="133.5" style="594" hidden="1" customWidth="1"/>
    <col min="3587" max="3587" width="9.33203125" style="594" hidden="1" customWidth="1"/>
    <col min="3588" max="3840" width="0" style="594" hidden="1"/>
    <col min="3841" max="3841" width="9.33203125" style="594" hidden="1" customWidth="1"/>
    <col min="3842" max="3842" width="133.5" style="594" hidden="1" customWidth="1"/>
    <col min="3843" max="3843" width="9.33203125" style="594" hidden="1" customWidth="1"/>
    <col min="3844" max="4096" width="0" style="594" hidden="1"/>
    <col min="4097" max="4097" width="9.33203125" style="594" hidden="1" customWidth="1"/>
    <col min="4098" max="4098" width="133.5" style="594" hidden="1" customWidth="1"/>
    <col min="4099" max="4099" width="9.33203125" style="594" hidden="1" customWidth="1"/>
    <col min="4100" max="4352" width="0" style="594" hidden="1"/>
    <col min="4353" max="4353" width="9.33203125" style="594" hidden="1" customWidth="1"/>
    <col min="4354" max="4354" width="133.5" style="594" hidden="1" customWidth="1"/>
    <col min="4355" max="4355" width="9.33203125" style="594" hidden="1" customWidth="1"/>
    <col min="4356" max="4608" width="0" style="594" hidden="1"/>
    <col min="4609" max="4609" width="9.33203125" style="594" hidden="1" customWidth="1"/>
    <col min="4610" max="4610" width="133.5" style="594" hidden="1" customWidth="1"/>
    <col min="4611" max="4611" width="9.33203125" style="594" hidden="1" customWidth="1"/>
    <col min="4612" max="4864" width="0" style="594" hidden="1"/>
    <col min="4865" max="4865" width="9.33203125" style="594" hidden="1" customWidth="1"/>
    <col min="4866" max="4866" width="133.5" style="594" hidden="1" customWidth="1"/>
    <col min="4867" max="4867" width="9.33203125" style="594" hidden="1" customWidth="1"/>
    <col min="4868" max="5120" width="0" style="594" hidden="1"/>
    <col min="5121" max="5121" width="9.33203125" style="594" hidden="1" customWidth="1"/>
    <col min="5122" max="5122" width="133.5" style="594" hidden="1" customWidth="1"/>
    <col min="5123" max="5123" width="9.33203125" style="594" hidden="1" customWidth="1"/>
    <col min="5124" max="5376" width="0" style="594" hidden="1"/>
    <col min="5377" max="5377" width="9.33203125" style="594" hidden="1" customWidth="1"/>
    <col min="5378" max="5378" width="133.5" style="594" hidden="1" customWidth="1"/>
    <col min="5379" max="5379" width="9.33203125" style="594" hidden="1" customWidth="1"/>
    <col min="5380" max="5632" width="0" style="594" hidden="1"/>
    <col min="5633" max="5633" width="9.33203125" style="594" hidden="1" customWidth="1"/>
    <col min="5634" max="5634" width="133.5" style="594" hidden="1" customWidth="1"/>
    <col min="5635" max="5635" width="9.33203125" style="594" hidden="1" customWidth="1"/>
    <col min="5636" max="5888" width="0" style="594" hidden="1"/>
    <col min="5889" max="5889" width="9.33203125" style="594" hidden="1" customWidth="1"/>
    <col min="5890" max="5890" width="133.5" style="594" hidden="1" customWidth="1"/>
    <col min="5891" max="5891" width="9.33203125" style="594" hidden="1" customWidth="1"/>
    <col min="5892" max="6144" width="0" style="594" hidden="1"/>
    <col min="6145" max="6145" width="9.33203125" style="594" hidden="1" customWidth="1"/>
    <col min="6146" max="6146" width="133.5" style="594" hidden="1" customWidth="1"/>
    <col min="6147" max="6147" width="9.33203125" style="594" hidden="1" customWidth="1"/>
    <col min="6148" max="6400" width="0" style="594" hidden="1"/>
    <col min="6401" max="6401" width="9.33203125" style="594" hidden="1" customWidth="1"/>
    <col min="6402" max="6402" width="133.5" style="594" hidden="1" customWidth="1"/>
    <col min="6403" max="6403" width="9.33203125" style="594" hidden="1" customWidth="1"/>
    <col min="6404" max="6656" width="0" style="594" hidden="1"/>
    <col min="6657" max="6657" width="9.33203125" style="594" hidden="1" customWidth="1"/>
    <col min="6658" max="6658" width="133.5" style="594" hidden="1" customWidth="1"/>
    <col min="6659" max="6659" width="9.33203125" style="594" hidden="1" customWidth="1"/>
    <col min="6660" max="6912" width="0" style="594" hidden="1"/>
    <col min="6913" max="6913" width="9.33203125" style="594" hidden="1" customWidth="1"/>
    <col min="6914" max="6914" width="133.5" style="594" hidden="1" customWidth="1"/>
    <col min="6915" max="6915" width="9.33203125" style="594" hidden="1" customWidth="1"/>
    <col min="6916" max="7168" width="0" style="594" hidden="1"/>
    <col min="7169" max="7169" width="9.33203125" style="594" hidden="1" customWidth="1"/>
    <col min="7170" max="7170" width="133.5" style="594" hidden="1" customWidth="1"/>
    <col min="7171" max="7171" width="9.33203125" style="594" hidden="1" customWidth="1"/>
    <col min="7172" max="7424" width="0" style="594" hidden="1"/>
    <col min="7425" max="7425" width="9.33203125" style="594" hidden="1" customWidth="1"/>
    <col min="7426" max="7426" width="133.5" style="594" hidden="1" customWidth="1"/>
    <col min="7427" max="7427" width="9.33203125" style="594" hidden="1" customWidth="1"/>
    <col min="7428" max="7680" width="0" style="594" hidden="1"/>
    <col min="7681" max="7681" width="9.33203125" style="594" hidden="1" customWidth="1"/>
    <col min="7682" max="7682" width="133.5" style="594" hidden="1" customWidth="1"/>
    <col min="7683" max="7683" width="9.33203125" style="594" hidden="1" customWidth="1"/>
    <col min="7684" max="7936" width="0" style="594" hidden="1"/>
    <col min="7937" max="7937" width="9.33203125" style="594" hidden="1" customWidth="1"/>
    <col min="7938" max="7938" width="133.5" style="594" hidden="1" customWidth="1"/>
    <col min="7939" max="7939" width="9.33203125" style="594" hidden="1" customWidth="1"/>
    <col min="7940" max="8192" width="0" style="594" hidden="1"/>
    <col min="8193" max="8193" width="9.33203125" style="594" hidden="1" customWidth="1"/>
    <col min="8194" max="8194" width="133.5" style="594" hidden="1" customWidth="1"/>
    <col min="8195" max="8195" width="9.33203125" style="594" hidden="1" customWidth="1"/>
    <col min="8196" max="8448" width="0" style="594" hidden="1"/>
    <col min="8449" max="8449" width="9.33203125" style="594" hidden="1" customWidth="1"/>
    <col min="8450" max="8450" width="133.5" style="594" hidden="1" customWidth="1"/>
    <col min="8451" max="8451" width="9.33203125" style="594" hidden="1" customWidth="1"/>
    <col min="8452" max="8704" width="0" style="594" hidden="1"/>
    <col min="8705" max="8705" width="9.33203125" style="594" hidden="1" customWidth="1"/>
    <col min="8706" max="8706" width="133.5" style="594" hidden="1" customWidth="1"/>
    <col min="8707" max="8707" width="9.33203125" style="594" hidden="1" customWidth="1"/>
    <col min="8708" max="8960" width="0" style="594" hidden="1"/>
    <col min="8961" max="8961" width="9.33203125" style="594" hidden="1" customWidth="1"/>
    <col min="8962" max="8962" width="133.5" style="594" hidden="1" customWidth="1"/>
    <col min="8963" max="8963" width="9.33203125" style="594" hidden="1" customWidth="1"/>
    <col min="8964" max="9216" width="0" style="594" hidden="1"/>
    <col min="9217" max="9217" width="9.33203125" style="594" hidden="1" customWidth="1"/>
    <col min="9218" max="9218" width="133.5" style="594" hidden="1" customWidth="1"/>
    <col min="9219" max="9219" width="9.33203125" style="594" hidden="1" customWidth="1"/>
    <col min="9220" max="9472" width="0" style="594" hidden="1"/>
    <col min="9473" max="9473" width="9.33203125" style="594" hidden="1" customWidth="1"/>
    <col min="9474" max="9474" width="133.5" style="594" hidden="1" customWidth="1"/>
    <col min="9475" max="9475" width="9.33203125" style="594" hidden="1" customWidth="1"/>
    <col min="9476" max="9728" width="0" style="594" hidden="1"/>
    <col min="9729" max="9729" width="9.33203125" style="594" hidden="1" customWidth="1"/>
    <col min="9730" max="9730" width="133.5" style="594" hidden="1" customWidth="1"/>
    <col min="9731" max="9731" width="9.33203125" style="594" hidden="1" customWidth="1"/>
    <col min="9732" max="9984" width="0" style="594" hidden="1"/>
    <col min="9985" max="9985" width="9.33203125" style="594" hidden="1" customWidth="1"/>
    <col min="9986" max="9986" width="133.5" style="594" hidden="1" customWidth="1"/>
    <col min="9987" max="9987" width="9.33203125" style="594" hidden="1" customWidth="1"/>
    <col min="9988" max="10240" width="0" style="594" hidden="1"/>
    <col min="10241" max="10241" width="9.33203125" style="594" hidden="1" customWidth="1"/>
    <col min="10242" max="10242" width="133.5" style="594" hidden="1" customWidth="1"/>
    <col min="10243" max="10243" width="9.33203125" style="594" hidden="1" customWidth="1"/>
    <col min="10244" max="10496" width="0" style="594" hidden="1"/>
    <col min="10497" max="10497" width="9.33203125" style="594" hidden="1" customWidth="1"/>
    <col min="10498" max="10498" width="133.5" style="594" hidden="1" customWidth="1"/>
    <col min="10499" max="10499" width="9.33203125" style="594" hidden="1" customWidth="1"/>
    <col min="10500" max="10752" width="0" style="594" hidden="1"/>
    <col min="10753" max="10753" width="9.33203125" style="594" hidden="1" customWidth="1"/>
    <col min="10754" max="10754" width="133.5" style="594" hidden="1" customWidth="1"/>
    <col min="10755" max="10755" width="9.33203125" style="594" hidden="1" customWidth="1"/>
    <col min="10756" max="11008" width="0" style="594" hidden="1"/>
    <col min="11009" max="11009" width="9.33203125" style="594" hidden="1" customWidth="1"/>
    <col min="11010" max="11010" width="133.5" style="594" hidden="1" customWidth="1"/>
    <col min="11011" max="11011" width="9.33203125" style="594" hidden="1" customWidth="1"/>
    <col min="11012" max="11264" width="0" style="594" hidden="1"/>
    <col min="11265" max="11265" width="9.33203125" style="594" hidden="1" customWidth="1"/>
    <col min="11266" max="11266" width="133.5" style="594" hidden="1" customWidth="1"/>
    <col min="11267" max="11267" width="9.33203125" style="594" hidden="1" customWidth="1"/>
    <col min="11268" max="11520" width="0" style="594" hidden="1"/>
    <col min="11521" max="11521" width="9.33203125" style="594" hidden="1" customWidth="1"/>
    <col min="11522" max="11522" width="133.5" style="594" hidden="1" customWidth="1"/>
    <col min="11523" max="11523" width="9.33203125" style="594" hidden="1" customWidth="1"/>
    <col min="11524" max="11776" width="0" style="594" hidden="1"/>
    <col min="11777" max="11777" width="9.33203125" style="594" hidden="1" customWidth="1"/>
    <col min="11778" max="11778" width="133.5" style="594" hidden="1" customWidth="1"/>
    <col min="11779" max="11779" width="9.33203125" style="594" hidden="1" customWidth="1"/>
    <col min="11780" max="12032" width="0" style="594" hidden="1"/>
    <col min="12033" max="12033" width="9.33203125" style="594" hidden="1" customWidth="1"/>
    <col min="12034" max="12034" width="133.5" style="594" hidden="1" customWidth="1"/>
    <col min="12035" max="12035" width="9.33203125" style="594" hidden="1" customWidth="1"/>
    <col min="12036" max="12288" width="0" style="594" hidden="1"/>
    <col min="12289" max="12289" width="9.33203125" style="594" hidden="1" customWidth="1"/>
    <col min="12290" max="12290" width="133.5" style="594" hidden="1" customWidth="1"/>
    <col min="12291" max="12291" width="9.33203125" style="594" hidden="1" customWidth="1"/>
    <col min="12292" max="12544" width="0" style="594" hidden="1"/>
    <col min="12545" max="12545" width="9.33203125" style="594" hidden="1" customWidth="1"/>
    <col min="12546" max="12546" width="133.5" style="594" hidden="1" customWidth="1"/>
    <col min="12547" max="12547" width="9.33203125" style="594" hidden="1" customWidth="1"/>
    <col min="12548" max="12800" width="0" style="594" hidden="1"/>
    <col min="12801" max="12801" width="9.33203125" style="594" hidden="1" customWidth="1"/>
    <col min="12802" max="12802" width="133.5" style="594" hidden="1" customWidth="1"/>
    <col min="12803" max="12803" width="9.33203125" style="594" hidden="1" customWidth="1"/>
    <col min="12804" max="13056" width="0" style="594" hidden="1"/>
    <col min="13057" max="13057" width="9.33203125" style="594" hidden="1" customWidth="1"/>
    <col min="13058" max="13058" width="133.5" style="594" hidden="1" customWidth="1"/>
    <col min="13059" max="13059" width="9.33203125" style="594" hidden="1" customWidth="1"/>
    <col min="13060" max="13312" width="0" style="594" hidden="1"/>
    <col min="13313" max="13313" width="9.33203125" style="594" hidden="1" customWidth="1"/>
    <col min="13314" max="13314" width="133.5" style="594" hidden="1" customWidth="1"/>
    <col min="13315" max="13315" width="9.33203125" style="594" hidden="1" customWidth="1"/>
    <col min="13316" max="13568" width="0" style="594" hidden="1"/>
    <col min="13569" max="13569" width="9.33203125" style="594" hidden="1" customWidth="1"/>
    <col min="13570" max="13570" width="133.5" style="594" hidden="1" customWidth="1"/>
    <col min="13571" max="13571" width="9.33203125" style="594" hidden="1" customWidth="1"/>
    <col min="13572" max="13824" width="0" style="594" hidden="1"/>
    <col min="13825" max="13825" width="9.33203125" style="594" hidden="1" customWidth="1"/>
    <col min="13826" max="13826" width="133.5" style="594" hidden="1" customWidth="1"/>
    <col min="13827" max="13827" width="9.33203125" style="594" hidden="1" customWidth="1"/>
    <col min="13828" max="14080" width="0" style="594" hidden="1"/>
    <col min="14081" max="14081" width="9.33203125" style="594" hidden="1" customWidth="1"/>
    <col min="14082" max="14082" width="133.5" style="594" hidden="1" customWidth="1"/>
    <col min="14083" max="14083" width="9.33203125" style="594" hidden="1" customWidth="1"/>
    <col min="14084" max="14336" width="0" style="594" hidden="1"/>
    <col min="14337" max="14337" width="9.33203125" style="594" hidden="1" customWidth="1"/>
    <col min="14338" max="14338" width="133.5" style="594" hidden="1" customWidth="1"/>
    <col min="14339" max="14339" width="9.33203125" style="594" hidden="1" customWidth="1"/>
    <col min="14340" max="14592" width="0" style="594" hidden="1"/>
    <col min="14593" max="14593" width="9.33203125" style="594" hidden="1" customWidth="1"/>
    <col min="14594" max="14594" width="133.5" style="594" hidden="1" customWidth="1"/>
    <col min="14595" max="14595" width="9.33203125" style="594" hidden="1" customWidth="1"/>
    <col min="14596" max="14848" width="0" style="594" hidden="1"/>
    <col min="14849" max="14849" width="9.33203125" style="594" hidden="1" customWidth="1"/>
    <col min="14850" max="14850" width="133.5" style="594" hidden="1" customWidth="1"/>
    <col min="14851" max="14851" width="9.33203125" style="594" hidden="1" customWidth="1"/>
    <col min="14852" max="15104" width="0" style="594" hidden="1"/>
    <col min="15105" max="15105" width="9.33203125" style="594" hidden="1" customWidth="1"/>
    <col min="15106" max="15106" width="133.5" style="594" hidden="1" customWidth="1"/>
    <col min="15107" max="15107" width="9.33203125" style="594" hidden="1" customWidth="1"/>
    <col min="15108" max="15360" width="0" style="594" hidden="1"/>
    <col min="15361" max="15361" width="9.33203125" style="594" hidden="1" customWidth="1"/>
    <col min="15362" max="15362" width="133.5" style="594" hidden="1" customWidth="1"/>
    <col min="15363" max="15363" width="9.33203125" style="594" hidden="1" customWidth="1"/>
    <col min="15364" max="15616" width="0" style="594" hidden="1"/>
    <col min="15617" max="15617" width="9.33203125" style="594" hidden="1" customWidth="1"/>
    <col min="15618" max="15618" width="133.5" style="594" hidden="1" customWidth="1"/>
    <col min="15619" max="15619" width="9.33203125" style="594" hidden="1" customWidth="1"/>
    <col min="15620" max="15872" width="0" style="594" hidden="1"/>
    <col min="15873" max="15873" width="9.33203125" style="594" hidden="1" customWidth="1"/>
    <col min="15874" max="15874" width="133.5" style="594" hidden="1" customWidth="1"/>
    <col min="15875" max="15875" width="9.33203125" style="594" hidden="1" customWidth="1"/>
    <col min="15876" max="16128" width="0" style="594" hidden="1"/>
    <col min="16129" max="16129" width="9.33203125" style="594" hidden="1" customWidth="1"/>
    <col min="16130" max="16130" width="133.5" style="594" hidden="1" customWidth="1"/>
    <col min="16131" max="16131" width="9.33203125" style="594" hidden="1" customWidth="1"/>
    <col min="16132" max="16384" width="0" style="594" hidden="1"/>
  </cols>
  <sheetData>
    <row r="1" spans="1:3" ht="14.25" x14ac:dyDescent="0.2">
      <c r="A1" s="593"/>
      <c r="B1" s="593"/>
      <c r="C1" s="593"/>
    </row>
    <row r="2" spans="1:3" ht="15" x14ac:dyDescent="0.25">
      <c r="A2" s="593"/>
      <c r="B2" s="595" t="s">
        <v>657</v>
      </c>
      <c r="C2" s="593"/>
    </row>
    <row r="3" spans="1:3" ht="14.25" x14ac:dyDescent="0.2">
      <c r="A3" s="593"/>
      <c r="B3" s="593"/>
      <c r="C3" s="593"/>
    </row>
    <row r="4" spans="1:3" ht="14.25" x14ac:dyDescent="0.2">
      <c r="A4" s="593"/>
      <c r="B4" s="596" t="s">
        <v>650</v>
      </c>
      <c r="C4" s="596"/>
    </row>
    <row r="5" spans="1:3" ht="14.25" x14ac:dyDescent="0.2">
      <c r="A5" s="593"/>
      <c r="B5" s="593"/>
      <c r="C5" s="593"/>
    </row>
    <row r="6" spans="1:3" ht="14.25" x14ac:dyDescent="0.2">
      <c r="A6" s="593"/>
      <c r="B6" s="597" t="s">
        <v>651</v>
      </c>
      <c r="C6" s="593"/>
    </row>
    <row r="7" spans="1:3" ht="14.25" x14ac:dyDescent="0.2">
      <c r="A7" s="593"/>
      <c r="B7" s="597"/>
      <c r="C7" s="593"/>
    </row>
    <row r="8" spans="1:3" ht="14.25" x14ac:dyDescent="0.2">
      <c r="A8" s="593"/>
      <c r="B8" s="598" t="s">
        <v>652</v>
      </c>
      <c r="C8" s="593"/>
    </row>
    <row r="9" spans="1:3" ht="14.25" x14ac:dyDescent="0.2">
      <c r="A9" s="593"/>
      <c r="B9" s="598"/>
      <c r="C9" s="593"/>
    </row>
    <row r="10" spans="1:3" ht="14.25" x14ac:dyDescent="0.2">
      <c r="A10" s="593"/>
      <c r="B10" s="598"/>
      <c r="C10" s="593"/>
    </row>
    <row r="11" spans="1:3" ht="14.25" x14ac:dyDescent="0.2">
      <c r="A11" s="593"/>
      <c r="B11" s="593"/>
      <c r="C11" s="593"/>
    </row>
    <row r="12" spans="1:3" ht="14.25" x14ac:dyDescent="0.2">
      <c r="A12" s="593"/>
      <c r="B12" s="598" t="s">
        <v>653</v>
      </c>
      <c r="C12" s="593"/>
    </row>
    <row r="13" spans="1:3" ht="14.25" x14ac:dyDescent="0.2">
      <c r="A13" s="593"/>
      <c r="B13" s="598"/>
      <c r="C13" s="593"/>
    </row>
    <row r="14" spans="1:3" ht="14.25" x14ac:dyDescent="0.2">
      <c r="A14" s="593"/>
      <c r="B14" s="593"/>
      <c r="C14" s="593"/>
    </row>
    <row r="15" spans="1:3" ht="14.25" x14ac:dyDescent="0.2">
      <c r="A15" s="593"/>
      <c r="B15" s="598" t="s">
        <v>654</v>
      </c>
      <c r="C15" s="593"/>
    </row>
    <row r="16" spans="1:3" ht="14.25" x14ac:dyDescent="0.2">
      <c r="A16" s="593"/>
      <c r="B16" s="598"/>
      <c r="C16" s="593"/>
    </row>
    <row r="17" spans="1:3" ht="14.25" x14ac:dyDescent="0.2">
      <c r="A17" s="593"/>
      <c r="B17" s="598"/>
      <c r="C17" s="593"/>
    </row>
    <row r="18" spans="1:3" ht="40.5" customHeight="1" x14ac:dyDescent="0.2">
      <c r="A18" s="593"/>
      <c r="B18" s="596"/>
      <c r="C18" s="593"/>
    </row>
    <row r="19" spans="1:3" hidden="1" x14ac:dyDescent="0.2"/>
  </sheetData>
  <mergeCells count="4">
    <mergeCell ref="B6:B7"/>
    <mergeCell ref="B8:B10"/>
    <mergeCell ref="B12:B13"/>
    <mergeCell ref="B15:B17"/>
  </mergeCells>
  <pageMargins left="0.70866141732283472" right="0.70866141732283472" top="0.74803149606299213" bottom="0.74803149606299213" header="0.31496062992125984" footer="0.31496062992125984"/>
  <pageSetup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2:O54"/>
  <sheetViews>
    <sheetView showGridLines="0" showZeros="0" workbookViewId="0"/>
  </sheetViews>
  <sheetFormatPr defaultColWidth="14.83203125" defaultRowHeight="12" x14ac:dyDescent="0.2"/>
  <cols>
    <col min="1" max="1" width="48.83203125" style="2" customWidth="1"/>
    <col min="2" max="2" width="22.83203125" style="2" customWidth="1"/>
    <col min="3" max="3" width="7.83203125" style="2" customWidth="1"/>
    <col min="4" max="4" width="15.83203125" style="2" customWidth="1"/>
    <col min="5" max="5" width="7.83203125" style="2" customWidth="1"/>
    <col min="6" max="6" width="15.83203125" style="2" customWidth="1"/>
    <col min="7" max="7" width="7.83203125" style="2" customWidth="1"/>
    <col min="8" max="8" width="12.83203125" style="2" customWidth="1"/>
    <col min="9" max="9" width="7.83203125" style="2" customWidth="1"/>
    <col min="10" max="10" width="15.83203125" style="2" customWidth="1"/>
    <col min="11" max="11" width="8.83203125" style="2" customWidth="1"/>
    <col min="12" max="12" width="5.83203125" style="2" customWidth="1"/>
    <col min="13" max="13" width="45.6640625" style="2" hidden="1" customWidth="1"/>
    <col min="14" max="18" width="0" style="2" hidden="1" customWidth="1"/>
    <col min="19" max="16384" width="14.83203125" style="2"/>
  </cols>
  <sheetData>
    <row r="2" spans="1:14" x14ac:dyDescent="0.2">
      <c r="A2" s="39"/>
      <c r="B2" s="39"/>
      <c r="C2" s="40" t="str">
        <f>OPYEAR</f>
        <v>OPERATING FUND 2018/2019 ACTUAL</v>
      </c>
      <c r="D2" s="40"/>
      <c r="E2" s="40"/>
      <c r="F2" s="41"/>
      <c r="G2" s="41"/>
      <c r="H2" s="41"/>
      <c r="I2" s="41"/>
      <c r="J2" s="42"/>
      <c r="K2" s="111" t="s">
        <v>77</v>
      </c>
    </row>
    <row r="3" spans="1:14" ht="11.1" customHeight="1" x14ac:dyDescent="0.2">
      <c r="A3" s="538"/>
      <c r="J3" s="80"/>
      <c r="K3" s="80"/>
    </row>
    <row r="4" spans="1:14" ht="15.75" x14ac:dyDescent="0.25">
      <c r="B4" s="280" t="s">
        <v>258</v>
      </c>
      <c r="C4" s="80"/>
      <c r="D4" s="80"/>
      <c r="E4" s="80"/>
      <c r="F4" s="80"/>
      <c r="G4" s="80"/>
      <c r="H4" s="80"/>
      <c r="I4" s="80"/>
      <c r="J4" s="80"/>
      <c r="K4" s="80"/>
    </row>
    <row r="5" spans="1:14" ht="15.75" x14ac:dyDescent="0.25">
      <c r="B5" s="280" t="s">
        <v>259</v>
      </c>
      <c r="C5" s="80"/>
      <c r="D5" s="80"/>
      <c r="E5" s="80"/>
      <c r="F5" s="80"/>
      <c r="G5" s="80"/>
      <c r="H5" s="80"/>
      <c r="I5" s="80"/>
      <c r="J5" s="80"/>
      <c r="K5" s="80"/>
    </row>
    <row r="6" spans="1:14" ht="11.1" customHeight="1" x14ac:dyDescent="0.2"/>
    <row r="7" spans="1:14" x14ac:dyDescent="0.2">
      <c r="B7" s="112" t="s">
        <v>78</v>
      </c>
      <c r="C7" s="41"/>
      <c r="D7" s="41"/>
      <c r="E7" s="41"/>
      <c r="F7" s="41"/>
      <c r="G7" s="41"/>
      <c r="H7" s="41"/>
      <c r="I7" s="113"/>
    </row>
    <row r="8" spans="1:14" x14ac:dyDescent="0.2">
      <c r="A8" s="8"/>
      <c r="B8" s="653" t="s">
        <v>465</v>
      </c>
      <c r="C8" s="650"/>
      <c r="D8" s="653" t="s">
        <v>75</v>
      </c>
      <c r="E8" s="650"/>
      <c r="F8" s="653" t="s">
        <v>76</v>
      </c>
      <c r="G8" s="650"/>
      <c r="H8" s="311"/>
      <c r="I8" s="306"/>
      <c r="J8" s="316"/>
      <c r="K8" s="306"/>
    </row>
    <row r="9" spans="1:14" x14ac:dyDescent="0.2">
      <c r="A9" s="8"/>
      <c r="B9" s="651"/>
      <c r="C9" s="652"/>
      <c r="D9" s="651"/>
      <c r="E9" s="652"/>
      <c r="F9" s="651"/>
      <c r="G9" s="652"/>
      <c r="H9" s="654" t="s">
        <v>30</v>
      </c>
      <c r="I9" s="655"/>
      <c r="J9" s="654" t="s">
        <v>31</v>
      </c>
      <c r="K9" s="655"/>
    </row>
    <row r="10" spans="1:14" x14ac:dyDescent="0.2">
      <c r="A10" s="114" t="s">
        <v>71</v>
      </c>
      <c r="B10" s="115" t="s">
        <v>43</v>
      </c>
      <c r="C10" s="115" t="s">
        <v>44</v>
      </c>
      <c r="D10" s="115" t="s">
        <v>43</v>
      </c>
      <c r="E10" s="115" t="s">
        <v>44</v>
      </c>
      <c r="F10" s="115" t="s">
        <v>43</v>
      </c>
      <c r="G10" s="115" t="s">
        <v>44</v>
      </c>
      <c r="H10" s="115" t="s">
        <v>43</v>
      </c>
      <c r="I10" s="46" t="s">
        <v>44</v>
      </c>
      <c r="J10" s="115" t="s">
        <v>43</v>
      </c>
      <c r="K10" s="46" t="s">
        <v>44</v>
      </c>
    </row>
    <row r="11" spans="1:14" ht="5.0999999999999996" customHeight="1" x14ac:dyDescent="0.2"/>
    <row r="12" spans="1:14" x14ac:dyDescent="0.2">
      <c r="A12" s="313" t="s">
        <v>72</v>
      </c>
      <c r="B12" s="117"/>
      <c r="C12" s="118"/>
      <c r="D12" s="117"/>
      <c r="E12" s="118"/>
      <c r="F12" s="117"/>
      <c r="G12" s="118"/>
      <c r="H12" s="117"/>
      <c r="I12" s="118"/>
      <c r="J12" s="117"/>
      <c r="K12" s="118"/>
      <c r="M12" s="2" t="s">
        <v>72</v>
      </c>
      <c r="N12" s="131">
        <f>K21/100</f>
        <v>0.76794893032515421</v>
      </c>
    </row>
    <row r="13" spans="1:14" x14ac:dyDescent="0.2">
      <c r="A13" s="119" t="s">
        <v>190</v>
      </c>
      <c r="B13" s="120"/>
      <c r="C13" s="339"/>
      <c r="D13" s="120"/>
      <c r="E13" s="339"/>
      <c r="F13" s="120"/>
      <c r="G13" s="339"/>
      <c r="H13" s="120"/>
      <c r="I13" s="339"/>
      <c r="J13" s="120">
        <f>SUM(F13,D13,B13,'- 12 -'!J13,'- 12 -'!H13,'- 12 -'!F13,'- 12 -'!D13,'- 12 -'!B13)</f>
        <v>4003363</v>
      </c>
      <c r="K13" s="339">
        <f t="shared" ref="K13:K22" si="0">J13/$J$53*100</f>
        <v>0.16707098658678923</v>
      </c>
      <c r="M13" s="2" t="s">
        <v>89</v>
      </c>
      <c r="N13" s="131">
        <f>K22/100</f>
        <v>6.2582151575691691E-2</v>
      </c>
    </row>
    <row r="14" spans="1:14" x14ac:dyDescent="0.2">
      <c r="A14" s="119" t="s">
        <v>226</v>
      </c>
      <c r="B14" s="120">
        <v>4240859</v>
      </c>
      <c r="C14" s="339">
        <f>B14/$J$53*100</f>
        <v>0.17698232638545752</v>
      </c>
      <c r="D14" s="120">
        <v>3239354</v>
      </c>
      <c r="E14" s="339">
        <f>D14/$J$53*100</f>
        <v>0.13518685881941309</v>
      </c>
      <c r="F14" s="120">
        <v>5136677</v>
      </c>
      <c r="G14" s="339">
        <f>F14/$J$53*100</f>
        <v>0.21436719432328991</v>
      </c>
      <c r="H14" s="120"/>
      <c r="I14" s="339"/>
      <c r="J14" s="120">
        <f>SUM(F14,D14,B14,'- 12 -'!J14,'- 12 -'!H14,'- 12 -'!F14,'- 12 -'!D14,'- 12 -'!B14)</f>
        <v>142676407</v>
      </c>
      <c r="K14" s="339">
        <f t="shared" si="0"/>
        <v>5.9542659709220178</v>
      </c>
      <c r="M14" s="2" t="s">
        <v>67</v>
      </c>
      <c r="N14" s="131">
        <f>K39/100</f>
        <v>9.173414267428226E-2</v>
      </c>
    </row>
    <row r="15" spans="1:14" x14ac:dyDescent="0.2">
      <c r="A15" s="119" t="s">
        <v>191</v>
      </c>
      <c r="B15" s="120">
        <v>26205002</v>
      </c>
      <c r="C15" s="339">
        <f>B15/$J$53*100</f>
        <v>1.0936044364822239</v>
      </c>
      <c r="D15" s="120"/>
      <c r="E15" s="339">
        <f>D15/$J$53*100</f>
        <v>0</v>
      </c>
      <c r="F15" s="120"/>
      <c r="G15" s="339">
        <f>F15/$J$53*100</f>
        <v>0</v>
      </c>
      <c r="H15" s="120"/>
      <c r="I15" s="339"/>
      <c r="J15" s="120">
        <f>SUM(F15,D15,B15,'- 12 -'!J15,'- 12 -'!H15,'- 12 -'!F15,'- 12 -'!D15,'- 12 -'!B15)</f>
        <v>1177559990</v>
      </c>
      <c r="K15" s="339">
        <f t="shared" si="0"/>
        <v>49.142710589679147</v>
      </c>
      <c r="M15" s="2" t="s">
        <v>90</v>
      </c>
      <c r="N15" s="131">
        <f>K45/100</f>
        <v>6.0301856919742415E-2</v>
      </c>
    </row>
    <row r="16" spans="1:14" x14ac:dyDescent="0.2">
      <c r="A16" s="119" t="s">
        <v>192</v>
      </c>
      <c r="B16" s="120">
        <v>15807716</v>
      </c>
      <c r="C16" s="339">
        <f>B16/$J$53*100</f>
        <v>0.65969803582732167</v>
      </c>
      <c r="D16" s="120">
        <v>411586</v>
      </c>
      <c r="E16" s="339">
        <f>D16/$J$53*100</f>
        <v>1.71765785629008E-2</v>
      </c>
      <c r="F16" s="120"/>
      <c r="G16" s="339">
        <f>F16/$J$53*100</f>
        <v>0</v>
      </c>
      <c r="H16" s="120"/>
      <c r="I16" s="339"/>
      <c r="J16" s="120">
        <f>SUM(F16,D16,B16,'- 12 -'!J16,'- 12 -'!H16,'- 12 -'!F16,'- 12 -'!D16,'- 12 -'!B16)</f>
        <v>213211931</v>
      </c>
      <c r="K16" s="339">
        <f t="shared" si="0"/>
        <v>8.8979010057904908</v>
      </c>
      <c r="M16" s="2" t="s">
        <v>37</v>
      </c>
      <c r="N16" s="131">
        <f>K48/100</f>
        <v>1.2448226462112087E-3</v>
      </c>
    </row>
    <row r="17" spans="1:15" x14ac:dyDescent="0.2">
      <c r="A17" s="119" t="s">
        <v>193</v>
      </c>
      <c r="B17" s="120">
        <v>4221001</v>
      </c>
      <c r="C17" s="339">
        <f>B17/$J$53*100</f>
        <v>0.17615359922490767</v>
      </c>
      <c r="D17" s="120">
        <v>43766205</v>
      </c>
      <c r="E17" s="339">
        <f>D17/$J$53*100</f>
        <v>1.8264801489421938</v>
      </c>
      <c r="F17" s="120">
        <v>111819886</v>
      </c>
      <c r="G17" s="339">
        <f>F17/$J$53*100</f>
        <v>4.6665412739345147</v>
      </c>
      <c r="H17" s="120"/>
      <c r="I17" s="339"/>
      <c r="J17" s="120">
        <f>SUM(F17,D17,B17,'- 12 -'!J17,'- 12 -'!H17,'- 12 -'!F17,'- 12 -'!D17,'- 12 -'!B17)</f>
        <v>178148604</v>
      </c>
      <c r="K17" s="339">
        <f t="shared" si="0"/>
        <v>7.434615104685542</v>
      </c>
      <c r="M17" s="2" t="s">
        <v>47</v>
      </c>
      <c r="N17" s="131">
        <f>K51/100-N16</f>
        <v>1.6188095858918235E-2</v>
      </c>
    </row>
    <row r="18" spans="1:15" x14ac:dyDescent="0.2">
      <c r="A18" s="121" t="s">
        <v>194</v>
      </c>
      <c r="B18" s="120">
        <v>2259800</v>
      </c>
      <c r="C18" s="339">
        <f>B18/$J$53*100</f>
        <v>9.4307464871116201E-2</v>
      </c>
      <c r="D18" s="120">
        <v>1836662</v>
      </c>
      <c r="E18" s="339">
        <f>D18/$J$53*100</f>
        <v>7.6648790620901852E-2</v>
      </c>
      <c r="F18" s="120">
        <v>2018971</v>
      </c>
      <c r="G18" s="339">
        <f>F18/$J$53*100</f>
        <v>8.4257030116958287E-2</v>
      </c>
      <c r="H18" s="120"/>
      <c r="I18" s="339"/>
      <c r="J18" s="120">
        <f>SUM(F18,D18,B18,'- 12 -'!J18,'- 12 -'!H18,'- 12 -'!F18,'- 12 -'!D18,'- 12 -'!B18)</f>
        <v>65613169</v>
      </c>
      <c r="K18" s="339">
        <f t="shared" si="0"/>
        <v>2.7382120676830293</v>
      </c>
      <c r="N18" s="131"/>
    </row>
    <row r="19" spans="1:15" x14ac:dyDescent="0.2">
      <c r="A19" s="121" t="s">
        <v>195</v>
      </c>
      <c r="B19" s="122"/>
      <c r="C19" s="340"/>
      <c r="D19" s="122"/>
      <c r="E19" s="340"/>
      <c r="F19" s="122"/>
      <c r="G19" s="340"/>
      <c r="H19" s="122"/>
      <c r="I19" s="340"/>
      <c r="J19" s="122">
        <f>SUM(F19,D19,B19,'- 12 -'!J19,'- 12 -'!H19,'- 12 -'!F19,'- 12 -'!D19,'- 12 -'!B19)</f>
        <v>42463531</v>
      </c>
      <c r="K19" s="340">
        <f t="shared" si="0"/>
        <v>1.7721160979228485</v>
      </c>
      <c r="N19" s="131">
        <f>SUM(N12:N17)</f>
        <v>1</v>
      </c>
    </row>
    <row r="20" spans="1:15" x14ac:dyDescent="0.2">
      <c r="A20" s="124" t="s">
        <v>196</v>
      </c>
      <c r="B20" s="123">
        <v>265104</v>
      </c>
      <c r="C20" s="340">
        <f>B20/'- 13 -'!$J$53*100</f>
        <v>1.1063495073542963E-2</v>
      </c>
      <c r="D20" s="123">
        <v>0</v>
      </c>
      <c r="E20" s="340">
        <f>D20/'- 13 -'!$J$53*100</f>
        <v>0</v>
      </c>
      <c r="F20" s="123">
        <v>0</v>
      </c>
      <c r="G20" s="340">
        <f>F20/'- 13 -'!$J$53*100</f>
        <v>0</v>
      </c>
      <c r="H20" s="123"/>
      <c r="I20" s="340"/>
      <c r="J20" s="123">
        <f>SUM(F20,D20,B20,'- 12 -'!J20,'- 12 -'!H20,'- 12 -'!F20,'- 12 -'!D20,'- 12 -'!B20)</f>
        <v>16485918</v>
      </c>
      <c r="K20" s="340">
        <f t="shared" si="0"/>
        <v>0.68800120924555364</v>
      </c>
      <c r="N20" s="131"/>
    </row>
    <row r="21" spans="1:15" x14ac:dyDescent="0.2">
      <c r="A21" s="125" t="s">
        <v>197</v>
      </c>
      <c r="B21" s="342">
        <f>SUM(B13:B20)</f>
        <v>52999482</v>
      </c>
      <c r="C21" s="343">
        <f>B21/$J$53*100</f>
        <v>2.2118093578645701</v>
      </c>
      <c r="D21" s="342">
        <f>SUM(D13:D20)</f>
        <v>49253807</v>
      </c>
      <c r="E21" s="343">
        <f>D21/$J$53*100</f>
        <v>2.0554923769454096</v>
      </c>
      <c r="F21" s="342">
        <f>SUM(F13:F20)</f>
        <v>118975534</v>
      </c>
      <c r="G21" s="343">
        <f>F21/$J$53*100</f>
        <v>4.9651654983747635</v>
      </c>
      <c r="H21" s="342"/>
      <c r="I21" s="343"/>
      <c r="J21" s="342">
        <f>SUM(F21,D21,B21,'- 12 -'!J21,'- 12 -'!H21,'- 12 -'!F21,'- 12 -'!D21,'- 12 -'!B21)</f>
        <v>1840162913</v>
      </c>
      <c r="K21" s="343">
        <f t="shared" si="0"/>
        <v>76.794893032515418</v>
      </c>
      <c r="N21" s="131"/>
    </row>
    <row r="22" spans="1:15" x14ac:dyDescent="0.2">
      <c r="A22" s="313" t="s">
        <v>80</v>
      </c>
      <c r="B22" s="342">
        <v>5092866</v>
      </c>
      <c r="C22" s="343">
        <f>B22/$J$53*100</f>
        <v>0.21253884475984688</v>
      </c>
      <c r="D22" s="342">
        <v>7307471</v>
      </c>
      <c r="E22" s="343">
        <f>D22/$J$53*100</f>
        <v>0.30496020206620073</v>
      </c>
      <c r="F22" s="342">
        <v>19817885</v>
      </c>
      <c r="G22" s="343">
        <f>F22/$J$53*100</f>
        <v>0.82705305489747782</v>
      </c>
      <c r="H22" s="342"/>
      <c r="I22" s="343"/>
      <c r="J22" s="342">
        <f>SUM(F22,D22,B22,'- 12 -'!J22,'- 12 -'!H22,'- 12 -'!F22,'- 12 -'!D22,'- 12 -'!B22)</f>
        <v>149959652</v>
      </c>
      <c r="K22" s="343">
        <f t="shared" si="0"/>
        <v>6.2582151575691691</v>
      </c>
    </row>
    <row r="23" spans="1:15" x14ac:dyDescent="0.2">
      <c r="A23" s="313" t="s">
        <v>67</v>
      </c>
      <c r="B23" s="128"/>
      <c r="C23" s="341"/>
      <c r="D23" s="128"/>
      <c r="E23" s="341"/>
      <c r="F23" s="128"/>
      <c r="G23" s="341"/>
      <c r="H23" s="128"/>
      <c r="I23" s="341"/>
      <c r="J23" s="128"/>
      <c r="K23" s="341"/>
      <c r="M23" s="2" t="s">
        <v>26</v>
      </c>
      <c r="N23" s="131">
        <f>'- 12 -'!C50/100</f>
        <v>0.55641827192734106</v>
      </c>
      <c r="O23" s="2" t="s">
        <v>26</v>
      </c>
    </row>
    <row r="24" spans="1:15" x14ac:dyDescent="0.2">
      <c r="A24" s="121" t="s">
        <v>198</v>
      </c>
      <c r="B24" s="120">
        <v>2456035</v>
      </c>
      <c r="C24" s="339">
        <f t="shared" ref="C24:C34" si="1">B24/$J$53*100</f>
        <v>0.10249687338911932</v>
      </c>
      <c r="D24" s="120">
        <v>346039</v>
      </c>
      <c r="E24" s="339">
        <f t="shared" ref="E24:E34" si="2">D24/$J$53*100</f>
        <v>1.4441127903591547E-2</v>
      </c>
      <c r="F24" s="120">
        <v>5994845</v>
      </c>
      <c r="G24" s="339">
        <f t="shared" ref="G24:G34" si="3">F24/$J$53*100</f>
        <v>0.2501808276154025</v>
      </c>
      <c r="H24" s="120"/>
      <c r="I24" s="339"/>
      <c r="J24" s="120">
        <f>SUM(F24,D24,B24,'- 12 -'!J24,'- 12 -'!H24,'- 12 -'!F24,'- 12 -'!D24,'- 12 -'!B24)</f>
        <v>30449167</v>
      </c>
      <c r="K24" s="339">
        <f t="shared" ref="K24:K39" si="4">J24/$J$53*100</f>
        <v>1.2707247310413534</v>
      </c>
      <c r="M24" s="2" t="s">
        <v>27</v>
      </c>
      <c r="N24" s="131">
        <f>'- 12 -'!E50/100</f>
        <v>0.18573622087728062</v>
      </c>
      <c r="O24" s="2" t="s">
        <v>260</v>
      </c>
    </row>
    <row r="25" spans="1:15" x14ac:dyDescent="0.2">
      <c r="A25" s="121" t="s">
        <v>199</v>
      </c>
      <c r="B25" s="122">
        <v>142699</v>
      </c>
      <c r="C25" s="340">
        <f t="shared" si="1"/>
        <v>5.9552088369074297E-3</v>
      </c>
      <c r="D25" s="122">
        <v>365830</v>
      </c>
      <c r="E25" s="340">
        <f t="shared" si="2"/>
        <v>1.5267058975927266E-2</v>
      </c>
      <c r="F25" s="122">
        <v>772943</v>
      </c>
      <c r="G25" s="340">
        <f t="shared" si="3"/>
        <v>3.225696735103778E-2</v>
      </c>
      <c r="H25" s="122"/>
      <c r="I25" s="340"/>
      <c r="J25" s="122">
        <f>SUM(F25,D25,B25,'- 12 -'!J25,'- 12 -'!H25,'- 12 -'!F25,'- 12 -'!D25,'- 12 -'!B25)</f>
        <v>6951035</v>
      </c>
      <c r="K25" s="340">
        <f t="shared" si="4"/>
        <v>0.29008517969749498</v>
      </c>
      <c r="M25" s="2" t="s">
        <v>106</v>
      </c>
      <c r="N25" s="131">
        <f>'- 12 -'!G50/100</f>
        <v>5.0207110844615625E-3</v>
      </c>
      <c r="O25" s="2" t="s">
        <v>106</v>
      </c>
    </row>
    <row r="26" spans="1:15" x14ac:dyDescent="0.2">
      <c r="A26" s="121" t="s">
        <v>200</v>
      </c>
      <c r="B26" s="122"/>
      <c r="C26" s="340">
        <f t="shared" si="1"/>
        <v>0</v>
      </c>
      <c r="D26" s="122"/>
      <c r="E26" s="340">
        <f t="shared" si="2"/>
        <v>0</v>
      </c>
      <c r="F26" s="122">
        <v>46518553</v>
      </c>
      <c r="G26" s="340">
        <f t="shared" si="3"/>
        <v>1.9413429519880769</v>
      </c>
      <c r="H26" s="122"/>
      <c r="I26" s="340"/>
      <c r="J26" s="122">
        <f>SUM(F26,D26,B26,'- 12 -'!J26,'- 12 -'!H26,'- 12 -'!F26,'- 12 -'!D26,'- 12 -'!B26)</f>
        <v>46574978</v>
      </c>
      <c r="K26" s="340">
        <f t="shared" si="4"/>
        <v>1.9436977173236609</v>
      </c>
      <c r="L26" s="647" t="s">
        <v>107</v>
      </c>
      <c r="M26" s="2" t="s">
        <v>28</v>
      </c>
      <c r="N26" s="131">
        <f>'- 12 -'!I50/100</f>
        <v>1.0537768307617112E-2</v>
      </c>
      <c r="O26" s="2" t="s">
        <v>28</v>
      </c>
    </row>
    <row r="27" spans="1:15" ht="12.75" customHeight="1" x14ac:dyDescent="0.2">
      <c r="A27" s="121" t="s">
        <v>222</v>
      </c>
      <c r="B27" s="122">
        <v>1006163</v>
      </c>
      <c r="C27" s="340">
        <f t="shared" si="1"/>
        <v>4.1989858295918614E-2</v>
      </c>
      <c r="D27" s="122">
        <v>1438599</v>
      </c>
      <c r="E27" s="340">
        <f t="shared" si="2"/>
        <v>6.0036562818002868E-2</v>
      </c>
      <c r="F27" s="122">
        <v>788052</v>
      </c>
      <c r="G27" s="340">
        <f t="shared" si="3"/>
        <v>3.2887506109661409E-2</v>
      </c>
      <c r="H27" s="122"/>
      <c r="I27" s="340"/>
      <c r="J27" s="122">
        <f>SUM(F27,D27,B27,'- 12 -'!J27,'- 12 -'!H27,'- 12 -'!F27,'- 12 -'!D27,'- 12 -'!B27)</f>
        <v>11517401</v>
      </c>
      <c r="K27" s="340">
        <f t="shared" si="4"/>
        <v>0.48065177901321288</v>
      </c>
      <c r="L27" s="648"/>
      <c r="M27" s="2" t="s">
        <v>93</v>
      </c>
      <c r="N27" s="131">
        <f>'- 12 -'!K50/100</f>
        <v>3.4570711985887015E-2</v>
      </c>
      <c r="O27" s="2" t="s">
        <v>93</v>
      </c>
    </row>
    <row r="28" spans="1:15" ht="12.75" customHeight="1" x14ac:dyDescent="0.2">
      <c r="A28" s="121" t="s">
        <v>201</v>
      </c>
      <c r="B28" s="122"/>
      <c r="C28" s="340">
        <f t="shared" si="1"/>
        <v>0</v>
      </c>
      <c r="D28" s="122">
        <v>20865523</v>
      </c>
      <c r="E28" s="340">
        <f t="shared" si="2"/>
        <v>0.87077377526328292</v>
      </c>
      <c r="F28" s="122"/>
      <c r="G28" s="340">
        <f t="shared" si="3"/>
        <v>0</v>
      </c>
      <c r="H28" s="122"/>
      <c r="I28" s="340"/>
      <c r="J28" s="122">
        <f>SUM(F28,D28,B28,'- 12 -'!J28,'- 12 -'!H28,'- 12 -'!F28,'- 12 -'!D28,'- 12 -'!B28)</f>
        <v>20865523</v>
      </c>
      <c r="K28" s="340">
        <f t="shared" si="4"/>
        <v>0.87077377526328292</v>
      </c>
      <c r="L28" s="648"/>
      <c r="M28" s="2" t="s">
        <v>92</v>
      </c>
      <c r="N28" s="131">
        <f>C53/100</f>
        <v>3.3485876916697604E-2</v>
      </c>
      <c r="O28" s="2" t="s">
        <v>92</v>
      </c>
    </row>
    <row r="29" spans="1:15" ht="12.75" customHeight="1" x14ac:dyDescent="0.2">
      <c r="A29" s="121" t="s">
        <v>202</v>
      </c>
      <c r="B29" s="122">
        <v>8812</v>
      </c>
      <c r="C29" s="340">
        <f t="shared" si="1"/>
        <v>3.6774819915225945E-4</v>
      </c>
      <c r="D29" s="122"/>
      <c r="E29" s="340">
        <f t="shared" si="2"/>
        <v>0</v>
      </c>
      <c r="F29" s="122"/>
      <c r="G29" s="340">
        <f t="shared" si="3"/>
        <v>0</v>
      </c>
      <c r="H29" s="122"/>
      <c r="I29" s="340"/>
      <c r="J29" s="122">
        <f>SUM(F29,D29,B29,'- 12 -'!J29,'- 12 -'!H29,'- 12 -'!F29,'- 12 -'!D29,'- 12 -'!B29)</f>
        <v>1961228</v>
      </c>
      <c r="K29" s="340">
        <f t="shared" si="4"/>
        <v>8.1847261135609112E-2</v>
      </c>
      <c r="M29" s="2" t="s">
        <v>75</v>
      </c>
      <c r="N29" s="131">
        <f>E53/100</f>
        <v>4.435711630324754E-2</v>
      </c>
      <c r="O29" s="2" t="s">
        <v>75</v>
      </c>
    </row>
    <row r="30" spans="1:15" ht="12.75" customHeight="1" x14ac:dyDescent="0.2">
      <c r="A30" s="121" t="s">
        <v>203</v>
      </c>
      <c r="B30" s="122">
        <v>196810</v>
      </c>
      <c r="C30" s="340">
        <f t="shared" si="1"/>
        <v>8.2134047974530399E-3</v>
      </c>
      <c r="D30" s="122">
        <v>7205</v>
      </c>
      <c r="E30" s="340">
        <f t="shared" si="2"/>
        <v>3.0068381467226839E-4</v>
      </c>
      <c r="F30" s="122">
        <v>10488</v>
      </c>
      <c r="G30" s="340">
        <f t="shared" si="3"/>
        <v>4.3769213716623892E-4</v>
      </c>
      <c r="H30" s="122"/>
      <c r="I30" s="340"/>
      <c r="J30" s="122">
        <f>SUM(F30,D30,B30,'- 12 -'!J30,'- 12 -'!H30,'- 12 -'!F30,'- 12 -'!D30,'- 12 -'!B30)</f>
        <v>642093</v>
      </c>
      <c r="K30" s="340">
        <f t="shared" si="4"/>
        <v>2.6796248801438004E-2</v>
      </c>
      <c r="M30" s="2" t="s">
        <v>91</v>
      </c>
      <c r="N30" s="131">
        <f>G53/100</f>
        <v>0.11244040409233802</v>
      </c>
      <c r="O30" s="2" t="s">
        <v>91</v>
      </c>
    </row>
    <row r="31" spans="1:15" ht="12.75" customHeight="1" x14ac:dyDescent="0.2">
      <c r="A31" s="121" t="s">
        <v>204</v>
      </c>
      <c r="B31" s="122">
        <v>121649</v>
      </c>
      <c r="C31" s="340">
        <f t="shared" si="1"/>
        <v>5.0767363457413991E-3</v>
      </c>
      <c r="D31" s="122">
        <v>1240845</v>
      </c>
      <c r="E31" s="340">
        <f t="shared" si="2"/>
        <v>5.1783762389592078E-2</v>
      </c>
      <c r="F31" s="122">
        <v>9679082</v>
      </c>
      <c r="G31" s="340">
        <f t="shared" si="3"/>
        <v>0.4039338373748354</v>
      </c>
      <c r="H31" s="122"/>
      <c r="I31" s="340"/>
      <c r="J31" s="122">
        <f>SUM(F31,D31,B31,'- 12 -'!J31,'- 12 -'!H31,'- 12 -'!F31,'- 12 -'!D31,'- 12 -'!B31)</f>
        <v>12974579</v>
      </c>
      <c r="K31" s="340">
        <f t="shared" si="4"/>
        <v>0.54146369291973706</v>
      </c>
      <c r="M31" s="2" t="s">
        <v>30</v>
      </c>
      <c r="N31" s="131">
        <f>I53/100</f>
        <v>1.7432918505129444E-2</v>
      </c>
      <c r="O31" s="2" t="s">
        <v>30</v>
      </c>
    </row>
    <row r="32" spans="1:15" x14ac:dyDescent="0.2">
      <c r="A32" s="121" t="s">
        <v>205</v>
      </c>
      <c r="B32" s="122">
        <v>110035</v>
      </c>
      <c r="C32" s="340">
        <f t="shared" si="1"/>
        <v>4.5920532335132621E-3</v>
      </c>
      <c r="D32" s="122">
        <v>3255814</v>
      </c>
      <c r="E32" s="340">
        <f t="shared" si="2"/>
        <v>0.13587377840157902</v>
      </c>
      <c r="F32" s="122">
        <v>31323866</v>
      </c>
      <c r="G32" s="340">
        <f t="shared" si="3"/>
        <v>1.3072282469344858</v>
      </c>
      <c r="H32" s="122"/>
      <c r="I32" s="340"/>
      <c r="J32" s="122">
        <f>SUM(F32,D32,B32,'- 12 -'!J32,'- 12 -'!H32,'- 12 -'!F32,'- 12 -'!D32,'- 12 -'!B32)</f>
        <v>37824854</v>
      </c>
      <c r="K32" s="340">
        <f t="shared" si="4"/>
        <v>1.5785317682361708</v>
      </c>
      <c r="N32" s="131"/>
    </row>
    <row r="33" spans="1:14" x14ac:dyDescent="0.2">
      <c r="A33" s="121" t="s">
        <v>206</v>
      </c>
      <c r="B33" s="122">
        <v>419612</v>
      </c>
      <c r="C33" s="340">
        <f t="shared" si="1"/>
        <v>1.7511524891361541E-2</v>
      </c>
      <c r="D33" s="122">
        <v>1080130</v>
      </c>
      <c r="E33" s="340">
        <f t="shared" si="2"/>
        <v>4.5076697951694278E-2</v>
      </c>
      <c r="F33" s="122">
        <v>3308887</v>
      </c>
      <c r="G33" s="340">
        <f t="shared" si="3"/>
        <v>0.13808865586113508</v>
      </c>
      <c r="H33" s="122"/>
      <c r="I33" s="340"/>
      <c r="J33" s="122">
        <f>SUM(F33,D33,B33,'- 12 -'!J33,'- 12 -'!H33,'- 12 -'!F33,'- 12 -'!D33,'- 12 -'!B33)</f>
        <v>9669041</v>
      </c>
      <c r="K33" s="340">
        <f t="shared" si="4"/>
        <v>0.40351479973665022</v>
      </c>
      <c r="N33" s="131">
        <f>SUM(N23:N31)</f>
        <v>0.99999999999999989</v>
      </c>
    </row>
    <row r="34" spans="1:14" x14ac:dyDescent="0.2">
      <c r="A34" s="392" t="s">
        <v>247</v>
      </c>
      <c r="B34" s="122"/>
      <c r="C34" s="340">
        <f t="shared" si="1"/>
        <v>0</v>
      </c>
      <c r="D34" s="122"/>
      <c r="E34" s="340">
        <f t="shared" si="2"/>
        <v>0</v>
      </c>
      <c r="F34" s="122">
        <v>5211070</v>
      </c>
      <c r="G34" s="340">
        <f t="shared" si="3"/>
        <v>0.21747181209218844</v>
      </c>
      <c r="H34" s="122"/>
      <c r="I34" s="340"/>
      <c r="J34" s="122">
        <f>SUM(F34,D34,B34,'- 12 -'!J34,'- 12 -'!H34,'- 12 -'!F34,'- 12 -'!D34,'- 12 -'!B34)</f>
        <v>5232834</v>
      </c>
      <c r="K34" s="340">
        <f t="shared" si="4"/>
        <v>0.21838008170253229</v>
      </c>
    </row>
    <row r="35" spans="1:14" x14ac:dyDescent="0.2">
      <c r="A35" s="121" t="s">
        <v>207</v>
      </c>
      <c r="B35" s="122">
        <v>18950</v>
      </c>
      <c r="C35" s="340">
        <f>B35/J53</f>
        <v>7.908339053489919E-6</v>
      </c>
      <c r="D35" s="122">
        <v>23610</v>
      </c>
      <c r="E35" s="340">
        <f>D35/J53</f>
        <v>9.8530810054299202E-6</v>
      </c>
      <c r="F35" s="122">
        <v>31184</v>
      </c>
      <c r="G35" s="340">
        <f>F35/J53</f>
        <v>1.3013912667231114E-5</v>
      </c>
      <c r="H35" s="122"/>
      <c r="I35" s="340"/>
      <c r="J35" s="122">
        <f>SUM(F35,D35,B35,'- 12 -'!J35,'- 12 -'!H35,'- 12 -'!F35,'- 12 -'!D35,'- 12 -'!B35)</f>
        <v>1239737</v>
      </c>
      <c r="K35" s="340">
        <f t="shared" si="4"/>
        <v>5.173752260240861E-2</v>
      </c>
    </row>
    <row r="36" spans="1:14" x14ac:dyDescent="0.2">
      <c r="A36" s="121" t="s">
        <v>208</v>
      </c>
      <c r="B36" s="122">
        <v>216967</v>
      </c>
      <c r="C36" s="340">
        <f>B36/$J$53*100</f>
        <v>9.0546100233168704E-3</v>
      </c>
      <c r="D36" s="122">
        <v>81420</v>
      </c>
      <c r="E36" s="340">
        <f>D36/$J$53*100</f>
        <v>3.3978731701063284E-3</v>
      </c>
      <c r="F36" s="122">
        <v>103807</v>
      </c>
      <c r="G36" s="340">
        <f>F36/$J$53*100</f>
        <v>4.3321422275758737E-3</v>
      </c>
      <c r="H36" s="122"/>
      <c r="I36" s="340"/>
      <c r="J36" s="122">
        <f>SUM(F36,D36,B36,'- 12 -'!J36,'- 12 -'!H36,'- 12 -'!F36,'- 12 -'!D36,'- 12 -'!B36)</f>
        <v>4437837</v>
      </c>
      <c r="K36" s="340">
        <f t="shared" si="4"/>
        <v>0.18520274226977593</v>
      </c>
    </row>
    <row r="37" spans="1:14" x14ac:dyDescent="0.2">
      <c r="A37" s="126" t="s">
        <v>209</v>
      </c>
      <c r="B37" s="122">
        <v>9132922</v>
      </c>
      <c r="C37" s="340">
        <f>B37/'- 13 -'!$J$53*100</f>
        <v>0.3811411278368193</v>
      </c>
      <c r="D37" s="122">
        <v>183546</v>
      </c>
      <c r="E37" s="340">
        <f>D37/'- 13 -'!$J$53*100</f>
        <v>7.6598627963686567E-3</v>
      </c>
      <c r="F37" s="122">
        <v>256663</v>
      </c>
      <c r="G37" s="340">
        <f>F37/'- 13 -'!$J$53*100</f>
        <v>1.071122969121838E-2</v>
      </c>
      <c r="H37" s="122"/>
      <c r="I37" s="340"/>
      <c r="J37" s="122">
        <f>SUM(F37,D37,B37,'- 12 -'!J37,'- 12 -'!H37,'- 12 -'!F37,'- 12 -'!D37,'- 12 -'!B37)</f>
        <v>11572675</v>
      </c>
      <c r="K37" s="340">
        <f t="shared" si="4"/>
        <v>0.48295851005723717</v>
      </c>
    </row>
    <row r="38" spans="1:14" x14ac:dyDescent="0.2">
      <c r="A38" s="127" t="s">
        <v>210</v>
      </c>
      <c r="B38" s="122">
        <v>598149</v>
      </c>
      <c r="C38" s="340">
        <f>B38/$J$53*100</f>
        <v>2.4962348794226603E-2</v>
      </c>
      <c r="D38" s="122">
        <v>537690</v>
      </c>
      <c r="E38" s="340">
        <f>D38/$J$53*100</f>
        <v>2.2439233908554061E-2</v>
      </c>
      <c r="F38" s="122">
        <v>429264</v>
      </c>
      <c r="G38" s="340">
        <f>F38/$J$53*100</f>
        <v>1.7914328524840616E-2</v>
      </c>
      <c r="H38" s="122"/>
      <c r="I38" s="340"/>
      <c r="J38" s="122">
        <f>SUM(F38,D38,B38,'- 12 -'!J38,'- 12 -'!H38,'- 12 -'!F38,'- 12 -'!D38,'- 12 -'!B38)</f>
        <v>17900811</v>
      </c>
      <c r="K38" s="340">
        <f t="shared" si="4"/>
        <v>0.74704845762766192</v>
      </c>
    </row>
    <row r="39" spans="1:14" x14ac:dyDescent="0.2">
      <c r="A39" s="125" t="s">
        <v>211</v>
      </c>
      <c r="B39" s="342">
        <f>SUM(B24:B38)</f>
        <v>14428803</v>
      </c>
      <c r="C39" s="343">
        <f>B39/$J$53*100</f>
        <v>0.60215232854887857</v>
      </c>
      <c r="D39" s="342">
        <f>SUM(D24:D38)</f>
        <v>29426251</v>
      </c>
      <c r="E39" s="343">
        <f>D39/$J$53*100</f>
        <v>1.2280357254939143</v>
      </c>
      <c r="F39" s="342">
        <f>SUM(F24:F38)</f>
        <v>104428704</v>
      </c>
      <c r="G39" s="343">
        <f>F39/$J$53*100</f>
        <v>4.3580875891743478</v>
      </c>
      <c r="H39" s="342"/>
      <c r="I39" s="343"/>
      <c r="J39" s="342">
        <f>SUM(F39,D39,B39,'- 12 -'!J39,'- 12 -'!H39,'- 12 -'!F39,'- 12 -'!D39,'- 12 -'!B39)</f>
        <v>219813793</v>
      </c>
      <c r="K39" s="343">
        <f t="shared" si="4"/>
        <v>9.1734142674282264</v>
      </c>
    </row>
    <row r="40" spans="1:14" x14ac:dyDescent="0.2">
      <c r="A40" s="314" t="s">
        <v>212</v>
      </c>
      <c r="B40" s="128"/>
      <c r="C40" s="341"/>
      <c r="D40" s="128"/>
      <c r="E40" s="341"/>
      <c r="F40" s="128"/>
      <c r="G40" s="341"/>
      <c r="H40" s="128"/>
      <c r="I40" s="341"/>
      <c r="J40" s="128"/>
      <c r="K40" s="341"/>
    </row>
    <row r="41" spans="1:14" x14ac:dyDescent="0.2">
      <c r="A41" s="121" t="s">
        <v>213</v>
      </c>
      <c r="B41" s="122">
        <v>4372001</v>
      </c>
      <c r="C41" s="340">
        <f>B41/$J$53*100</f>
        <v>0.18245523087175186</v>
      </c>
      <c r="D41" s="122">
        <v>19420142</v>
      </c>
      <c r="E41" s="340">
        <f>D41/$J$53*100</f>
        <v>0.810454181545751</v>
      </c>
      <c r="F41" s="122">
        <v>22260349</v>
      </c>
      <c r="G41" s="340">
        <f>F41/$J$53*100</f>
        <v>0.92898357435891954</v>
      </c>
      <c r="H41" s="122"/>
      <c r="I41" s="340"/>
      <c r="J41" s="122">
        <f>SUM(F41,D41,B41,'- 12 -'!J41,'- 12 -'!H41,'- 12 -'!F41,'- 12 -'!D41,'- 12 -'!B41)</f>
        <v>87108109</v>
      </c>
      <c r="K41" s="340">
        <f>J41/$J$53*100</f>
        <v>3.6352530885506948</v>
      </c>
    </row>
    <row r="42" spans="1:14" x14ac:dyDescent="0.2">
      <c r="A42" s="121" t="s">
        <v>214</v>
      </c>
      <c r="B42" s="122">
        <v>2633236</v>
      </c>
      <c r="C42" s="340">
        <f>B42/$J$53*100</f>
        <v>0.1098919424583408</v>
      </c>
      <c r="D42" s="122">
        <v>5166</v>
      </c>
      <c r="E42" s="340">
        <f>D42/$J$53*100</f>
        <v>2.1559092110991516E-4</v>
      </c>
      <c r="F42" s="122">
        <v>22450</v>
      </c>
      <c r="G42" s="340">
        <f>F42/$J$53*100</f>
        <v>9.3689821504405637E-4</v>
      </c>
      <c r="H42" s="122"/>
      <c r="I42" s="340"/>
      <c r="J42" s="122">
        <f>SUM(F42,D42,B42,'- 12 -'!J42,'- 12 -'!H42,'- 12 -'!F42,'- 12 -'!D42,'- 12 -'!B42)</f>
        <v>13083322</v>
      </c>
      <c r="K42" s="340">
        <f>J42/$J$53*100</f>
        <v>0.54600182755664284</v>
      </c>
    </row>
    <row r="43" spans="1:14" x14ac:dyDescent="0.2">
      <c r="A43" s="121" t="s">
        <v>215</v>
      </c>
      <c r="B43" s="122">
        <v>330118</v>
      </c>
      <c r="C43" s="340">
        <f>B43/$J$53*100</f>
        <v>1.3776702225118655E-2</v>
      </c>
      <c r="D43" s="122">
        <v>577678</v>
      </c>
      <c r="E43" s="340">
        <f>D43/$J$53*100</f>
        <v>2.4108039513150128E-2</v>
      </c>
      <c r="F43" s="122">
        <v>3811709</v>
      </c>
      <c r="G43" s="340">
        <f>F43/$J$53*100</f>
        <v>0.15907275538384699</v>
      </c>
      <c r="H43" s="122"/>
      <c r="I43" s="340"/>
      <c r="J43" s="122">
        <f>SUM(F43,D43,B43,'- 12 -'!J43,'- 12 -'!H43,'- 12 -'!F43,'- 12 -'!D43,'- 12 -'!B43)</f>
        <v>17808105</v>
      </c>
      <c r="K43" s="340">
        <f>J43/$J$53*100</f>
        <v>0.74317958965777886</v>
      </c>
    </row>
    <row r="44" spans="1:14" x14ac:dyDescent="0.2">
      <c r="A44" s="127" t="s">
        <v>216</v>
      </c>
      <c r="B44" s="122">
        <v>382513</v>
      </c>
      <c r="C44" s="340">
        <f>B44/$J$53*100</f>
        <v>1.5963284941253771E-2</v>
      </c>
      <c r="D44" s="122">
        <v>298220</v>
      </c>
      <c r="E44" s="340">
        <f>D44/$J$53*100</f>
        <v>1.2445513839217751E-2</v>
      </c>
      <c r="F44" s="122">
        <v>113605</v>
      </c>
      <c r="G44" s="340">
        <f>F44/$J$53*100</f>
        <v>4.7410388294022287E-3</v>
      </c>
      <c r="H44" s="122"/>
      <c r="I44" s="340"/>
      <c r="J44" s="122">
        <f>SUM(F44,D44,B44,'- 12 -'!J44,'- 12 -'!H44,'- 12 -'!F44,'- 12 -'!D44,'- 12 -'!B44)</f>
        <v>26496063</v>
      </c>
      <c r="K44" s="340">
        <f>J44/$J$53*100</f>
        <v>1.1057511862091254</v>
      </c>
    </row>
    <row r="45" spans="1:14" x14ac:dyDescent="0.2">
      <c r="A45" s="125" t="s">
        <v>217</v>
      </c>
      <c r="B45" s="342">
        <f>SUM(B41:B44)</f>
        <v>7717868</v>
      </c>
      <c r="C45" s="343">
        <f>B45/$J$53*100</f>
        <v>0.32208716049646507</v>
      </c>
      <c r="D45" s="342">
        <f>SUM(D41:D44)</f>
        <v>20301206</v>
      </c>
      <c r="E45" s="343">
        <f>D45/$J$53*100</f>
        <v>0.84722332581922877</v>
      </c>
      <c r="F45" s="342">
        <f>SUM(F41:F44)</f>
        <v>26208113</v>
      </c>
      <c r="G45" s="343">
        <f>F45/$J$53*100</f>
        <v>1.0937342667872127</v>
      </c>
      <c r="H45" s="342"/>
      <c r="I45" s="343"/>
      <c r="J45" s="342">
        <f>SUM(F45,D45,B45,'- 12 -'!J45,'- 12 -'!H45,'- 12 -'!F45,'- 12 -'!D45,'- 12 -'!B45)</f>
        <v>144495599</v>
      </c>
      <c r="K45" s="343">
        <f>J45/$J$53*100</f>
        <v>6.0301856919742418</v>
      </c>
    </row>
    <row r="46" spans="1:14" x14ac:dyDescent="0.2">
      <c r="A46" s="313" t="s">
        <v>47</v>
      </c>
      <c r="B46" s="128"/>
      <c r="C46" s="341"/>
      <c r="D46" s="128"/>
      <c r="E46" s="341"/>
      <c r="F46" s="128"/>
      <c r="G46" s="341"/>
      <c r="H46" s="128"/>
      <c r="I46" s="341"/>
      <c r="J46" s="128"/>
      <c r="K46" s="341"/>
    </row>
    <row r="47" spans="1:14" ht="13.5" x14ac:dyDescent="0.2">
      <c r="A47" s="256" t="s">
        <v>269</v>
      </c>
      <c r="B47" s="122"/>
      <c r="C47" s="426"/>
      <c r="D47" s="122">
        <v>0</v>
      </c>
      <c r="E47" s="426"/>
      <c r="F47" s="122">
        <v>0</v>
      </c>
      <c r="G47" s="426"/>
      <c r="H47" s="122">
        <f>'- 10 -'!G21</f>
        <v>0</v>
      </c>
      <c r="I47" s="426"/>
      <c r="J47" s="122"/>
      <c r="K47" s="426"/>
    </row>
    <row r="48" spans="1:14" x14ac:dyDescent="0.2">
      <c r="A48" s="121" t="s">
        <v>218</v>
      </c>
      <c r="B48" s="122"/>
      <c r="C48" s="340"/>
      <c r="D48" s="122"/>
      <c r="E48" s="340"/>
      <c r="F48" s="122"/>
      <c r="G48" s="340"/>
      <c r="H48" s="122">
        <f>'- 10 -'!G22</f>
        <v>2982850</v>
      </c>
      <c r="I48" s="340">
        <f>H48/$J$53*100</f>
        <v>0.12448226462112087</v>
      </c>
      <c r="J48" s="122">
        <f>H48</f>
        <v>2982850</v>
      </c>
      <c r="K48" s="340">
        <f>J48/$J$53*100</f>
        <v>0.12448226462112087</v>
      </c>
    </row>
    <row r="49" spans="1:11" x14ac:dyDescent="0.2">
      <c r="A49" s="126" t="s">
        <v>270</v>
      </c>
      <c r="B49" s="122"/>
      <c r="C49" s="340"/>
      <c r="D49" s="122"/>
      <c r="E49" s="340"/>
      <c r="F49" s="122"/>
      <c r="G49" s="340"/>
      <c r="H49" s="122">
        <f>'- 10 -'!H22</f>
        <v>54436</v>
      </c>
      <c r="I49" s="340">
        <f>H49/$J$53*100</f>
        <v>2.271759075017294E-3</v>
      </c>
      <c r="J49" s="122">
        <f>H49</f>
        <v>54436</v>
      </c>
      <c r="K49" s="340">
        <f>J49/$J$53*100</f>
        <v>2.271759075017294E-3</v>
      </c>
    </row>
    <row r="50" spans="1:11" x14ac:dyDescent="0.2">
      <c r="A50" s="121" t="s">
        <v>219</v>
      </c>
      <c r="B50" s="122"/>
      <c r="C50" s="340"/>
      <c r="D50" s="122"/>
      <c r="E50" s="340"/>
      <c r="F50" s="122"/>
      <c r="G50" s="340"/>
      <c r="H50" s="122">
        <f>'- 10 -'!I22</f>
        <v>38735557</v>
      </c>
      <c r="I50" s="340">
        <f>H50/$J$53*100</f>
        <v>1.6165378268168062</v>
      </c>
      <c r="J50" s="122">
        <f>H50</f>
        <v>38735557</v>
      </c>
      <c r="K50" s="340">
        <f>J50/$J$53*100</f>
        <v>1.6165378268168062</v>
      </c>
    </row>
    <row r="51" spans="1:11" x14ac:dyDescent="0.2">
      <c r="A51" s="125" t="s">
        <v>220</v>
      </c>
      <c r="B51" s="342"/>
      <c r="C51" s="343"/>
      <c r="D51" s="342"/>
      <c r="E51" s="343"/>
      <c r="F51" s="342">
        <f>SUM(F47:F50)</f>
        <v>0</v>
      </c>
      <c r="G51" s="343"/>
      <c r="H51" s="342">
        <f>SUM(H48:H50)</f>
        <v>41772843</v>
      </c>
      <c r="I51" s="343">
        <f>H51/$J$53*100</f>
        <v>1.7432918505129444</v>
      </c>
      <c r="J51" s="342">
        <f>SUM(J47:J50)</f>
        <v>41772843</v>
      </c>
      <c r="K51" s="343">
        <f>J51/$J$53*100</f>
        <v>1.7432918505129444</v>
      </c>
    </row>
    <row r="52" spans="1:11" ht="5.0999999999999996" customHeight="1" x14ac:dyDescent="0.2">
      <c r="A52" s="23"/>
      <c r="B52" s="32"/>
      <c r="C52" s="129"/>
      <c r="D52" s="57"/>
      <c r="E52" s="129"/>
      <c r="F52" s="57"/>
      <c r="G52" s="129"/>
      <c r="H52" s="57"/>
      <c r="I52" s="129"/>
      <c r="J52" s="57"/>
      <c r="K52" s="129"/>
    </row>
    <row r="53" spans="1:11" x14ac:dyDescent="0.2">
      <c r="A53" s="315" t="s">
        <v>221</v>
      </c>
      <c r="B53" s="344">
        <f>SUM(B51,B45,B39,B22,B21)</f>
        <v>80239019</v>
      </c>
      <c r="C53" s="345">
        <f>B53/$J$53*100</f>
        <v>3.3485876916697603</v>
      </c>
      <c r="D53" s="344">
        <f>SUM(D51,D45,D39,D22,D21)</f>
        <v>106288735</v>
      </c>
      <c r="E53" s="345">
        <f>D53/$J$53*100</f>
        <v>4.4357116303247537</v>
      </c>
      <c r="F53" s="344">
        <f>SUM(F51,F45,F39,F22,F21)</f>
        <v>269430236</v>
      </c>
      <c r="G53" s="345">
        <f>F53/$J$53*100</f>
        <v>11.244040409233802</v>
      </c>
      <c r="H53" s="344">
        <f>SUM(H51,H45,H39,H22,H21)</f>
        <v>41772843</v>
      </c>
      <c r="I53" s="345">
        <f>H53/$J$53*100</f>
        <v>1.7432918505129444</v>
      </c>
      <c r="J53" s="344">
        <f>SUM(J51,J45,J39,J22,J21)</f>
        <v>2396204800</v>
      </c>
      <c r="K53" s="345">
        <f>J53/$J$53*100</f>
        <v>100</v>
      </c>
    </row>
    <row r="54" spans="1:11" ht="20.100000000000001" customHeight="1" x14ac:dyDescent="0.2">
      <c r="A54" s="132"/>
      <c r="B54" s="2">
        <f>+B53-'- 16 -'!G48</f>
        <v>0</v>
      </c>
      <c r="D54" s="2">
        <f>+D53-'- 17 -'!B48</f>
        <v>0</v>
      </c>
      <c r="F54" s="2">
        <f>+F53-'- 17 -'!E48</f>
        <v>0</v>
      </c>
      <c r="H54" s="2">
        <f>+H53-'- 17 -'!H48</f>
        <v>0</v>
      </c>
      <c r="J54" s="2">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2"/>
  <sheetViews>
    <sheetView showGridLines="0" showZeros="0" workbookViewId="0"/>
  </sheetViews>
  <sheetFormatPr defaultColWidth="15.83203125" defaultRowHeight="12" x14ac:dyDescent="0.2"/>
  <cols>
    <col min="1" max="1" width="32.83203125" style="2" customWidth="1"/>
    <col min="2" max="2" width="17.83203125" style="2" customWidth="1"/>
    <col min="3" max="3" width="8.83203125" style="2" customWidth="1"/>
    <col min="4" max="4" width="9.83203125" style="2" customWidth="1"/>
    <col min="5" max="5" width="17.83203125" style="2" customWidth="1"/>
    <col min="6" max="6" width="8.83203125" style="2" customWidth="1"/>
    <col min="7" max="7" width="9.83203125" style="2" customWidth="1"/>
    <col min="8" max="8" width="17.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10"/>
      <c r="H2" s="73"/>
      <c r="I2" s="135" t="s">
        <v>6</v>
      </c>
    </row>
    <row r="3" spans="1:9" ht="15.95" customHeight="1" x14ac:dyDescent="0.2">
      <c r="A3" s="541"/>
      <c r="B3" s="11" t="str">
        <f>OPYEAR</f>
        <v>OPERATING FUND 2018/2019 ACTUAL</v>
      </c>
      <c r="C3" s="12"/>
      <c r="D3" s="12"/>
      <c r="E3" s="12"/>
      <c r="F3" s="12"/>
      <c r="G3" s="12"/>
      <c r="H3" s="75"/>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318"/>
      <c r="C6" s="312"/>
      <c r="D6" s="310"/>
      <c r="E6" s="649" t="s">
        <v>466</v>
      </c>
      <c r="F6" s="657"/>
      <c r="G6" s="650"/>
      <c r="H6" s="649" t="s">
        <v>467</v>
      </c>
      <c r="I6" s="650"/>
    </row>
    <row r="7" spans="1:9" ht="15.95" customHeight="1" x14ac:dyDescent="0.2">
      <c r="B7" s="654" t="s">
        <v>26</v>
      </c>
      <c r="C7" s="656"/>
      <c r="D7" s="655"/>
      <c r="E7" s="651"/>
      <c r="F7" s="658"/>
      <c r="G7" s="652"/>
      <c r="H7" s="651"/>
      <c r="I7" s="652"/>
    </row>
    <row r="8" spans="1:9" ht="15.95" customHeight="1" x14ac:dyDescent="0.2">
      <c r="A8" s="67"/>
      <c r="B8" s="137" t="s">
        <v>7</v>
      </c>
      <c r="C8" s="138"/>
      <c r="D8" s="623" t="s">
        <v>327</v>
      </c>
      <c r="E8" s="137"/>
      <c r="F8" s="139"/>
      <c r="G8" s="623" t="s">
        <v>327</v>
      </c>
      <c r="H8" s="137"/>
      <c r="I8" s="139"/>
    </row>
    <row r="9" spans="1:9" ht="15.95" customHeight="1" x14ac:dyDescent="0.2">
      <c r="A9" s="35" t="s">
        <v>42</v>
      </c>
      <c r="B9" s="77" t="s">
        <v>43</v>
      </c>
      <c r="C9" s="77" t="s">
        <v>44</v>
      </c>
      <c r="D9" s="604"/>
      <c r="E9" s="77" t="s">
        <v>43</v>
      </c>
      <c r="F9" s="77" t="s">
        <v>44</v>
      </c>
      <c r="G9" s="604"/>
      <c r="H9" s="77" t="s">
        <v>43</v>
      </c>
      <c r="I9" s="77" t="s">
        <v>44</v>
      </c>
    </row>
    <row r="10" spans="1:9" ht="5.0999999999999996" customHeight="1" x14ac:dyDescent="0.2">
      <c r="A10" s="6"/>
    </row>
    <row r="11" spans="1:9" ht="14.1" customHeight="1" x14ac:dyDescent="0.2">
      <c r="A11" s="284" t="s">
        <v>110</v>
      </c>
      <c r="B11" s="285">
        <f>SUM('- 18 -'!B11,'- 18 -'!E11,'- 19 -'!B11,'- 19 -'!E11,'- 19 -'!H11,'- 20 -'!B11)</f>
        <v>12653415</v>
      </c>
      <c r="C11" s="291">
        <f>B11/'- 3 -'!D11*100</f>
        <v>62.981958821512954</v>
      </c>
      <c r="D11" s="285">
        <f>B11/'- 7 -'!C11</f>
        <v>6979.2691671263101</v>
      </c>
      <c r="E11" s="285">
        <f>SUM('- 21 -'!B11,'- 21 -'!E11,'- 21 -'!H11,'- 22 -'!B11,'- 22 -'!E11,'- 22 -'!H11)</f>
        <v>2640269</v>
      </c>
      <c r="F11" s="291">
        <f>E11/'- 3 -'!D11*100</f>
        <v>13.141852490866471</v>
      </c>
      <c r="G11" s="285">
        <f>E11/'- 7 -'!E11</f>
        <v>1456.2984004412576</v>
      </c>
      <c r="H11" s="285">
        <f>SUM('- 23 -'!D11,'- 23 -'!B11)</f>
        <v>0</v>
      </c>
      <c r="I11" s="291">
        <f>H11/'- 3 -'!D11*100</f>
        <v>0</v>
      </c>
    </row>
    <row r="12" spans="1:9" ht="14.1" customHeight="1" x14ac:dyDescent="0.2">
      <c r="A12" s="19" t="s">
        <v>111</v>
      </c>
      <c r="B12" s="20">
        <f>SUM('- 18 -'!B12,'- 18 -'!E12,'- 19 -'!B12,'- 19 -'!E12,'- 19 -'!H12,'- 20 -'!B12)</f>
        <v>19170856</v>
      </c>
      <c r="C12" s="70">
        <f>B12/'- 3 -'!D12*100</f>
        <v>56.568214827575567</v>
      </c>
      <c r="D12" s="20">
        <f>B12/'- 7 -'!C12</f>
        <v>9014.4949616066424</v>
      </c>
      <c r="E12" s="20">
        <f>SUM('- 21 -'!B12,'- 21 -'!E12,'- 21 -'!H12,'- 22 -'!B12,'- 22 -'!E12,'- 22 -'!H12)</f>
        <v>5271697</v>
      </c>
      <c r="F12" s="70">
        <f>E12/'- 3 -'!D12*100</f>
        <v>15.555408084119229</v>
      </c>
      <c r="G12" s="20">
        <f>E12/'- 7 -'!E12</f>
        <v>2478.8505033691167</v>
      </c>
      <c r="H12" s="20">
        <f>SUM('- 23 -'!D12,'- 23 -'!B12)</f>
        <v>536734</v>
      </c>
      <c r="I12" s="70">
        <f>H12/'- 3 -'!D12*100</f>
        <v>1.5837625725874704</v>
      </c>
    </row>
    <row r="13" spans="1:9" ht="14.1" customHeight="1" x14ac:dyDescent="0.2">
      <c r="A13" s="284" t="s">
        <v>112</v>
      </c>
      <c r="B13" s="285">
        <f>SUM('- 18 -'!B13,'- 18 -'!E13,'- 19 -'!B13,'- 19 -'!E13,'- 19 -'!H13,'- 20 -'!B13)</f>
        <v>60885601</v>
      </c>
      <c r="C13" s="291">
        <f>B13/'- 3 -'!D13*100</f>
        <v>60.337122677324906</v>
      </c>
      <c r="D13" s="285">
        <f>B13/'- 7 -'!C13</f>
        <v>7108.6516053706946</v>
      </c>
      <c r="E13" s="285">
        <f>SUM('- 21 -'!B13,'- 21 -'!E13,'- 21 -'!H13,'- 22 -'!B13,'- 22 -'!E13,'- 22 -'!H13)</f>
        <v>20802779</v>
      </c>
      <c r="F13" s="291">
        <f>E13/'- 3 -'!D13*100</f>
        <v>20.615380450170449</v>
      </c>
      <c r="G13" s="285">
        <f>E13/'- 7 -'!E13</f>
        <v>2428.8124927028603</v>
      </c>
      <c r="H13" s="285">
        <f>SUM('- 23 -'!D13,'- 23 -'!B13)</f>
        <v>0</v>
      </c>
      <c r="I13" s="291">
        <f>H13/'- 3 -'!D13*100</f>
        <v>0</v>
      </c>
    </row>
    <row r="14" spans="1:9" ht="14.1" customHeight="1" x14ac:dyDescent="0.2">
      <c r="A14" s="19" t="s">
        <v>359</v>
      </c>
      <c r="B14" s="20">
        <f>SUM('- 18 -'!B14,'- 18 -'!E14,'- 19 -'!B14,'- 19 -'!E14,'- 19 -'!H14,'- 20 -'!B14)</f>
        <v>50549128</v>
      </c>
      <c r="C14" s="70">
        <f>B14/'- 3 -'!D14*100</f>
        <v>55.368212798378892</v>
      </c>
      <c r="D14" s="20">
        <f>B14/'- 7 -'!C14</f>
        <v>9345.3740062858196</v>
      </c>
      <c r="E14" s="20">
        <f>SUM('- 21 -'!B14,'- 21 -'!E14,'- 21 -'!H14,'- 22 -'!B14,'- 22 -'!E14,'- 22 -'!H14)</f>
        <v>10821587</v>
      </c>
      <c r="F14" s="70">
        <f>E14/'- 3 -'!D14*100</f>
        <v>11.85325950295662</v>
      </c>
      <c r="G14" s="20">
        <f>E14/'- 7 -'!E14</f>
        <v>2000.6631540025883</v>
      </c>
      <c r="H14" s="20">
        <f>SUM('- 23 -'!D14,'- 23 -'!B14)</f>
        <v>252544</v>
      </c>
      <c r="I14" s="70">
        <f>H14/'- 3 -'!D14*100</f>
        <v>0.27662020070759274</v>
      </c>
    </row>
    <row r="15" spans="1:9" ht="14.1" customHeight="1" x14ac:dyDescent="0.2">
      <c r="A15" s="284" t="s">
        <v>113</v>
      </c>
      <c r="B15" s="285">
        <f>SUM('- 18 -'!B15,'- 18 -'!E15,'- 19 -'!B15,'- 19 -'!E15,'- 19 -'!H15,'- 20 -'!B15)</f>
        <v>10829430</v>
      </c>
      <c r="C15" s="291">
        <f>B15/'- 3 -'!D15*100</f>
        <v>53.466808916600272</v>
      </c>
      <c r="D15" s="285">
        <f>B15/'- 7 -'!C15</f>
        <v>7667.3959218351738</v>
      </c>
      <c r="E15" s="285">
        <f>SUM('- 21 -'!B15,'- 21 -'!E15,'- 21 -'!H15,'- 22 -'!B15,'- 22 -'!E15,'- 22 -'!H15)</f>
        <v>3116126</v>
      </c>
      <c r="F15" s="291">
        <f>E15/'- 3 -'!D15*100</f>
        <v>15.384864522144742</v>
      </c>
      <c r="G15" s="285">
        <f>E15/'- 7 -'!E15</f>
        <v>2206.263098272444</v>
      </c>
      <c r="H15" s="285">
        <f>SUM('- 23 -'!D15,'- 23 -'!B15)</f>
        <v>0</v>
      </c>
      <c r="I15" s="291">
        <f>H15/'- 3 -'!D15*100</f>
        <v>0</v>
      </c>
    </row>
    <row r="16" spans="1:9" ht="14.1" customHeight="1" x14ac:dyDescent="0.2">
      <c r="A16" s="19" t="s">
        <v>114</v>
      </c>
      <c r="B16" s="20">
        <f>SUM('- 18 -'!B16,'- 18 -'!E16,'- 19 -'!B16,'- 19 -'!E16,'- 19 -'!H16,'- 20 -'!B16)</f>
        <v>8201478</v>
      </c>
      <c r="C16" s="70">
        <f>B16/'- 3 -'!D16*100</f>
        <v>54.545813684860754</v>
      </c>
      <c r="D16" s="20">
        <f>B16/'- 7 -'!C16</f>
        <v>9073.4351145038163</v>
      </c>
      <c r="E16" s="20">
        <f>SUM('- 21 -'!B16,'- 21 -'!E16,'- 21 -'!H16,'- 22 -'!B16,'- 22 -'!E16,'- 22 -'!H16)</f>
        <v>2722986</v>
      </c>
      <c r="F16" s="70">
        <f>E16/'- 3 -'!D16*100</f>
        <v>18.109843984521355</v>
      </c>
      <c r="G16" s="20">
        <f>E16/'- 7 -'!E16</f>
        <v>3012.4858944573516</v>
      </c>
      <c r="H16" s="20">
        <f>SUM('- 23 -'!D16,'- 23 -'!B16)</f>
        <v>96492</v>
      </c>
      <c r="I16" s="70">
        <f>H16/'- 3 -'!D16*100</f>
        <v>0.64174221452274627</v>
      </c>
    </row>
    <row r="17" spans="1:9" ht="14.1" customHeight="1" x14ac:dyDescent="0.2">
      <c r="A17" s="284" t="s">
        <v>115</v>
      </c>
      <c r="B17" s="285">
        <f>SUM('- 18 -'!B17,'- 18 -'!E17,'- 19 -'!B17,'- 19 -'!E17,'- 19 -'!H17,'- 20 -'!B17)</f>
        <v>10929465</v>
      </c>
      <c r="C17" s="291">
        <f>B17/'- 3 -'!D17*100</f>
        <v>59.419759662761948</v>
      </c>
      <c r="D17" s="285">
        <f>B17/'- 7 -'!C17</f>
        <v>7629.7961564927737</v>
      </c>
      <c r="E17" s="285">
        <f>SUM('- 21 -'!B17,'- 21 -'!E17,'- 21 -'!H17,'- 22 -'!B17,'- 22 -'!E17,'- 22 -'!H17)</f>
        <v>2332742</v>
      </c>
      <c r="F17" s="291">
        <f>E17/'- 3 -'!D17*100</f>
        <v>12.682319673948417</v>
      </c>
      <c r="G17" s="285">
        <f>E17/'- 7 -'!E17</f>
        <v>1628.4736668893918</v>
      </c>
      <c r="H17" s="285">
        <f>SUM('- 23 -'!D17,'- 23 -'!B17)</f>
        <v>0</v>
      </c>
      <c r="I17" s="291">
        <f>H17/'- 3 -'!D17*100</f>
        <v>0</v>
      </c>
    </row>
    <row r="18" spans="1:9" ht="14.1" customHeight="1" x14ac:dyDescent="0.2">
      <c r="A18" s="19" t="s">
        <v>116</v>
      </c>
      <c r="B18" s="20">
        <f>SUM('- 18 -'!B18,'- 18 -'!E18,'- 19 -'!B18,'- 19 -'!E18,'- 19 -'!H18,'- 20 -'!B18)</f>
        <v>56839558</v>
      </c>
      <c r="C18" s="70">
        <f>B18/'- 3 -'!D18*100</f>
        <v>42.256833081178122</v>
      </c>
      <c r="D18" s="20">
        <f>B18/'- 7 -'!C18</f>
        <v>9477.9986659996666</v>
      </c>
      <c r="E18" s="20">
        <f>SUM('- 21 -'!B18,'- 21 -'!E18,'- 21 -'!H18,'- 22 -'!B18,'- 22 -'!E18,'- 22 -'!H18)</f>
        <v>21312857</v>
      </c>
      <c r="F18" s="70">
        <f>E18/'- 3 -'!D18*100</f>
        <v>15.844842437585784</v>
      </c>
      <c r="G18" s="20">
        <f>E18/'- 7 -'!E18</f>
        <v>3553.9197932299485</v>
      </c>
      <c r="H18" s="20">
        <f>SUM('- 23 -'!D18,'- 23 -'!B18)</f>
        <v>2018366</v>
      </c>
      <c r="I18" s="70">
        <f>H18/'- 3 -'!D18*100</f>
        <v>1.5005351582558957</v>
      </c>
    </row>
    <row r="19" spans="1:9" ht="14.1" customHeight="1" x14ac:dyDescent="0.2">
      <c r="A19" s="284" t="s">
        <v>117</v>
      </c>
      <c r="B19" s="285">
        <f>SUM('- 18 -'!B19,'- 18 -'!E19,'- 19 -'!B19,'- 19 -'!E19,'- 19 -'!H19,'- 20 -'!B19)</f>
        <v>29437722</v>
      </c>
      <c r="C19" s="291">
        <f>B19/'- 3 -'!D19*100</f>
        <v>58.759984156731072</v>
      </c>
      <c r="D19" s="285">
        <f>B19/'- 7 -'!C19</f>
        <v>6668.4159021406731</v>
      </c>
      <c r="E19" s="285">
        <f>SUM('- 21 -'!B19,'- 21 -'!E19,'- 21 -'!H19,'- 22 -'!B19,'- 22 -'!E19,'- 22 -'!H19)</f>
        <v>9277267</v>
      </c>
      <c r="F19" s="291">
        <f>E19/'- 3 -'!D19*100</f>
        <v>18.518146952327495</v>
      </c>
      <c r="G19" s="285">
        <f>E19/'- 7 -'!E19</f>
        <v>2101.544229244535</v>
      </c>
      <c r="H19" s="285">
        <f>SUM('- 23 -'!D19,'- 23 -'!B19)</f>
        <v>0</v>
      </c>
      <c r="I19" s="291">
        <f>H19/'- 3 -'!D19*100</f>
        <v>0</v>
      </c>
    </row>
    <row r="20" spans="1:9" ht="14.1" customHeight="1" x14ac:dyDescent="0.2">
      <c r="A20" s="19" t="s">
        <v>118</v>
      </c>
      <c r="B20" s="20">
        <f>SUM('- 18 -'!B20,'- 18 -'!E20,'- 19 -'!B20,'- 19 -'!E20,'- 19 -'!H20,'- 20 -'!B20)</f>
        <v>55004677</v>
      </c>
      <c r="C20" s="70">
        <f>B20/'- 3 -'!D20*100</f>
        <v>62.920980062162698</v>
      </c>
      <c r="D20" s="20">
        <f>B20/'- 7 -'!C20</f>
        <v>6978.9604770665483</v>
      </c>
      <c r="E20" s="20">
        <f>SUM('- 21 -'!B20,'- 21 -'!E20,'- 21 -'!H20,'- 22 -'!B20,'- 22 -'!E20,'- 22 -'!H20)</f>
        <v>12539740</v>
      </c>
      <c r="F20" s="70">
        <f>E20/'- 3 -'!D20*100</f>
        <v>14.344466208295417</v>
      </c>
      <c r="G20" s="20">
        <f>E20/'- 7 -'!E20</f>
        <v>1591.0347015162088</v>
      </c>
      <c r="H20" s="20">
        <f>SUM('- 23 -'!D20,'- 23 -'!B20)</f>
        <v>0</v>
      </c>
      <c r="I20" s="70">
        <f>H20/'- 3 -'!D20*100</f>
        <v>0</v>
      </c>
    </row>
    <row r="21" spans="1:9" ht="14.1" customHeight="1" x14ac:dyDescent="0.2">
      <c r="A21" s="284" t="s">
        <v>119</v>
      </c>
      <c r="B21" s="285">
        <f>SUM('- 18 -'!B21,'- 18 -'!E21,'- 19 -'!B21,'- 19 -'!E21,'- 19 -'!H21,'- 20 -'!B21)</f>
        <v>21466847</v>
      </c>
      <c r="C21" s="291">
        <f>B21/'- 3 -'!D21*100</f>
        <v>57.629376281247325</v>
      </c>
      <c r="D21" s="285">
        <f>B21/'- 7 -'!C21</f>
        <v>7553.9612217608556</v>
      </c>
      <c r="E21" s="285">
        <f>SUM('- 21 -'!B21,'- 21 -'!E21,'- 21 -'!H21,'- 22 -'!B21,'- 22 -'!E21,'- 22 -'!H21)</f>
        <v>6549227</v>
      </c>
      <c r="F21" s="291">
        <f>E21/'- 3 -'!D21*100</f>
        <v>17.58189580120008</v>
      </c>
      <c r="G21" s="285">
        <f>E21/'- 7 -'!E21</f>
        <v>2304.6051798156095</v>
      </c>
      <c r="H21" s="285">
        <f>SUM('- 23 -'!D21,'- 23 -'!B21)</f>
        <v>0</v>
      </c>
      <c r="I21" s="291">
        <f>H21/'- 3 -'!D21*100</f>
        <v>0</v>
      </c>
    </row>
    <row r="22" spans="1:9" ht="14.1" customHeight="1" x14ac:dyDescent="0.2">
      <c r="A22" s="19" t="s">
        <v>120</v>
      </c>
      <c r="B22" s="20">
        <f>SUM('- 18 -'!B22,'- 18 -'!E22,'- 19 -'!B22,'- 19 -'!E22,'- 19 -'!H22,'- 20 -'!B22)</f>
        <v>10917453</v>
      </c>
      <c r="C22" s="70">
        <f>B22/'- 3 -'!D22*100</f>
        <v>52.055809217296115</v>
      </c>
      <c r="D22" s="20">
        <f>B22/'- 7 -'!C22</f>
        <v>7433.918698079804</v>
      </c>
      <c r="E22" s="20">
        <f>SUM('- 21 -'!B22,'- 21 -'!E22,'- 21 -'!H22,'- 22 -'!B22,'- 22 -'!E22,'- 22 -'!H22)</f>
        <v>4460205</v>
      </c>
      <c r="F22" s="70">
        <f>E22/'- 3 -'!D22*100</f>
        <v>21.266826662778417</v>
      </c>
      <c r="G22" s="20">
        <f>E22/'- 7 -'!E22</f>
        <v>3037.0454854963914</v>
      </c>
      <c r="H22" s="20">
        <f>SUM('- 23 -'!D22,'- 23 -'!B22)</f>
        <v>621930</v>
      </c>
      <c r="I22" s="70">
        <f>H22/'- 3 -'!D22*100</f>
        <v>2.965441612298489</v>
      </c>
    </row>
    <row r="23" spans="1:9" ht="14.1" customHeight="1" x14ac:dyDescent="0.2">
      <c r="A23" s="284" t="s">
        <v>121</v>
      </c>
      <c r="B23" s="285">
        <f>SUM('- 18 -'!B23,'- 18 -'!E23,'- 19 -'!B23,'- 19 -'!E23,'- 19 -'!H23,'- 20 -'!B23)</f>
        <v>8049684</v>
      </c>
      <c r="C23" s="291">
        <f>B23/'- 3 -'!D23*100</f>
        <v>50.416067887117435</v>
      </c>
      <c r="D23" s="285">
        <f>B23/'- 7 -'!C23</f>
        <v>8372.0062402496096</v>
      </c>
      <c r="E23" s="285">
        <f>SUM('- 21 -'!B23,'- 21 -'!E23,'- 21 -'!H23,'- 22 -'!B23,'- 22 -'!E23,'- 22 -'!H23)</f>
        <v>2805460</v>
      </c>
      <c r="F23" s="291">
        <f>E23/'- 3 -'!D23*100</f>
        <v>17.570908598970156</v>
      </c>
      <c r="G23" s="285">
        <f>E23/'- 7 -'!E23</f>
        <v>2917.7951118044721</v>
      </c>
      <c r="H23" s="285">
        <f>SUM('- 23 -'!D23,'- 23 -'!B23)</f>
        <v>267944</v>
      </c>
      <c r="I23" s="291">
        <f>H23/'- 3 -'!D23*100</f>
        <v>1.6781631296266779</v>
      </c>
    </row>
    <row r="24" spans="1:9" ht="14.1" customHeight="1" x14ac:dyDescent="0.2">
      <c r="A24" s="19" t="s">
        <v>122</v>
      </c>
      <c r="B24" s="20">
        <f>SUM('- 18 -'!B24,'- 18 -'!E24,'- 19 -'!B24,'- 19 -'!E24,'- 19 -'!H24,'- 20 -'!B24)</f>
        <v>34018153</v>
      </c>
      <c r="C24" s="70">
        <f>B24/'- 3 -'!D24*100</f>
        <v>58.746482661265517</v>
      </c>
      <c r="D24" s="20">
        <f>B24/'- 7 -'!C24</f>
        <v>8882.9520054313762</v>
      </c>
      <c r="E24" s="20">
        <f>SUM('- 21 -'!B24,'- 21 -'!E24,'- 21 -'!H24,'- 22 -'!B24,'- 22 -'!E24,'- 22 -'!H24)</f>
        <v>9781230</v>
      </c>
      <c r="F24" s="70">
        <f>E24/'- 3 -'!D24*100</f>
        <v>16.891359698477753</v>
      </c>
      <c r="G24" s="20">
        <f>E24/'- 7 -'!E24</f>
        <v>2554.1127010653854</v>
      </c>
      <c r="H24" s="20">
        <f>SUM('- 23 -'!D24,'- 23 -'!B24)</f>
        <v>331693</v>
      </c>
      <c r="I24" s="70">
        <f>H24/'- 3 -'!D24*100</f>
        <v>0.57280585084566893</v>
      </c>
    </row>
    <row r="25" spans="1:9" ht="14.1" customHeight="1" x14ac:dyDescent="0.2">
      <c r="A25" s="284" t="s">
        <v>123</v>
      </c>
      <c r="B25" s="285">
        <f>SUM('- 18 -'!B25,'- 18 -'!E25,'- 19 -'!B25,'- 19 -'!E25,'- 19 -'!H25,'- 20 -'!B25)</f>
        <v>104681699</v>
      </c>
      <c r="C25" s="291">
        <f>B25/'- 3 -'!D25*100</f>
        <v>53.878637405228822</v>
      </c>
      <c r="D25" s="285">
        <f>B25/'- 7 -'!C25</f>
        <v>7034.2567717397878</v>
      </c>
      <c r="E25" s="285">
        <f>SUM('- 21 -'!B25,'- 21 -'!E25,'- 21 -'!H25,'- 22 -'!B25,'- 22 -'!E25,'- 22 -'!H25)</f>
        <v>39760706</v>
      </c>
      <c r="F25" s="291">
        <f>E25/'- 3 -'!D25*100</f>
        <v>20.464442992560773</v>
      </c>
      <c r="G25" s="285">
        <f>E25/'- 7 -'!E25</f>
        <v>2671.7852127109131</v>
      </c>
      <c r="H25" s="285">
        <f>SUM('- 23 -'!D25,'- 23 -'!B25)</f>
        <v>1076347</v>
      </c>
      <c r="I25" s="291">
        <f>H25/'- 3 -'!D25*100</f>
        <v>0.5539851787771024</v>
      </c>
    </row>
    <row r="26" spans="1:9" ht="14.1" customHeight="1" x14ac:dyDescent="0.2">
      <c r="A26" s="19" t="s">
        <v>124</v>
      </c>
      <c r="B26" s="20">
        <f>SUM('- 18 -'!B26,'- 18 -'!E26,'- 19 -'!B26,'- 19 -'!E26,'- 19 -'!H26,'- 20 -'!B26)</f>
        <v>22790929</v>
      </c>
      <c r="C26" s="70">
        <f>B26/'- 3 -'!D26*100</f>
        <v>55.67929340457647</v>
      </c>
      <c r="D26" s="20">
        <f>B26/'- 7 -'!C26</f>
        <v>7594.4448517160945</v>
      </c>
      <c r="E26" s="20">
        <f>SUM('- 21 -'!B26,'- 21 -'!E26,'- 21 -'!H26,'- 22 -'!B26,'- 22 -'!E26,'- 22 -'!H26)</f>
        <v>6228496</v>
      </c>
      <c r="F26" s="70">
        <f>E26/'- 3 -'!D26*100</f>
        <v>15.216503735026816</v>
      </c>
      <c r="G26" s="20">
        <f>E26/'- 7 -'!E26</f>
        <v>2075.4735088303901</v>
      </c>
      <c r="H26" s="20">
        <f>SUM('- 23 -'!D26,'- 23 -'!B26)</f>
        <v>0</v>
      </c>
      <c r="I26" s="70">
        <f>H26/'- 3 -'!D26*100</f>
        <v>0</v>
      </c>
    </row>
    <row r="27" spans="1:9" ht="14.1" customHeight="1" x14ac:dyDescent="0.2">
      <c r="A27" s="284" t="s">
        <v>125</v>
      </c>
      <c r="B27" s="285">
        <f>SUM('- 18 -'!B27,'- 18 -'!E27,'- 19 -'!B27,'- 19 -'!E27,'- 19 -'!H27,'- 20 -'!B27)</f>
        <v>23918403</v>
      </c>
      <c r="C27" s="291">
        <f>B27/'- 3 -'!D27*100</f>
        <v>58.011284530296962</v>
      </c>
      <c r="D27" s="285">
        <f>B27/'- 7 -'!C27</f>
        <v>8049.6483091917498</v>
      </c>
      <c r="E27" s="285">
        <f>SUM('- 21 -'!B27,'- 21 -'!E27,'- 21 -'!H27,'- 22 -'!B27,'- 22 -'!E27,'- 22 -'!H27)</f>
        <v>8431016</v>
      </c>
      <c r="F27" s="291">
        <f>E27/'- 3 -'!D27*100</f>
        <v>20.44844164785944</v>
      </c>
      <c r="G27" s="285">
        <f>E27/'- 7 -'!E27</f>
        <v>2837.4266329222983</v>
      </c>
      <c r="H27" s="285">
        <f>SUM('- 23 -'!D27,'- 23 -'!B27)</f>
        <v>0</v>
      </c>
      <c r="I27" s="291">
        <f>H27/'- 3 -'!D27*100</f>
        <v>0</v>
      </c>
    </row>
    <row r="28" spans="1:9" ht="14.1" customHeight="1" x14ac:dyDescent="0.2">
      <c r="A28" s="19" t="s">
        <v>126</v>
      </c>
      <c r="B28" s="20">
        <f>SUM('- 18 -'!B28,'- 18 -'!E28,'- 19 -'!B28,'- 19 -'!E28,'- 19 -'!H28,'- 20 -'!B28)</f>
        <v>17375937</v>
      </c>
      <c r="C28" s="70">
        <f>B28/'- 3 -'!D28*100</f>
        <v>59.781450116214032</v>
      </c>
      <c r="D28" s="20">
        <f>B28/'- 7 -'!C28</f>
        <v>8820.2725888324876</v>
      </c>
      <c r="E28" s="20">
        <f>SUM('- 21 -'!B28,'- 21 -'!E28,'- 21 -'!H28,'- 22 -'!B28,'- 22 -'!E28,'- 22 -'!H28)</f>
        <v>3495008</v>
      </c>
      <c r="F28" s="70">
        <f>E28/'- 3 -'!D28*100</f>
        <v>12.024482271532694</v>
      </c>
      <c r="G28" s="20">
        <f>E28/'- 7 -'!E28</f>
        <v>1774.1157360406091</v>
      </c>
      <c r="H28" s="20">
        <f>SUM('- 23 -'!D28,'- 23 -'!B28)</f>
        <v>106569</v>
      </c>
      <c r="I28" s="70">
        <f>H28/'- 3 -'!D28*100</f>
        <v>0.36664781631257143</v>
      </c>
    </row>
    <row r="29" spans="1:9" ht="14.1" customHeight="1" x14ac:dyDescent="0.2">
      <c r="A29" s="284" t="s">
        <v>127</v>
      </c>
      <c r="B29" s="285">
        <f>SUM('- 18 -'!B29,'- 18 -'!E29,'- 19 -'!B29,'- 19 -'!E29,'- 19 -'!H29,'- 20 -'!B29)</f>
        <v>95012249</v>
      </c>
      <c r="C29" s="291">
        <f>B29/'- 3 -'!D29*100</f>
        <v>56.995724893924979</v>
      </c>
      <c r="D29" s="285">
        <f>B29/'- 7 -'!C29</f>
        <v>6848.9637051721029</v>
      </c>
      <c r="E29" s="285">
        <f>SUM('- 21 -'!B29,'- 21 -'!E29,'- 21 -'!H29,'- 22 -'!B29,'- 22 -'!E29,'- 22 -'!H29)</f>
        <v>31592701</v>
      </c>
      <c r="F29" s="291">
        <f>E29/'- 3 -'!D29*100</f>
        <v>18.951755313696751</v>
      </c>
      <c r="G29" s="285">
        <f>E29/'- 7 -'!E29</f>
        <v>2277.3617588754732</v>
      </c>
      <c r="H29" s="285">
        <f>SUM('- 23 -'!D29,'- 23 -'!B29)</f>
        <v>0</v>
      </c>
      <c r="I29" s="291">
        <f>H29/'- 3 -'!D29*100</f>
        <v>0</v>
      </c>
    </row>
    <row r="30" spans="1:9" ht="14.1" customHeight="1" x14ac:dyDescent="0.2">
      <c r="A30" s="19" t="s">
        <v>128</v>
      </c>
      <c r="B30" s="20">
        <f>SUM('- 18 -'!B30,'- 18 -'!E30,'- 19 -'!B30,'- 19 -'!E30,'- 19 -'!H30,'- 20 -'!B30)</f>
        <v>9175807</v>
      </c>
      <c r="C30" s="70">
        <f>B30/'- 3 -'!D30*100</f>
        <v>59.529269021513123</v>
      </c>
      <c r="D30" s="20">
        <f>B30/'- 7 -'!C30</f>
        <v>8965.1265266243281</v>
      </c>
      <c r="E30" s="20">
        <f>SUM('- 21 -'!B30,'- 21 -'!E30,'- 21 -'!H30,'- 22 -'!B30,'- 22 -'!E30,'- 22 -'!H30)</f>
        <v>1940163</v>
      </c>
      <c r="F30" s="70">
        <f>E30/'- 3 -'!D30*100</f>
        <v>12.587065657831072</v>
      </c>
      <c r="G30" s="20">
        <f>E30/'- 7 -'!E30</f>
        <v>1895.6160234489496</v>
      </c>
      <c r="H30" s="20">
        <f>SUM('- 23 -'!D30,'- 23 -'!B30)</f>
        <v>0</v>
      </c>
      <c r="I30" s="70">
        <f>H30/'- 3 -'!D30*100</f>
        <v>0</v>
      </c>
    </row>
    <row r="31" spans="1:9" ht="14.1" customHeight="1" x14ac:dyDescent="0.2">
      <c r="A31" s="284" t="s">
        <v>129</v>
      </c>
      <c r="B31" s="285">
        <f>SUM('- 18 -'!B31,'- 18 -'!E31,'- 19 -'!B31,'- 19 -'!E31,'- 19 -'!H31,'- 20 -'!B31)</f>
        <v>23139920</v>
      </c>
      <c r="C31" s="291">
        <f>B31/'- 3 -'!D31*100</f>
        <v>59.720157703054653</v>
      </c>
      <c r="D31" s="285">
        <f>B31/'- 7 -'!C31</f>
        <v>6922.9379207180255</v>
      </c>
      <c r="E31" s="285">
        <f>SUM('- 21 -'!B31,'- 21 -'!E31,'- 21 -'!H31,'- 22 -'!B31,'- 22 -'!E31,'- 22 -'!H31)</f>
        <v>7166756</v>
      </c>
      <c r="F31" s="291">
        <f>E31/'- 3 -'!D31*100</f>
        <v>18.496165870033828</v>
      </c>
      <c r="G31" s="285">
        <f>E31/'- 7 -'!E31</f>
        <v>2144.1304412864624</v>
      </c>
      <c r="H31" s="285">
        <f>SUM('- 23 -'!D31,'- 23 -'!B31)</f>
        <v>0</v>
      </c>
      <c r="I31" s="291">
        <f>H31/'- 3 -'!D31*100</f>
        <v>0</v>
      </c>
    </row>
    <row r="32" spans="1:9" ht="14.1" customHeight="1" x14ac:dyDescent="0.2">
      <c r="A32" s="19" t="s">
        <v>130</v>
      </c>
      <c r="B32" s="20">
        <f>SUM('- 18 -'!B32,'- 18 -'!E32,'- 19 -'!B32,'- 19 -'!E32,'- 19 -'!H32,'- 20 -'!B32)</f>
        <v>17405126</v>
      </c>
      <c r="C32" s="70">
        <f>B32/'- 3 -'!D32*100</f>
        <v>57.86357460324426</v>
      </c>
      <c r="D32" s="20">
        <f>B32/'- 7 -'!C32</f>
        <v>7817.2584774309453</v>
      </c>
      <c r="E32" s="20">
        <f>SUM('- 21 -'!B32,'- 21 -'!E32,'- 21 -'!H32,'- 22 -'!B32,'- 22 -'!E32,'- 22 -'!H32)</f>
        <v>4188558</v>
      </c>
      <c r="F32" s="70">
        <f>E32/'- 3 -'!D32*100</f>
        <v>13.924917194682507</v>
      </c>
      <c r="G32" s="20">
        <f>E32/'- 7 -'!E32</f>
        <v>1881.2297327644285</v>
      </c>
      <c r="H32" s="20">
        <f>SUM('- 23 -'!D32,'- 23 -'!B32)</f>
        <v>277691</v>
      </c>
      <c r="I32" s="70">
        <f>H32/'- 3 -'!D32*100</f>
        <v>0.92318745036085936</v>
      </c>
    </row>
    <row r="33" spans="1:9" ht="14.1" customHeight="1" x14ac:dyDescent="0.2">
      <c r="A33" s="284" t="s">
        <v>131</v>
      </c>
      <c r="B33" s="285">
        <f>SUM('- 18 -'!B33,'- 18 -'!E33,'- 19 -'!B33,'- 19 -'!E33,'- 19 -'!H33,'- 20 -'!B33)</f>
        <v>16438611</v>
      </c>
      <c r="C33" s="291">
        <f>B33/'- 3 -'!D33*100</f>
        <v>58.658700446561028</v>
      </c>
      <c r="D33" s="285">
        <f>B33/'- 7 -'!C33</f>
        <v>8025.8817498291191</v>
      </c>
      <c r="E33" s="285">
        <f>SUM('- 21 -'!B33,'- 21 -'!E33,'- 21 -'!H33,'- 22 -'!B33,'- 22 -'!E33,'- 22 -'!H33)</f>
        <v>3670621</v>
      </c>
      <c r="F33" s="291">
        <f>E33/'- 3 -'!D33*100</f>
        <v>13.098056623631784</v>
      </c>
      <c r="G33" s="285">
        <f>E33/'- 7 -'!E33</f>
        <v>1792.120398398594</v>
      </c>
      <c r="H33" s="285">
        <f>SUM('- 23 -'!D33,'- 23 -'!B33)</f>
        <v>0</v>
      </c>
      <c r="I33" s="291">
        <f>H33/'- 3 -'!D33*100</f>
        <v>0</v>
      </c>
    </row>
    <row r="34" spans="1:9" ht="14.1" customHeight="1" x14ac:dyDescent="0.2">
      <c r="A34" s="19" t="s">
        <v>132</v>
      </c>
      <c r="B34" s="20">
        <f>SUM('- 18 -'!B34,'- 18 -'!E34,'- 19 -'!B34,'- 19 -'!E34,'- 19 -'!H34,'- 20 -'!B34)</f>
        <v>17082622</v>
      </c>
      <c r="C34" s="70">
        <f>B34/'- 3 -'!D34*100</f>
        <v>55.531109291854278</v>
      </c>
      <c r="D34" s="20">
        <f>B34/'- 7 -'!C34</f>
        <v>7828.9544358793391</v>
      </c>
      <c r="E34" s="20">
        <f>SUM('- 21 -'!B34,'- 21 -'!E34,'- 21 -'!H34,'- 22 -'!B34,'- 22 -'!E34,'- 22 -'!H34)</f>
        <v>5422276</v>
      </c>
      <c r="F34" s="70">
        <f>E34/'- 3 -'!D34*100</f>
        <v>17.626392550663383</v>
      </c>
      <c r="G34" s="20">
        <f>E34/'- 7 -'!E34</f>
        <v>2485.0255272733939</v>
      </c>
      <c r="H34" s="20">
        <f>SUM('- 23 -'!D34,'- 23 -'!B34)</f>
        <v>0</v>
      </c>
      <c r="I34" s="70">
        <f>H34/'- 3 -'!D34*100</f>
        <v>0</v>
      </c>
    </row>
    <row r="35" spans="1:9" ht="14.1" customHeight="1" x14ac:dyDescent="0.2">
      <c r="A35" s="284" t="s">
        <v>133</v>
      </c>
      <c r="B35" s="285">
        <f>SUM('- 18 -'!B35,'- 18 -'!E35,'- 19 -'!B35,'- 19 -'!E35,'- 19 -'!H35,'- 20 -'!B35)</f>
        <v>108526991</v>
      </c>
      <c r="C35" s="291">
        <f>B35/'- 3 -'!D35*100</f>
        <v>56.274836665834059</v>
      </c>
      <c r="D35" s="285">
        <f>B35/'- 7 -'!C35</f>
        <v>6755.4927482103949</v>
      </c>
      <c r="E35" s="285">
        <f>SUM('- 21 -'!B35,'- 21 -'!E35,'- 21 -'!H35,'- 22 -'!B35,'- 22 -'!E35,'- 22 -'!H35)</f>
        <v>37452026</v>
      </c>
      <c r="F35" s="291">
        <f>E35/'- 3 -'!D35*100</f>
        <v>19.420115001203435</v>
      </c>
      <c r="G35" s="285">
        <f>E35/'- 7 -'!E35</f>
        <v>2331.2807967631497</v>
      </c>
      <c r="H35" s="285">
        <f>SUM('- 23 -'!D35,'- 23 -'!B35)</f>
        <v>1527358</v>
      </c>
      <c r="I35" s="291">
        <f>H35/'- 3 -'!D35*100</f>
        <v>0.79198567276462106</v>
      </c>
    </row>
    <row r="36" spans="1:9" ht="14.1" customHeight="1" x14ac:dyDescent="0.2">
      <c r="A36" s="19" t="s">
        <v>134</v>
      </c>
      <c r="B36" s="20">
        <f>SUM('- 18 -'!B36,'- 18 -'!E36,'- 19 -'!B36,'- 19 -'!E36,'- 19 -'!H36,'- 20 -'!B36)</f>
        <v>14301518</v>
      </c>
      <c r="C36" s="70">
        <f>B36/'- 3 -'!D36*100</f>
        <v>59.544449210270436</v>
      </c>
      <c r="D36" s="20">
        <f>B36/'- 7 -'!C36</f>
        <v>8517.8784991066113</v>
      </c>
      <c r="E36" s="20">
        <f>SUM('- 21 -'!B36,'- 21 -'!E36,'- 21 -'!H36,'- 22 -'!B36,'- 22 -'!E36,'- 22 -'!H36)</f>
        <v>3020729</v>
      </c>
      <c r="F36" s="70">
        <f>E36/'- 3 -'!D36*100</f>
        <v>12.57682188131994</v>
      </c>
      <c r="G36" s="20">
        <f>E36/'- 7 -'!E36</f>
        <v>1799.1238832638476</v>
      </c>
      <c r="H36" s="20">
        <f>SUM('- 23 -'!D36,'- 23 -'!B36)</f>
        <v>121499</v>
      </c>
      <c r="I36" s="70">
        <f>H36/'- 3 -'!D36*100</f>
        <v>0.50586175779372844</v>
      </c>
    </row>
    <row r="37" spans="1:9" ht="14.1" customHeight="1" x14ac:dyDescent="0.2">
      <c r="A37" s="284" t="s">
        <v>135</v>
      </c>
      <c r="B37" s="285">
        <f>SUM('- 18 -'!B37,'- 18 -'!E37,'- 19 -'!B37,'- 19 -'!E37,'- 19 -'!H37,'- 20 -'!B37)</f>
        <v>30587793</v>
      </c>
      <c r="C37" s="291">
        <f>B37/'- 3 -'!D37*100</f>
        <v>57.020588117248828</v>
      </c>
      <c r="D37" s="285">
        <f>B37/'- 7 -'!C37</f>
        <v>7052.7537468296059</v>
      </c>
      <c r="E37" s="285">
        <f>SUM('- 21 -'!B37,'- 21 -'!E37,'- 21 -'!H37,'- 22 -'!B37,'- 22 -'!E37,'- 22 -'!H37)</f>
        <v>9258180</v>
      </c>
      <c r="F37" s="291">
        <f>E37/'- 3 -'!D37*100</f>
        <v>17.258743332523231</v>
      </c>
      <c r="G37" s="285">
        <f>E37/'- 7 -'!E37</f>
        <v>2134.696795019599</v>
      </c>
      <c r="H37" s="285">
        <f>SUM('- 23 -'!D37,'- 23 -'!B37)</f>
        <v>324789</v>
      </c>
      <c r="I37" s="291">
        <f>H37/'- 3 -'!D37*100</f>
        <v>0.60545917104948144</v>
      </c>
    </row>
    <row r="38" spans="1:9" ht="14.1" customHeight="1" x14ac:dyDescent="0.2">
      <c r="A38" s="19" t="s">
        <v>136</v>
      </c>
      <c r="B38" s="20">
        <f>SUM('- 18 -'!B38,'- 18 -'!E38,'- 19 -'!B38,'- 19 -'!E38,'- 19 -'!H38,'- 20 -'!B38)</f>
        <v>82855657</v>
      </c>
      <c r="C38" s="70">
        <f>B38/'- 3 -'!D38*100</f>
        <v>57.448989975998643</v>
      </c>
      <c r="D38" s="20">
        <f>B38/'- 7 -'!C38</f>
        <v>7328.2733520249776</v>
      </c>
      <c r="E38" s="20">
        <f>SUM('- 21 -'!B38,'- 21 -'!E38,'- 21 -'!H38,'- 22 -'!B38,'- 22 -'!E38,'- 22 -'!H38)</f>
        <v>26510514</v>
      </c>
      <c r="F38" s="70">
        <f>E38/'- 3 -'!D38*100</f>
        <v>18.381391303729227</v>
      </c>
      <c r="G38" s="20">
        <f>E38/'- 7 -'!E38</f>
        <v>2344.7559325331895</v>
      </c>
      <c r="H38" s="20">
        <f>SUM('- 23 -'!D38,'- 23 -'!B38)</f>
        <v>2103790</v>
      </c>
      <c r="I38" s="70">
        <f>H38/'- 3 -'!D38*100</f>
        <v>1.4586887002972673</v>
      </c>
    </row>
    <row r="39" spans="1:9" ht="14.1" customHeight="1" x14ac:dyDescent="0.2">
      <c r="A39" s="284" t="s">
        <v>137</v>
      </c>
      <c r="B39" s="285">
        <f>SUM('- 18 -'!B39,'- 18 -'!E39,'- 19 -'!B39,'- 19 -'!E39,'- 19 -'!H39,'- 20 -'!B39)</f>
        <v>13101359</v>
      </c>
      <c r="C39" s="291">
        <f>B39/'- 3 -'!D39*100</f>
        <v>58.680827016430229</v>
      </c>
      <c r="D39" s="285">
        <f>B39/'- 7 -'!C39</f>
        <v>8716.8057218895538</v>
      </c>
      <c r="E39" s="285">
        <f>SUM('- 21 -'!B39,'- 21 -'!E39,'- 21 -'!H39,'- 22 -'!B39,'- 22 -'!E39,'- 22 -'!H39)</f>
        <v>2946329</v>
      </c>
      <c r="F39" s="291">
        <f>E39/'- 3 -'!D39*100</f>
        <v>13.196571621500627</v>
      </c>
      <c r="G39" s="285">
        <f>E39/'- 7 -'!E39</f>
        <v>1960.2987358616101</v>
      </c>
      <c r="H39" s="285">
        <f>SUM('- 23 -'!D39,'- 23 -'!B39)</f>
        <v>0</v>
      </c>
      <c r="I39" s="291">
        <f>H39/'- 3 -'!D39*100</f>
        <v>0</v>
      </c>
    </row>
    <row r="40" spans="1:9" ht="14.1" customHeight="1" x14ac:dyDescent="0.2">
      <c r="A40" s="19" t="s">
        <v>138</v>
      </c>
      <c r="B40" s="20">
        <f>SUM('- 18 -'!B40,'- 18 -'!E40,'- 19 -'!B40,'- 19 -'!E40,'- 19 -'!H40,'- 20 -'!B40)</f>
        <v>59208534</v>
      </c>
      <c r="C40" s="70">
        <f>B40/'- 3 -'!D40*100</f>
        <v>55.522502755704153</v>
      </c>
      <c r="D40" s="20">
        <f>B40/'- 7 -'!C40</f>
        <v>7219.8925708014513</v>
      </c>
      <c r="E40" s="20">
        <f>SUM('- 21 -'!B40,'- 21 -'!E40,'- 21 -'!H40,'- 22 -'!B40,'- 22 -'!E40,'- 22 -'!H40)</f>
        <v>23746971</v>
      </c>
      <c r="F40" s="70">
        <f>E40/'- 3 -'!D40*100</f>
        <v>22.268601732093664</v>
      </c>
      <c r="G40" s="20">
        <f>E40/'- 7 -'!E40</f>
        <v>2895.7072219004358</v>
      </c>
      <c r="H40" s="20">
        <f>SUM('- 23 -'!D40,'- 23 -'!B40)</f>
        <v>0</v>
      </c>
      <c r="I40" s="70">
        <f>H40/'- 3 -'!D40*100</f>
        <v>0</v>
      </c>
    </row>
    <row r="41" spans="1:9" ht="14.1" customHeight="1" x14ac:dyDescent="0.2">
      <c r="A41" s="284" t="s">
        <v>139</v>
      </c>
      <c r="B41" s="285">
        <f>SUM('- 18 -'!B41,'- 18 -'!E41,'- 19 -'!B41,'- 19 -'!E41,'- 19 -'!H41,'- 20 -'!B41)</f>
        <v>34762566</v>
      </c>
      <c r="C41" s="291">
        <f>B41/'- 3 -'!D41*100</f>
        <v>53.050996099330384</v>
      </c>
      <c r="D41" s="285">
        <f>B41/'- 7 -'!C41</f>
        <v>7807.4263896687253</v>
      </c>
      <c r="E41" s="285">
        <f>SUM('- 21 -'!B41,'- 21 -'!E41,'- 21 -'!H41,'- 22 -'!B41,'- 22 -'!E41,'- 22 -'!H41)</f>
        <v>12708507</v>
      </c>
      <c r="F41" s="291">
        <f>E41/'- 3 -'!D41*100</f>
        <v>19.394395548513678</v>
      </c>
      <c r="G41" s="285">
        <f>E41/'- 7 -'!E41</f>
        <v>2854.240763615946</v>
      </c>
      <c r="H41" s="285">
        <f>SUM('- 23 -'!D41,'- 23 -'!B41)</f>
        <v>960232</v>
      </c>
      <c r="I41" s="291">
        <f>H41/'- 3 -'!D41*100</f>
        <v>1.4654057495770656</v>
      </c>
    </row>
    <row r="42" spans="1:9" ht="14.1" customHeight="1" x14ac:dyDescent="0.2">
      <c r="A42" s="19" t="s">
        <v>140</v>
      </c>
      <c r="B42" s="20">
        <f>SUM('- 18 -'!B42,'- 18 -'!E42,'- 19 -'!B42,'- 19 -'!E42,'- 19 -'!H42,'- 20 -'!B42)</f>
        <v>12054750</v>
      </c>
      <c r="C42" s="70">
        <f>B42/'- 3 -'!D42*100</f>
        <v>57.807937954563606</v>
      </c>
      <c r="D42" s="20">
        <f>B42/'- 7 -'!C42</f>
        <v>8719.5298372513571</v>
      </c>
      <c r="E42" s="20">
        <f>SUM('- 21 -'!B42,'- 21 -'!E42,'- 21 -'!H42,'- 22 -'!B42,'- 22 -'!E42,'- 22 -'!H42)</f>
        <v>3106834</v>
      </c>
      <c r="F42" s="70">
        <f>E42/'- 3 -'!D42*100</f>
        <v>14.898663772133695</v>
      </c>
      <c r="G42" s="20">
        <f>E42/'- 7 -'!E42</f>
        <v>2247.2578661844486</v>
      </c>
      <c r="H42" s="20">
        <f>SUM('- 23 -'!D42,'- 23 -'!B42)</f>
        <v>0</v>
      </c>
      <c r="I42" s="70">
        <f>H42/'- 3 -'!D42*100</f>
        <v>0</v>
      </c>
    </row>
    <row r="43" spans="1:9" ht="14.1" customHeight="1" x14ac:dyDescent="0.2">
      <c r="A43" s="284" t="s">
        <v>141</v>
      </c>
      <c r="B43" s="285">
        <f>SUM('- 18 -'!B43,'- 18 -'!E43,'- 19 -'!B43,'- 19 -'!E43,'- 19 -'!H43,'- 20 -'!B43)</f>
        <v>7508803</v>
      </c>
      <c r="C43" s="291">
        <f>B43/'- 3 -'!D43*100</f>
        <v>54.522038874238845</v>
      </c>
      <c r="D43" s="285">
        <f>B43/'- 7 -'!C43</f>
        <v>7573.1749873928393</v>
      </c>
      <c r="E43" s="285">
        <f>SUM('- 21 -'!B43,'- 21 -'!E43,'- 21 -'!H43,'- 22 -'!B43,'- 22 -'!E43,'- 22 -'!H43)</f>
        <v>2316162</v>
      </c>
      <c r="F43" s="291">
        <f>E43/'- 3 -'!D43*100</f>
        <v>16.817843616756864</v>
      </c>
      <c r="G43" s="285">
        <f>E43/'- 7 -'!E43</f>
        <v>2336.0181543116491</v>
      </c>
      <c r="H43" s="285">
        <f>SUM('- 23 -'!D43,'- 23 -'!B43)</f>
        <v>210420</v>
      </c>
      <c r="I43" s="291">
        <f>H43/'- 3 -'!D43*100</f>
        <v>1.5278770024885908</v>
      </c>
    </row>
    <row r="44" spans="1:9" ht="14.1" customHeight="1" x14ac:dyDescent="0.2">
      <c r="A44" s="19" t="s">
        <v>142</v>
      </c>
      <c r="B44" s="20">
        <f>SUM('- 18 -'!B44,'- 18 -'!E44,'- 19 -'!B44,'- 19 -'!E44,'- 19 -'!H44,'- 20 -'!B44)</f>
        <v>6348512</v>
      </c>
      <c r="C44" s="70">
        <f>B44/'- 3 -'!D44*100</f>
        <v>56.957377372752291</v>
      </c>
      <c r="D44" s="20">
        <f>B44/'- 7 -'!C44</f>
        <v>8941.5661971830978</v>
      </c>
      <c r="E44" s="20">
        <f>SUM('- 21 -'!B44,'- 21 -'!E44,'- 21 -'!H44,'- 22 -'!B44,'- 22 -'!E44,'- 22 -'!H44)</f>
        <v>1652257</v>
      </c>
      <c r="F44" s="70">
        <f>E44/'- 3 -'!D44*100</f>
        <v>14.823666627041357</v>
      </c>
      <c r="G44" s="20">
        <f>E44/'- 7 -'!E44</f>
        <v>2327.1225352112674</v>
      </c>
      <c r="H44" s="20">
        <f>SUM('- 23 -'!D44,'- 23 -'!B44)</f>
        <v>0</v>
      </c>
      <c r="I44" s="70">
        <f>H44/'- 3 -'!D44*100</f>
        <v>0</v>
      </c>
    </row>
    <row r="45" spans="1:9" ht="14.1" customHeight="1" x14ac:dyDescent="0.2">
      <c r="A45" s="284" t="s">
        <v>143</v>
      </c>
      <c r="B45" s="285">
        <f>SUM('- 18 -'!B45,'- 18 -'!E45,'- 19 -'!B45,'- 19 -'!E45,'- 19 -'!H45,'- 20 -'!B45)</f>
        <v>12821000</v>
      </c>
      <c r="C45" s="291">
        <f>B45/'- 3 -'!D45*100</f>
        <v>62.49729459492238</v>
      </c>
      <c r="D45" s="285">
        <f>B45/'- 7 -'!C45</f>
        <v>7054.1953232462174</v>
      </c>
      <c r="E45" s="285">
        <f>SUM('- 21 -'!B45,'- 21 -'!E45,'- 21 -'!H45,'- 22 -'!B45,'- 22 -'!E45,'- 22 -'!H45)</f>
        <v>2728087</v>
      </c>
      <c r="F45" s="291">
        <f>E45/'- 3 -'!D45*100</f>
        <v>13.298343102689184</v>
      </c>
      <c r="G45" s="285">
        <f>E45/'- 7 -'!E45</f>
        <v>1501.0107290233839</v>
      </c>
      <c r="H45" s="285">
        <f>SUM('- 23 -'!D45,'- 23 -'!B45)</f>
        <v>388324</v>
      </c>
      <c r="I45" s="291">
        <f>H45/'- 3 -'!D45*100</f>
        <v>1.8929256240760188</v>
      </c>
    </row>
    <row r="46" spans="1:9" ht="14.1" customHeight="1" x14ac:dyDescent="0.2">
      <c r="A46" s="19" t="s">
        <v>144</v>
      </c>
      <c r="B46" s="20">
        <f>SUM('- 18 -'!B46,'- 18 -'!E46,'- 19 -'!B46,'- 19 -'!E46,'- 19 -'!H46,'- 20 -'!B46)</f>
        <v>215239881</v>
      </c>
      <c r="C46" s="70">
        <f>B46/'- 3 -'!D46*100</f>
        <v>53.615805436035892</v>
      </c>
      <c r="D46" s="20">
        <f>B46/'- 7 -'!C46</f>
        <v>7225.8457742341589</v>
      </c>
      <c r="E46" s="20">
        <f>SUM('- 21 -'!B46,'- 21 -'!E46,'- 21 -'!H46,'- 22 -'!B46,'- 22 -'!E46,'- 22 -'!H46)</f>
        <v>93284955</v>
      </c>
      <c r="F46" s="70">
        <f>E46/'- 3 -'!D46*100</f>
        <v>23.237087728130472</v>
      </c>
      <c r="G46" s="20">
        <f>E46/'- 7 -'!E46</f>
        <v>3131.6812421317668</v>
      </c>
      <c r="H46" s="20">
        <f>SUM('- 23 -'!D46,'- 23 -'!B46)</f>
        <v>807930</v>
      </c>
      <c r="I46" s="70">
        <f>H46/'- 3 -'!D46*100</f>
        <v>0.20125367791825008</v>
      </c>
    </row>
    <row r="47" spans="1:9" ht="5.0999999999999996" customHeight="1" x14ac:dyDescent="0.2">
      <c r="A47" s="21"/>
      <c r="B47" s="22"/>
      <c r="C47" s="71"/>
      <c r="D47" s="22"/>
      <c r="E47" s="22"/>
      <c r="F47" s="71"/>
      <c r="G47" s="22"/>
      <c r="H47" s="22"/>
      <c r="I47" s="71"/>
    </row>
    <row r="48" spans="1:9" ht="14.1" customHeight="1" x14ac:dyDescent="0.2">
      <c r="A48" s="286" t="s">
        <v>145</v>
      </c>
      <c r="B48" s="287">
        <f>SUM(B11:B46)</f>
        <v>1333292134</v>
      </c>
      <c r="C48" s="294">
        <f>B48/'- 3 -'!D48*100</f>
        <v>55.641827192734105</v>
      </c>
      <c r="D48" s="287">
        <f>B48/'- 7 -'!C48</f>
        <v>7456.5270014938233</v>
      </c>
      <c r="E48" s="287">
        <f>SUM(E11:E46)</f>
        <v>445062024</v>
      </c>
      <c r="F48" s="294">
        <f>E48/'- 3 -'!D48*100</f>
        <v>18.573622087728062</v>
      </c>
      <c r="G48" s="287">
        <f>E48/'- 7 -'!E48</f>
        <v>2489.0396595525795</v>
      </c>
      <c r="H48" s="287">
        <f>SUM(H11:H46)</f>
        <v>12030652</v>
      </c>
      <c r="I48" s="294">
        <f>H48/'- 3 -'!D48*100</f>
        <v>0.50207110844615621</v>
      </c>
    </row>
    <row r="49" spans="1:9" ht="5.0999999999999996" customHeight="1" x14ac:dyDescent="0.2">
      <c r="A49" s="21" t="s">
        <v>7</v>
      </c>
      <c r="B49" s="22"/>
      <c r="C49" s="71"/>
      <c r="D49" s="22"/>
      <c r="E49" s="22"/>
      <c r="F49" s="71"/>
      <c r="H49" s="22"/>
      <c r="I49" s="71"/>
    </row>
    <row r="50" spans="1:9" ht="14.1" customHeight="1" x14ac:dyDescent="0.2">
      <c r="A50" s="284" t="s">
        <v>146</v>
      </c>
      <c r="B50" s="285">
        <f>SUM('- 18 -'!B50,'- 18 -'!E50,'- 19 -'!B50,'- 19 -'!E50,'- 19 -'!H50,'- 20 -'!B50)</f>
        <v>2014907</v>
      </c>
      <c r="C50" s="291">
        <f>B50/'- 3 -'!D50*100</f>
        <v>59.310587825962045</v>
      </c>
      <c r="D50" s="285">
        <f>B50/'- 7 -'!C50</f>
        <v>11162.919667590028</v>
      </c>
      <c r="E50" s="285">
        <f>SUM('- 21 -'!B50,'- 21 -'!E50,'- 21 -'!H50,'- 22 -'!B50,'- 22 -'!E50,'- 22 -'!H50)</f>
        <v>355167</v>
      </c>
      <c r="F50" s="291">
        <f>E50/'- 3 -'!D50*100</f>
        <v>10.454657979938261</v>
      </c>
      <c r="G50" s="285">
        <f>E50/'- 7 -'!E50</f>
        <v>1967.6842105263158</v>
      </c>
      <c r="H50" s="285">
        <f>SUM('- 23 -'!D50,'- 23 -'!B50)</f>
        <v>0</v>
      </c>
      <c r="I50" s="291">
        <f>H50/'- 3 -'!D50*100</f>
        <v>0</v>
      </c>
    </row>
    <row r="51" spans="1:9" ht="14.1" customHeight="1" x14ac:dyDescent="0.2">
      <c r="A51" s="19" t="s">
        <v>601</v>
      </c>
      <c r="B51" s="20">
        <f>SUM('- 18 -'!B51,'- 18 -'!E51,'- 19 -'!B51,'- 19 -'!E51,'- 19 -'!H51,'- 20 -'!B51)</f>
        <v>7188628</v>
      </c>
      <c r="C51" s="70">
        <f>B51/'- 3 -'!D51*100</f>
        <v>22.877861161590982</v>
      </c>
      <c r="D51" s="20">
        <f>B51/'- 7 -'!C51</f>
        <v>5995.5195996663888</v>
      </c>
      <c r="E51" s="20">
        <f>SUM('- 21 -'!B51,'- 21 -'!E51,'- 21 -'!H51,'- 22 -'!B51,'- 22 -'!E51,'- 22 -'!H51)</f>
        <v>854649</v>
      </c>
      <c r="F51" s="70">
        <f>E51/'- 3 -'!D51*100</f>
        <v>2.719926690307604</v>
      </c>
      <c r="G51" s="20">
        <f>E51/'- 7 -'!E51</f>
        <v>712.80150125104251</v>
      </c>
      <c r="H51" s="20">
        <f>SUM('- 23 -'!D51,'- 23 -'!B51)</f>
        <v>2532415</v>
      </c>
      <c r="I51" s="70">
        <f>H51/'- 3 -'!D51*100</f>
        <v>8.0594292504119593</v>
      </c>
    </row>
    <row r="52" spans="1:9" ht="50.1" customHeight="1" x14ac:dyDescent="0.2"/>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52"/>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6.83203125" style="2" customWidth="1"/>
    <col min="5" max="5" width="8.83203125" style="2" customWidth="1"/>
    <col min="6" max="6" width="9.83203125" style="2" customWidth="1"/>
    <col min="7" max="7" width="16.83203125" style="2" customWidth="1"/>
    <col min="8" max="8" width="8.83203125" style="2" customWidth="1"/>
    <col min="9" max="9" width="9.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261</v>
      </c>
      <c r="C2" s="10"/>
      <c r="D2" s="10"/>
      <c r="E2" s="10"/>
      <c r="F2" s="10"/>
      <c r="G2" s="73"/>
      <c r="H2" s="81"/>
      <c r="I2" s="135" t="s">
        <v>8</v>
      </c>
    </row>
    <row r="3" spans="1:9" ht="15.95" customHeight="1" x14ac:dyDescent="0.2">
      <c r="A3" s="541"/>
      <c r="B3" s="11" t="str">
        <f>OPYEAR</f>
        <v>OPERATING FUND 2018/2019 ACTUAL</v>
      </c>
      <c r="C3" s="12"/>
      <c r="D3" s="12"/>
      <c r="E3" s="12"/>
      <c r="F3" s="12"/>
      <c r="G3" s="75"/>
      <c r="H3" s="66"/>
      <c r="I3" s="66"/>
    </row>
    <row r="4" spans="1:9" ht="15.95" customHeight="1" x14ac:dyDescent="0.2">
      <c r="B4" s="8"/>
      <c r="C4" s="8"/>
      <c r="D4" s="8"/>
      <c r="E4" s="8"/>
      <c r="F4" s="8"/>
      <c r="G4" s="8"/>
      <c r="H4" s="8"/>
      <c r="I4" s="8"/>
    </row>
    <row r="5" spans="1:9" ht="15.95" customHeight="1" x14ac:dyDescent="0.2">
      <c r="B5" s="8"/>
      <c r="C5" s="8"/>
      <c r="D5" s="8"/>
      <c r="E5" s="8"/>
      <c r="F5" s="8"/>
      <c r="G5" s="8"/>
      <c r="H5" s="8"/>
      <c r="I5" s="8"/>
    </row>
    <row r="6" spans="1:9" ht="15.95" customHeight="1" x14ac:dyDescent="0.2">
      <c r="B6" s="649" t="s">
        <v>468</v>
      </c>
      <c r="C6" s="650"/>
      <c r="D6" s="649" t="s">
        <v>469</v>
      </c>
      <c r="E6" s="657"/>
      <c r="F6" s="650"/>
      <c r="G6" s="649" t="s">
        <v>470</v>
      </c>
      <c r="H6" s="657"/>
      <c r="I6" s="650"/>
    </row>
    <row r="7" spans="1:9" ht="15.95" customHeight="1" x14ac:dyDescent="0.2">
      <c r="B7" s="651"/>
      <c r="C7" s="652"/>
      <c r="D7" s="651"/>
      <c r="E7" s="658"/>
      <c r="F7" s="652"/>
      <c r="G7" s="651"/>
      <c r="H7" s="658"/>
      <c r="I7" s="652"/>
    </row>
    <row r="8" spans="1:9" ht="15.95" customHeight="1" x14ac:dyDescent="0.2">
      <c r="A8" s="67"/>
      <c r="B8" s="14" t="s">
        <v>7</v>
      </c>
      <c r="C8" s="138"/>
      <c r="D8" s="137"/>
      <c r="E8" s="139"/>
      <c r="F8" s="623" t="s">
        <v>327</v>
      </c>
      <c r="G8" s="137"/>
      <c r="H8" s="139"/>
      <c r="I8" s="623" t="s">
        <v>327</v>
      </c>
    </row>
    <row r="9" spans="1:9" ht="15.95" customHeight="1" x14ac:dyDescent="0.2">
      <c r="A9" s="35" t="s">
        <v>42</v>
      </c>
      <c r="B9" s="77" t="s">
        <v>43</v>
      </c>
      <c r="C9" s="77" t="s">
        <v>44</v>
      </c>
      <c r="D9" s="77" t="s">
        <v>43</v>
      </c>
      <c r="E9" s="77" t="s">
        <v>44</v>
      </c>
      <c r="F9" s="604"/>
      <c r="G9" s="77" t="s">
        <v>43</v>
      </c>
      <c r="H9" s="77" t="s">
        <v>44</v>
      </c>
      <c r="I9" s="604"/>
    </row>
    <row r="10" spans="1:9" ht="5.0999999999999996" customHeight="1" x14ac:dyDescent="0.2">
      <c r="A10" s="6"/>
    </row>
    <row r="11" spans="1:9" ht="14.1" customHeight="1" x14ac:dyDescent="0.2">
      <c r="A11" s="284" t="s">
        <v>110</v>
      </c>
      <c r="B11" s="285">
        <f>SUM('- 24 -'!H11,'- 24 -'!F11,'- 24 -'!D11,'- 24 -'!B11)</f>
        <v>16302</v>
      </c>
      <c r="C11" s="291">
        <f>B11/'- 3 -'!D11*100</f>
        <v>8.1142671184680507E-2</v>
      </c>
      <c r="D11" s="285">
        <f>SUM('- 25 -'!B11,'- 25 -'!E11,'- 25 -'!H11,'- 26 -'!B11)</f>
        <v>646032</v>
      </c>
      <c r="E11" s="291">
        <f>D11/'- 3 -'!D11*100</f>
        <v>3.2156031254313286</v>
      </c>
      <c r="F11" s="285">
        <f>D11/'- 7 -'!E11</f>
        <v>356.33314947600661</v>
      </c>
      <c r="G11" s="285">
        <f>SUM('- 27 -'!B11,'- 27 -'!E11,'- 27 -'!H11,'- 28 -'!B11,'- 28 -'!E11)</f>
        <v>567550</v>
      </c>
      <c r="H11" s="291">
        <f>G11/'- 3 -'!D11*100</f>
        <v>2.8249615403548907</v>
      </c>
      <c r="I11" s="285">
        <f>G11/'- 7 -'!E11</f>
        <v>313.04467733039161</v>
      </c>
    </row>
    <row r="12" spans="1:9" ht="14.1" customHeight="1" x14ac:dyDescent="0.2">
      <c r="A12" s="19" t="s">
        <v>111</v>
      </c>
      <c r="B12" s="20">
        <f>SUM('- 24 -'!H12,'- 24 -'!F12,'- 24 -'!D12,'- 24 -'!B12)</f>
        <v>76076</v>
      </c>
      <c r="C12" s="70">
        <f>B12/'- 3 -'!D12*100</f>
        <v>0.22448050891533683</v>
      </c>
      <c r="D12" s="20">
        <f>SUM('- 25 -'!B12,'- 25 -'!E12,'- 25 -'!H12,'- 26 -'!B12)</f>
        <v>1165356</v>
      </c>
      <c r="E12" s="70">
        <f>D12/'- 3 -'!D12*100</f>
        <v>3.4386627576047801</v>
      </c>
      <c r="F12" s="20">
        <f>D12/'- 7 -'!E12</f>
        <v>547.97218186178395</v>
      </c>
      <c r="G12" s="20">
        <f>SUM('- 27 -'!B12,'- 27 -'!E12,'- 27 -'!H12,'- 28 -'!B12,'- 28 -'!E12)</f>
        <v>795380</v>
      </c>
      <c r="H12" s="70">
        <f>G12/'- 3 -'!D12*100</f>
        <v>2.3469597137215499</v>
      </c>
      <c r="I12" s="20">
        <f>G12/'- 7 -'!E12</f>
        <v>374.00254858534703</v>
      </c>
    </row>
    <row r="13" spans="1:9" ht="14.1" customHeight="1" x14ac:dyDescent="0.2">
      <c r="A13" s="284" t="s">
        <v>112</v>
      </c>
      <c r="B13" s="285">
        <f>SUM('- 24 -'!H13,'- 24 -'!F13,'- 24 -'!D13,'- 24 -'!B13)</f>
        <v>310961</v>
      </c>
      <c r="C13" s="291">
        <f>B13/'- 3 -'!D13*100</f>
        <v>0.30815975693273734</v>
      </c>
      <c r="D13" s="285">
        <f>SUM('- 25 -'!B13,'- 25 -'!E13,'- 25 -'!H13,'- 26 -'!B13)</f>
        <v>3164855</v>
      </c>
      <c r="E13" s="291">
        <f>D13/'- 3 -'!D13*100</f>
        <v>3.1363449034681468</v>
      </c>
      <c r="F13" s="285">
        <f>D13/'- 7 -'!E13</f>
        <v>369.51021599532982</v>
      </c>
      <c r="G13" s="285">
        <f>SUM('- 27 -'!B13,'- 27 -'!E13,'- 27 -'!H13,'- 28 -'!B13,'- 28 -'!E13)</f>
        <v>2998348</v>
      </c>
      <c r="H13" s="291">
        <f>G13/'- 3 -'!D13*100</f>
        <v>2.9713378554859262</v>
      </c>
      <c r="I13" s="285">
        <f>G13/'- 7 -'!E13</f>
        <v>350.06981903093987</v>
      </c>
    </row>
    <row r="14" spans="1:9" ht="14.1" customHeight="1" x14ac:dyDescent="0.2">
      <c r="A14" s="19" t="s">
        <v>359</v>
      </c>
      <c r="B14" s="20">
        <f>SUM('- 24 -'!H14,'- 24 -'!F14,'- 24 -'!D14,'- 24 -'!B14)</f>
        <v>1245216</v>
      </c>
      <c r="C14" s="70">
        <f>B14/'- 3 -'!D14*100</f>
        <v>1.3639282653490317</v>
      </c>
      <c r="D14" s="20">
        <f>SUM('- 25 -'!B14,'- 25 -'!E14,'- 25 -'!H14,'- 26 -'!B14)</f>
        <v>3338120</v>
      </c>
      <c r="E14" s="70">
        <f>D14/'- 3 -'!D14*100</f>
        <v>3.656358592506769</v>
      </c>
      <c r="F14" s="20">
        <f>D14/'- 7 -'!E14</f>
        <v>617.14180070253281</v>
      </c>
      <c r="G14" s="20">
        <f>SUM('- 27 -'!B14,'- 27 -'!E14,'- 27 -'!H14,'- 28 -'!B14,'- 28 -'!E14)</f>
        <v>3275290</v>
      </c>
      <c r="H14" s="70">
        <f>G14/'- 3 -'!D14*100</f>
        <v>3.5875387147410809</v>
      </c>
      <c r="I14" s="20">
        <f>G14/'- 7 -'!E14</f>
        <v>605.52597522647443</v>
      </c>
    </row>
    <row r="15" spans="1:9" ht="14.1" customHeight="1" x14ac:dyDescent="0.2">
      <c r="A15" s="284" t="s">
        <v>113</v>
      </c>
      <c r="B15" s="285">
        <f>SUM('- 24 -'!H15,'- 24 -'!F15,'- 24 -'!D15,'- 24 -'!B15)</f>
        <v>67158</v>
      </c>
      <c r="C15" s="291">
        <f>B15/'- 3 -'!D15*100</f>
        <v>0.33157090938498529</v>
      </c>
      <c r="D15" s="285">
        <f>SUM('- 25 -'!B15,'- 25 -'!E15,'- 25 -'!H15,'- 26 -'!B15)</f>
        <v>825048</v>
      </c>
      <c r="E15" s="291">
        <f>D15/'- 3 -'!D15*100</f>
        <v>4.0734077197990315</v>
      </c>
      <c r="F15" s="285">
        <f>D15/'- 7 -'!E15</f>
        <v>584.14613423959213</v>
      </c>
      <c r="G15" s="285">
        <f>SUM('- 27 -'!B15,'- 27 -'!E15,'- 27 -'!H15,'- 28 -'!B15,'- 28 -'!E15)</f>
        <v>550453</v>
      </c>
      <c r="H15" s="291">
        <f>G15/'- 3 -'!D15*100</f>
        <v>2.717683697901863</v>
      </c>
      <c r="I15" s="285">
        <f>G15/'- 7 -'!E15</f>
        <v>389.72883035967146</v>
      </c>
    </row>
    <row r="16" spans="1:9" ht="14.1" customHeight="1" x14ac:dyDescent="0.2">
      <c r="A16" s="19" t="s">
        <v>114</v>
      </c>
      <c r="B16" s="20">
        <f>SUM('- 24 -'!H16,'- 24 -'!F16,'- 24 -'!D16,'- 24 -'!B16)</f>
        <v>8840</v>
      </c>
      <c r="C16" s="70">
        <f>B16/'- 3 -'!D16*100</f>
        <v>5.8792450942887257E-2</v>
      </c>
      <c r="D16" s="20">
        <f>SUM('- 25 -'!B16,'- 25 -'!E16,'- 25 -'!H16,'- 26 -'!B16)</f>
        <v>660764</v>
      </c>
      <c r="E16" s="70">
        <f>D16/'- 3 -'!D16*100</f>
        <v>4.3945627890074608</v>
      </c>
      <c r="F16" s="20">
        <f>D16/'- 7 -'!E16</f>
        <v>731.01449275362324</v>
      </c>
      <c r="G16" s="20">
        <f>SUM('- 27 -'!B16,'- 27 -'!E16,'- 27 -'!H16,'- 28 -'!B16,'- 28 -'!E16)</f>
        <v>347608</v>
      </c>
      <c r="H16" s="70">
        <f>G16/'- 3 -'!D16*100</f>
        <v>2.3118468650854247</v>
      </c>
      <c r="I16" s="20">
        <f>G16/'- 7 -'!E16</f>
        <v>384.56466423276913</v>
      </c>
    </row>
    <row r="17" spans="1:9" ht="14.1" customHeight="1" x14ac:dyDescent="0.2">
      <c r="A17" s="284" t="s">
        <v>115</v>
      </c>
      <c r="B17" s="285">
        <f>SUM('- 24 -'!H17,'- 24 -'!F17,'- 24 -'!D17,'- 24 -'!B17)</f>
        <v>283796</v>
      </c>
      <c r="C17" s="291">
        <f>B17/'- 3 -'!D17*100</f>
        <v>1.5429016985967008</v>
      </c>
      <c r="D17" s="285">
        <f>SUM('- 25 -'!B17,'- 25 -'!E17,'- 25 -'!H17,'- 26 -'!B17)</f>
        <v>705762</v>
      </c>
      <c r="E17" s="291">
        <f>D17/'- 3 -'!D17*100</f>
        <v>3.8369863867179408</v>
      </c>
      <c r="F17" s="285">
        <f>D17/'- 7 -'!E17</f>
        <v>492.68836077508394</v>
      </c>
      <c r="G17" s="285">
        <f>SUM('- 27 -'!B17,'- 27 -'!E17,'- 27 -'!H17,'- 28 -'!B17,'- 28 -'!E17)</f>
        <v>413165</v>
      </c>
      <c r="H17" s="291">
        <f>G17/'- 3 -'!D17*100</f>
        <v>2.2462366640146652</v>
      </c>
      <c r="I17" s="285">
        <f>G17/'- 7 -'!E17</f>
        <v>288.4280913107217</v>
      </c>
    </row>
    <row r="18" spans="1:9" ht="14.1" customHeight="1" x14ac:dyDescent="0.2">
      <c r="A18" s="19" t="s">
        <v>116</v>
      </c>
      <c r="B18" s="20">
        <f>SUM('- 24 -'!H18,'- 24 -'!F18,'- 24 -'!D18,'- 24 -'!B18)</f>
        <v>2479833</v>
      </c>
      <c r="C18" s="70">
        <f>B18/'- 3 -'!D18*100</f>
        <v>1.8436084451993306</v>
      </c>
      <c r="D18" s="20">
        <f>SUM('- 25 -'!B18,'- 25 -'!E18,'- 25 -'!H18,'- 26 -'!B18)</f>
        <v>7192705</v>
      </c>
      <c r="E18" s="70">
        <f>D18/'- 3 -'!D18*100</f>
        <v>5.3473486649413298</v>
      </c>
      <c r="F18" s="20">
        <f>D18/'- 7 -'!E18</f>
        <v>1199.3838585959647</v>
      </c>
      <c r="G18" s="20">
        <f>SUM('- 27 -'!B18,'- 27 -'!E18,'- 27 -'!H18,'- 28 -'!B18,'- 28 -'!E18)</f>
        <v>7624666</v>
      </c>
      <c r="H18" s="70">
        <f>G18/'- 3 -'!D18*100</f>
        <v>5.6684859945908457</v>
      </c>
      <c r="I18" s="20">
        <f>G18/'- 7 -'!E18</f>
        <v>1271.4133733533433</v>
      </c>
    </row>
    <row r="19" spans="1:9" ht="14.1" customHeight="1" x14ac:dyDescent="0.2">
      <c r="A19" s="284" t="s">
        <v>117</v>
      </c>
      <c r="B19" s="285">
        <f>SUM('- 24 -'!H19,'- 24 -'!F19,'- 24 -'!D19,'- 24 -'!B19)</f>
        <v>72642</v>
      </c>
      <c r="C19" s="291">
        <f>B19/'- 3 -'!D19*100</f>
        <v>0.14499908549694362</v>
      </c>
      <c r="D19" s="285">
        <f>SUM('- 25 -'!B19,'- 25 -'!E19,'- 25 -'!H19,'- 26 -'!B19)</f>
        <v>1397883</v>
      </c>
      <c r="E19" s="291">
        <f>D19/'- 3 -'!D19*100</f>
        <v>2.7902832608095047</v>
      </c>
      <c r="F19" s="285">
        <f>D19/'- 7 -'!E19</f>
        <v>316.65715256540943</v>
      </c>
      <c r="G19" s="285">
        <f>SUM('- 27 -'!B19,'- 27 -'!E19,'- 27 -'!H19,'- 28 -'!B19,'- 28 -'!E19)</f>
        <v>1673368</v>
      </c>
      <c r="H19" s="291">
        <f>G19/'- 3 -'!D19*100</f>
        <v>3.3401727609351282</v>
      </c>
      <c r="I19" s="285">
        <f>G19/'- 7 -'!E19</f>
        <v>379.06172839506172</v>
      </c>
    </row>
    <row r="20" spans="1:9" ht="14.1" customHeight="1" x14ac:dyDescent="0.2">
      <c r="A20" s="19" t="s">
        <v>118</v>
      </c>
      <c r="B20" s="20">
        <f>SUM('- 24 -'!H20,'- 24 -'!F20,'- 24 -'!D20,'- 24 -'!B20)</f>
        <v>190777</v>
      </c>
      <c r="C20" s="70">
        <f>B20/'- 3 -'!D20*100</f>
        <v>0.21823372971209726</v>
      </c>
      <c r="D20" s="20">
        <f>SUM('- 25 -'!B20,'- 25 -'!E20,'- 25 -'!H20,'- 26 -'!B20)</f>
        <v>2352879</v>
      </c>
      <c r="E20" s="70">
        <f>D20/'- 3 -'!D20*100</f>
        <v>2.6915066267488732</v>
      </c>
      <c r="F20" s="20">
        <f>D20/'- 7 -'!E20</f>
        <v>298.53187844953374</v>
      </c>
      <c r="G20" s="20">
        <f>SUM('- 27 -'!B20,'- 27 -'!E20,'- 27 -'!H20,'- 28 -'!B20,'- 28 -'!E20)</f>
        <v>2622663</v>
      </c>
      <c r="H20" s="70">
        <f>G20/'- 3 -'!D20*100</f>
        <v>3.0001180869178055</v>
      </c>
      <c r="I20" s="20">
        <f>G20/'- 7 -'!E20</f>
        <v>332.76191080378101</v>
      </c>
    </row>
    <row r="21" spans="1:9" ht="14.1" customHeight="1" x14ac:dyDescent="0.2">
      <c r="A21" s="284" t="s">
        <v>119</v>
      </c>
      <c r="B21" s="285">
        <f>SUM('- 24 -'!H21,'- 24 -'!F21,'- 24 -'!D21,'- 24 -'!B21)</f>
        <v>284851</v>
      </c>
      <c r="C21" s="291">
        <f>B21/'- 3 -'!D21*100</f>
        <v>0.76470407894972092</v>
      </c>
      <c r="D21" s="285">
        <f>SUM('- 25 -'!B21,'- 25 -'!E21,'- 25 -'!H21,'- 26 -'!B21)</f>
        <v>1265516</v>
      </c>
      <c r="E21" s="291">
        <f>D21/'- 3 -'!D21*100</f>
        <v>3.3973735292350566</v>
      </c>
      <c r="F21" s="285">
        <f>D21/'- 7 -'!E21</f>
        <v>445.32197902737698</v>
      </c>
      <c r="G21" s="285">
        <f>SUM('- 27 -'!B21,'- 27 -'!E21,'- 27 -'!H21,'- 28 -'!B21,'- 28 -'!E21)</f>
        <v>1092578</v>
      </c>
      <c r="H21" s="291">
        <f>G21/'- 3 -'!D21*100</f>
        <v>2.9331083730467093</v>
      </c>
      <c r="I21" s="285">
        <f>G21/'- 7 -'!E21</f>
        <v>384.46688718417903</v>
      </c>
    </row>
    <row r="22" spans="1:9" ht="14.1" customHeight="1" x14ac:dyDescent="0.2">
      <c r="A22" s="19" t="s">
        <v>120</v>
      </c>
      <c r="B22" s="20">
        <f>SUM('- 24 -'!H22,'- 24 -'!F22,'- 24 -'!D22,'- 24 -'!B22)</f>
        <v>61035</v>
      </c>
      <c r="C22" s="70">
        <f>B22/'- 3 -'!D22*100</f>
        <v>0.29102266944292488</v>
      </c>
      <c r="D22" s="20">
        <f>SUM('- 25 -'!B22,'- 25 -'!E22,'- 25 -'!H22,'- 26 -'!B22)</f>
        <v>795424</v>
      </c>
      <c r="E22" s="70">
        <f>D22/'- 3 -'!D22*100</f>
        <v>3.7926831460468429</v>
      </c>
      <c r="F22" s="20">
        <f>D22/'- 7 -'!E22</f>
        <v>541.62059103908484</v>
      </c>
      <c r="G22" s="20">
        <f>SUM('- 27 -'!B22,'- 27 -'!E22,'- 27 -'!H22,'- 28 -'!B22,'- 28 -'!E22)</f>
        <v>431535</v>
      </c>
      <c r="H22" s="70">
        <f>G22/'- 3 -'!D22*100</f>
        <v>2.0576139536012548</v>
      </c>
      <c r="I22" s="20">
        <f>G22/'- 7 -'!E22</f>
        <v>293.84107313087299</v>
      </c>
    </row>
    <row r="23" spans="1:9" ht="14.1" customHeight="1" x14ac:dyDescent="0.2">
      <c r="A23" s="284" t="s">
        <v>121</v>
      </c>
      <c r="B23" s="285">
        <f>SUM('- 24 -'!H23,'- 24 -'!F23,'- 24 -'!D23,'- 24 -'!B23)</f>
        <v>294185</v>
      </c>
      <c r="C23" s="291">
        <f>B23/'- 3 -'!D23*100</f>
        <v>1.842513436722689</v>
      </c>
      <c r="D23" s="285">
        <f>SUM('- 25 -'!B23,'- 25 -'!E23,'- 25 -'!H23,'- 26 -'!B23)</f>
        <v>659792</v>
      </c>
      <c r="E23" s="291">
        <f>D23/'- 3 -'!D23*100</f>
        <v>4.1323508181659045</v>
      </c>
      <c r="F23" s="285">
        <f>D23/'- 7 -'!E23</f>
        <v>686.21112844513777</v>
      </c>
      <c r="G23" s="285">
        <f>SUM('- 27 -'!B23,'- 27 -'!E23,'- 27 -'!H23,'- 28 -'!B23,'- 28 -'!E23)</f>
        <v>439864</v>
      </c>
      <c r="H23" s="291">
        <f>G23/'- 3 -'!D23*100</f>
        <v>2.7549172470744225</v>
      </c>
      <c r="I23" s="285">
        <f>G23/'- 7 -'!E23</f>
        <v>457.47685907436295</v>
      </c>
    </row>
    <row r="24" spans="1:9" ht="14.1" customHeight="1" x14ac:dyDescent="0.2">
      <c r="A24" s="19" t="s">
        <v>122</v>
      </c>
      <c r="B24" s="20">
        <f>SUM('- 24 -'!H24,'- 24 -'!F24,'- 24 -'!D24,'- 24 -'!B24)</f>
        <v>517518</v>
      </c>
      <c r="C24" s="70">
        <f>B24/'- 3 -'!D24*100</f>
        <v>0.89370996167525052</v>
      </c>
      <c r="D24" s="20">
        <f>SUM('- 25 -'!B24,'- 25 -'!E24,'- 25 -'!H24,'- 26 -'!B24)</f>
        <v>1932713</v>
      </c>
      <c r="E24" s="70">
        <f>D24/'- 3 -'!D24*100</f>
        <v>3.3376324324163771</v>
      </c>
      <c r="F24" s="20">
        <f>D24/'- 7 -'!E24</f>
        <v>504.67751201169835</v>
      </c>
      <c r="G24" s="20">
        <f>SUM('- 27 -'!B24,'- 27 -'!E24,'- 27 -'!H24,'- 28 -'!B24,'- 28 -'!E24)</f>
        <v>1446143</v>
      </c>
      <c r="H24" s="70">
        <f>G24/'- 3 -'!D24*100</f>
        <v>2.4973670579707985</v>
      </c>
      <c r="I24" s="20">
        <f>G24/'- 7 -'!E24</f>
        <v>377.6224670983915</v>
      </c>
    </row>
    <row r="25" spans="1:9" ht="14.1" customHeight="1" x14ac:dyDescent="0.2">
      <c r="A25" s="284" t="s">
        <v>123</v>
      </c>
      <c r="B25" s="285">
        <f>SUM('- 24 -'!H25,'- 24 -'!F25,'- 24 -'!D25,'- 24 -'!B25)</f>
        <v>2550895</v>
      </c>
      <c r="C25" s="291">
        <f>B25/'- 3 -'!D25*100</f>
        <v>1.3129204825364096</v>
      </c>
      <c r="D25" s="285">
        <f>SUM('- 25 -'!B25,'- 25 -'!E25,'- 25 -'!H25,'- 26 -'!B25)</f>
        <v>8669657</v>
      </c>
      <c r="E25" s="291">
        <f>D25/'- 3 -'!D25*100</f>
        <v>4.4621868998391383</v>
      </c>
      <c r="F25" s="285">
        <f>D25/'- 7 -'!E25</f>
        <v>582.57168199869636</v>
      </c>
      <c r="G25" s="285">
        <f>SUM('- 27 -'!B25,'- 27 -'!E25,'- 27 -'!H25,'- 28 -'!B25,'- 28 -'!E25)</f>
        <v>9229203</v>
      </c>
      <c r="H25" s="291">
        <f>G25/'- 3 -'!D25*100</f>
        <v>4.7501797040593505</v>
      </c>
      <c r="I25" s="285">
        <f>G25/'- 7 -'!E25</f>
        <v>620.17128419468202</v>
      </c>
    </row>
    <row r="26" spans="1:9" ht="14.1" customHeight="1" x14ac:dyDescent="0.2">
      <c r="A26" s="19" t="s">
        <v>124</v>
      </c>
      <c r="B26" s="20">
        <f>SUM('- 24 -'!H26,'- 24 -'!F26,'- 24 -'!D26,'- 24 -'!B26)</f>
        <v>91243</v>
      </c>
      <c r="C26" s="70">
        <f>B26/'- 3 -'!D26*100</f>
        <v>0.2229108680964155</v>
      </c>
      <c r="D26" s="20">
        <f>SUM('- 25 -'!B26,'- 25 -'!E26,'- 25 -'!H26,'- 26 -'!B26)</f>
        <v>1407068</v>
      </c>
      <c r="E26" s="70">
        <f>D26/'- 3 -'!D26*100</f>
        <v>3.4375321871342153</v>
      </c>
      <c r="F26" s="20">
        <f>D26/'- 7 -'!E26</f>
        <v>468.86637787404197</v>
      </c>
      <c r="G26" s="20">
        <f>SUM('- 27 -'!B26,'- 27 -'!E26,'- 27 -'!H26,'- 28 -'!B26,'- 28 -'!E26)</f>
        <v>1550776</v>
      </c>
      <c r="H26" s="70">
        <f>G26/'- 3 -'!D26*100</f>
        <v>3.7886174762237852</v>
      </c>
      <c r="I26" s="20">
        <f>G26/'- 7 -'!E26</f>
        <v>516.75308230589803</v>
      </c>
    </row>
    <row r="27" spans="1:9" ht="14.1" customHeight="1" x14ac:dyDescent="0.2">
      <c r="A27" s="284" t="s">
        <v>125</v>
      </c>
      <c r="B27" s="285">
        <f>SUM('- 24 -'!H27,'- 24 -'!F27,'- 24 -'!D27,'- 24 -'!B27)</f>
        <v>1638</v>
      </c>
      <c r="C27" s="291">
        <f>B27/'- 3 -'!D27*100</f>
        <v>3.9727771147859007E-3</v>
      </c>
      <c r="D27" s="285">
        <f>SUM('- 25 -'!B27,'- 25 -'!E27,'- 25 -'!H27,'- 26 -'!B27)</f>
        <v>1702894</v>
      </c>
      <c r="E27" s="291">
        <f>D27/'- 3 -'!D27*100</f>
        <v>4.1301699097107578</v>
      </c>
      <c r="F27" s="285">
        <f>D27/'- 7 -'!E27</f>
        <v>573.10255236659305</v>
      </c>
      <c r="G27" s="285">
        <f>SUM('- 27 -'!B27,'- 27 -'!E27,'- 27 -'!H27,'- 28 -'!B27,'- 28 -'!E27)</f>
        <v>1450098</v>
      </c>
      <c r="H27" s="291">
        <f>G27/'- 3 -'!D27*100</f>
        <v>3.517042825761175</v>
      </c>
      <c r="I27" s="285">
        <f>G27/'- 7 -'!E27</f>
        <v>488.0250121156642</v>
      </c>
    </row>
    <row r="28" spans="1:9" ht="14.1" customHeight="1" x14ac:dyDescent="0.2">
      <c r="A28" s="19" t="s">
        <v>126</v>
      </c>
      <c r="B28" s="20">
        <f>SUM('- 24 -'!H28,'- 24 -'!F28,'- 24 -'!D28,'- 24 -'!B28)</f>
        <v>119057</v>
      </c>
      <c r="C28" s="70">
        <f>B28/'- 3 -'!D28*100</f>
        <v>0.40961244889907772</v>
      </c>
      <c r="D28" s="20">
        <f>SUM('- 25 -'!B28,'- 25 -'!E28,'- 25 -'!H28,'- 26 -'!B28)</f>
        <v>1143954</v>
      </c>
      <c r="E28" s="70">
        <f>D28/'- 3 -'!D28*100</f>
        <v>3.9357433781121278</v>
      </c>
      <c r="F28" s="20">
        <f>D28/'- 7 -'!E28</f>
        <v>580.68730964466999</v>
      </c>
      <c r="G28" s="20">
        <f>SUM('- 27 -'!B28,'- 27 -'!E28,'- 27 -'!H28,'- 28 -'!B28,'- 28 -'!E28)</f>
        <v>786295</v>
      </c>
      <c r="H28" s="70">
        <f>G28/'- 3 -'!D28*100</f>
        <v>2.7052270803657099</v>
      </c>
      <c r="I28" s="20">
        <f>G28/'- 7 -'!E28</f>
        <v>399.13451776649748</v>
      </c>
    </row>
    <row r="29" spans="1:9" ht="14.1" customHeight="1" x14ac:dyDescent="0.2">
      <c r="A29" s="284" t="s">
        <v>127</v>
      </c>
      <c r="B29" s="285">
        <f>SUM('- 24 -'!H29,'- 24 -'!F29,'- 24 -'!D29,'- 24 -'!B29)</f>
        <v>1093588</v>
      </c>
      <c r="C29" s="291">
        <f>B29/'- 3 -'!D29*100</f>
        <v>0.65601900230040477</v>
      </c>
      <c r="D29" s="285">
        <f>SUM('- 25 -'!B29,'- 25 -'!E29,'- 25 -'!H29,'- 26 -'!B29)</f>
        <v>5983763</v>
      </c>
      <c r="E29" s="291">
        <f>D29/'- 3 -'!D29*100</f>
        <v>3.5895257018749995</v>
      </c>
      <c r="F29" s="285">
        <f>D29/'- 7 -'!E29</f>
        <v>431.33991710218055</v>
      </c>
      <c r="G29" s="285">
        <f>SUM('- 27 -'!B29,'- 27 -'!E29,'- 27 -'!H29,'- 28 -'!B29,'- 28 -'!E29)</f>
        <v>6598325</v>
      </c>
      <c r="H29" s="291">
        <f>G29/'- 3 -'!D29*100</f>
        <v>3.9581877117834305</v>
      </c>
      <c r="I29" s="285">
        <f>G29/'- 7 -'!E29</f>
        <v>475.64065597404937</v>
      </c>
    </row>
    <row r="30" spans="1:9" ht="14.1" customHeight="1" x14ac:dyDescent="0.2">
      <c r="A30" s="19" t="s">
        <v>128</v>
      </c>
      <c r="B30" s="20">
        <f>SUM('- 24 -'!H30,'- 24 -'!F30,'- 24 -'!D30,'- 24 -'!B30)</f>
        <v>15953</v>
      </c>
      <c r="C30" s="70">
        <f>B30/'- 3 -'!D30*100</f>
        <v>0.10349721051240493</v>
      </c>
      <c r="D30" s="20">
        <f>SUM('- 25 -'!B30,'- 25 -'!E30,'- 25 -'!H30,'- 26 -'!B30)</f>
        <v>579246</v>
      </c>
      <c r="E30" s="70">
        <f>D30/'- 3 -'!D30*100</f>
        <v>3.7579355105916452</v>
      </c>
      <c r="F30" s="20">
        <f>D30/'- 7 -'!E30</f>
        <v>565.94626282364436</v>
      </c>
      <c r="G30" s="20">
        <f>SUM('- 27 -'!B30,'- 27 -'!E30,'- 27 -'!H30,'- 28 -'!B30,'- 28 -'!E30)</f>
        <v>591646</v>
      </c>
      <c r="H30" s="70">
        <f>G30/'- 3 -'!D30*100</f>
        <v>3.8383821607736688</v>
      </c>
      <c r="I30" s="20">
        <f>G30/'- 7 -'!E30</f>
        <v>578.06155349291646</v>
      </c>
    </row>
    <row r="31" spans="1:9" ht="14.1" customHeight="1" x14ac:dyDescent="0.2">
      <c r="A31" s="284" t="s">
        <v>129</v>
      </c>
      <c r="B31" s="285">
        <f>SUM('- 24 -'!H31,'- 24 -'!F31,'- 24 -'!D31,'- 24 -'!B31)</f>
        <v>59729</v>
      </c>
      <c r="C31" s="291">
        <f>B31/'- 3 -'!D31*100</f>
        <v>0.15415028658032318</v>
      </c>
      <c r="D31" s="285">
        <f>SUM('- 25 -'!B31,'- 25 -'!E31,'- 25 -'!H31,'- 26 -'!B31)</f>
        <v>1357504</v>
      </c>
      <c r="E31" s="291">
        <f>D31/'- 3 -'!D31*100</f>
        <v>3.5034845825969803</v>
      </c>
      <c r="F31" s="285">
        <f>D31/'- 7 -'!E31</f>
        <v>406.13433059087509</v>
      </c>
      <c r="G31" s="285">
        <f>SUM('- 27 -'!B31,'- 27 -'!E31,'- 27 -'!H31,'- 28 -'!B31,'- 28 -'!E31)</f>
        <v>1261343</v>
      </c>
      <c r="H31" s="291">
        <f>G31/'- 3 -'!D31*100</f>
        <v>3.2553095636304734</v>
      </c>
      <c r="I31" s="285">
        <f>G31/'- 7 -'!E31</f>
        <v>377.36514584891546</v>
      </c>
    </row>
    <row r="32" spans="1:9" ht="14.1" customHeight="1" x14ac:dyDescent="0.2">
      <c r="A32" s="19" t="s">
        <v>130</v>
      </c>
      <c r="B32" s="20">
        <f>SUM('- 24 -'!H32,'- 24 -'!F32,'- 24 -'!D32,'- 24 -'!B32)</f>
        <v>34543</v>
      </c>
      <c r="C32" s="70">
        <f>B32/'- 3 -'!D32*100</f>
        <v>0.1148386663515028</v>
      </c>
      <c r="D32" s="20">
        <f>SUM('- 25 -'!B32,'- 25 -'!E32,'- 25 -'!H32,'- 26 -'!B32)</f>
        <v>1133022</v>
      </c>
      <c r="E32" s="70">
        <f>D32/'- 3 -'!D32*100</f>
        <v>3.7667468206847237</v>
      </c>
      <c r="F32" s="20">
        <f>D32/'- 7 -'!E32</f>
        <v>508.88030541208173</v>
      </c>
      <c r="G32" s="20">
        <f>SUM('- 27 -'!B32,'- 27 -'!E32,'- 27 -'!H32,'- 28 -'!B32,'- 28 -'!E32)</f>
        <v>1012518</v>
      </c>
      <c r="H32" s="70">
        <f>G32/'- 3 -'!D32*100</f>
        <v>3.3661296580172797</v>
      </c>
      <c r="I32" s="20">
        <f>G32/'- 7 -'!E32</f>
        <v>454.75769144397037</v>
      </c>
    </row>
    <row r="33" spans="1:9" ht="14.1" customHeight="1" x14ac:dyDescent="0.2">
      <c r="A33" s="284" t="s">
        <v>131</v>
      </c>
      <c r="B33" s="285">
        <f>SUM('- 24 -'!H33,'- 24 -'!F33,'- 24 -'!D33,'- 24 -'!B33)</f>
        <v>27887</v>
      </c>
      <c r="C33" s="291">
        <f>B33/'- 3 -'!D33*100</f>
        <v>9.951054741506124E-2</v>
      </c>
      <c r="D33" s="285">
        <f>SUM('- 25 -'!B33,'- 25 -'!E33,'- 25 -'!H33,'- 26 -'!B33)</f>
        <v>875657</v>
      </c>
      <c r="E33" s="291">
        <f>D33/'- 3 -'!D33*100</f>
        <v>3.1246497442475092</v>
      </c>
      <c r="F33" s="285">
        <f>D33/'- 7 -'!E33</f>
        <v>427.52514402890347</v>
      </c>
      <c r="G33" s="285">
        <f>SUM('- 27 -'!B33,'- 27 -'!E33,'- 27 -'!H33,'- 28 -'!B33,'- 28 -'!E33)</f>
        <v>722128</v>
      </c>
      <c r="H33" s="291">
        <f>G33/'- 3 -'!D33*100</f>
        <v>2.5768046969463674</v>
      </c>
      <c r="I33" s="285">
        <f>G33/'- 7 -'!E33</f>
        <v>352.5671321160043</v>
      </c>
    </row>
    <row r="34" spans="1:9" ht="14.1" customHeight="1" x14ac:dyDescent="0.2">
      <c r="A34" s="19" t="s">
        <v>132</v>
      </c>
      <c r="B34" s="20">
        <f>SUM('- 24 -'!H34,'- 24 -'!F34,'- 24 -'!D34,'- 24 -'!B34)</f>
        <v>56424</v>
      </c>
      <c r="C34" s="70">
        <f>B34/'- 3 -'!D34*100</f>
        <v>0.18341957754983901</v>
      </c>
      <c r="D34" s="20">
        <f>SUM('- 25 -'!B34,'- 25 -'!E34,'- 25 -'!H34,'- 26 -'!B34)</f>
        <v>1114986</v>
      </c>
      <c r="E34" s="70">
        <f>D34/'- 3 -'!D34*100</f>
        <v>3.6245261075780659</v>
      </c>
      <c r="F34" s="20">
        <f>D34/'- 7 -'!E34</f>
        <v>510.99735102979861</v>
      </c>
      <c r="G34" s="20">
        <f>SUM('- 27 -'!B34,'- 27 -'!E34,'- 27 -'!H34,'- 28 -'!B34,'- 28 -'!E34)</f>
        <v>815916</v>
      </c>
      <c r="H34" s="70">
        <f>G34/'- 3 -'!D34*100</f>
        <v>2.6523282297631225</v>
      </c>
      <c r="I34" s="20">
        <f>G34/'- 7 -'!E34</f>
        <v>373.93376657897875</v>
      </c>
    </row>
    <row r="35" spans="1:9" ht="14.1" customHeight="1" x14ac:dyDescent="0.2">
      <c r="A35" s="284" t="s">
        <v>133</v>
      </c>
      <c r="B35" s="285">
        <f>SUM('- 24 -'!H35,'- 24 -'!F35,'- 24 -'!D35,'- 24 -'!B35)</f>
        <v>1458292</v>
      </c>
      <c r="C35" s="291">
        <f>B35/'- 3 -'!D35*100</f>
        <v>0.75617266594162258</v>
      </c>
      <c r="D35" s="285">
        <f>SUM('- 25 -'!B35,'- 25 -'!E35,'- 25 -'!H35,'- 26 -'!B35)</f>
        <v>6044417</v>
      </c>
      <c r="E35" s="291">
        <f>D35/'- 3 -'!D35*100</f>
        <v>3.1342302618082423</v>
      </c>
      <c r="F35" s="285">
        <f>D35/'- 7 -'!E35</f>
        <v>376.24755680049799</v>
      </c>
      <c r="G35" s="285">
        <f>SUM('- 27 -'!B35,'- 27 -'!E35,'- 27 -'!H35,'- 28 -'!B35,'- 28 -'!E35)</f>
        <v>7740660</v>
      </c>
      <c r="H35" s="291">
        <f>G35/'- 3 -'!D35*100</f>
        <v>4.0137883965266772</v>
      </c>
      <c r="I35" s="285">
        <f>G35/'- 7 -'!E35</f>
        <v>481.83380018674137</v>
      </c>
    </row>
    <row r="36" spans="1:9" ht="14.1" customHeight="1" x14ac:dyDescent="0.2">
      <c r="A36" s="19" t="s">
        <v>134</v>
      </c>
      <c r="B36" s="20">
        <f>SUM('- 24 -'!H36,'- 24 -'!F36,'- 24 -'!D36,'- 24 -'!B36)</f>
        <v>29420</v>
      </c>
      <c r="C36" s="70">
        <f>B36/'- 3 -'!D36*100</f>
        <v>0.12249033254834601</v>
      </c>
      <c r="D36" s="20">
        <f>SUM('- 25 -'!B36,'- 25 -'!E36,'- 25 -'!H36,'- 26 -'!B36)</f>
        <v>879345</v>
      </c>
      <c r="E36" s="70">
        <f>D36/'- 3 -'!D36*100</f>
        <v>3.6611577659661902</v>
      </c>
      <c r="F36" s="20">
        <f>D36/'- 7 -'!E36</f>
        <v>523.73138773079211</v>
      </c>
      <c r="G36" s="20">
        <f>SUM('- 27 -'!B36,'- 27 -'!E36,'- 27 -'!H36,'- 28 -'!B36,'- 28 -'!E36)</f>
        <v>525492</v>
      </c>
      <c r="H36" s="70">
        <f>G36/'- 3 -'!D36*100</f>
        <v>2.1878888453941348</v>
      </c>
      <c r="I36" s="20">
        <f>G36/'- 7 -'!E36</f>
        <v>312.9791542584872</v>
      </c>
    </row>
    <row r="37" spans="1:9" ht="14.1" customHeight="1" x14ac:dyDescent="0.2">
      <c r="A37" s="284" t="s">
        <v>135</v>
      </c>
      <c r="B37" s="285">
        <f>SUM('- 24 -'!H37,'- 24 -'!F37,'- 24 -'!D37,'- 24 -'!B37)</f>
        <v>446316</v>
      </c>
      <c r="C37" s="291">
        <f>B37/'- 3 -'!D37*100</f>
        <v>0.8320051337518215</v>
      </c>
      <c r="D37" s="285">
        <f>SUM('- 25 -'!B37,'- 25 -'!E37,'- 25 -'!H37,'- 26 -'!B37)</f>
        <v>1558875</v>
      </c>
      <c r="E37" s="291">
        <f>D37/'- 3 -'!D37*100</f>
        <v>2.9059948621097398</v>
      </c>
      <c r="F37" s="285">
        <f>D37/'- 7 -'!E37</f>
        <v>359.4362462531704</v>
      </c>
      <c r="G37" s="285">
        <f>SUM('- 27 -'!B37,'- 27 -'!E37,'- 27 -'!H37,'- 28 -'!B37,'- 28 -'!E37)</f>
        <v>2034089</v>
      </c>
      <c r="H37" s="291">
        <f>G37/'- 3 -'!D37*100</f>
        <v>3.7918705368127261</v>
      </c>
      <c r="I37" s="285">
        <f>G37/'- 7 -'!E37</f>
        <v>469.00830066866496</v>
      </c>
    </row>
    <row r="38" spans="1:9" ht="14.1" customHeight="1" x14ac:dyDescent="0.2">
      <c r="A38" s="19" t="s">
        <v>136</v>
      </c>
      <c r="B38" s="20">
        <f>SUM('- 24 -'!H38,'- 24 -'!F38,'- 24 -'!D38,'- 24 -'!B38)</f>
        <v>2269359</v>
      </c>
      <c r="C38" s="70">
        <f>B38/'- 3 -'!D38*100</f>
        <v>1.5734880050850637</v>
      </c>
      <c r="D38" s="20">
        <f>SUM('- 25 -'!B38,'- 25 -'!E38,'- 25 -'!H38,'- 26 -'!B38)</f>
        <v>4324746</v>
      </c>
      <c r="E38" s="70">
        <f>D38/'- 3 -'!D38*100</f>
        <v>2.9986158893500803</v>
      </c>
      <c r="F38" s="20">
        <f>D38/'- 7 -'!E38</f>
        <v>382.50762849031071</v>
      </c>
      <c r="G38" s="20">
        <f>SUM('- 27 -'!B38,'- 27 -'!E38,'- 27 -'!H38,'- 28 -'!B38,'- 28 -'!E38)</f>
        <v>5365888</v>
      </c>
      <c r="H38" s="70">
        <f>G38/'- 3 -'!D38*100</f>
        <v>3.7205045145478883</v>
      </c>
      <c r="I38" s="20">
        <f>G38/'- 7 -'!E38</f>
        <v>474.59274917523862</v>
      </c>
    </row>
    <row r="39" spans="1:9" ht="14.1" customHeight="1" x14ac:dyDescent="0.2">
      <c r="A39" s="284" t="s">
        <v>137</v>
      </c>
      <c r="B39" s="285">
        <f>SUM('- 24 -'!H39,'- 24 -'!F39,'- 24 -'!D39,'- 24 -'!B39)</f>
        <v>166421</v>
      </c>
      <c r="C39" s="291">
        <f>B39/'- 3 -'!D39*100</f>
        <v>0.74539762729204917</v>
      </c>
      <c r="D39" s="285">
        <f>SUM('- 25 -'!B39,'- 25 -'!E39,'- 25 -'!H39,'- 26 -'!B39)</f>
        <v>858896</v>
      </c>
      <c r="E39" s="291">
        <f>D39/'- 3 -'!D39*100</f>
        <v>3.8469846983892171</v>
      </c>
      <c r="F39" s="285">
        <f>D39/'- 7 -'!E39</f>
        <v>571.45442448436461</v>
      </c>
      <c r="G39" s="285">
        <f>SUM('- 27 -'!B39,'- 27 -'!E39,'- 27 -'!H39,'- 28 -'!B39,'- 28 -'!E39)</f>
        <v>444581</v>
      </c>
      <c r="H39" s="291">
        <f>G39/'- 3 -'!D39*100</f>
        <v>1.9912728714472725</v>
      </c>
      <c r="I39" s="285">
        <f>G39/'- 7 -'!E39</f>
        <v>295.79574184963406</v>
      </c>
    </row>
    <row r="40" spans="1:9" ht="14.1" customHeight="1" x14ac:dyDescent="0.2">
      <c r="A40" s="19" t="s">
        <v>138</v>
      </c>
      <c r="B40" s="20">
        <f>SUM('- 24 -'!H40,'- 24 -'!F40,'- 24 -'!D40,'- 24 -'!B40)</f>
        <v>949376</v>
      </c>
      <c r="C40" s="70">
        <f>B40/'- 3 -'!D40*100</f>
        <v>0.89027253362157865</v>
      </c>
      <c r="D40" s="20">
        <f>SUM('- 25 -'!B40,'- 25 -'!E40,'- 25 -'!H40,'- 26 -'!B40)</f>
        <v>3472171</v>
      </c>
      <c r="E40" s="70">
        <f>D40/'- 3 -'!D40*100</f>
        <v>3.2560107621610093</v>
      </c>
      <c r="F40" s="20">
        <f>D40/'- 7 -'!E40</f>
        <v>423.39676249123556</v>
      </c>
      <c r="G40" s="20">
        <f>SUM('- 27 -'!B40,'- 27 -'!E40,'- 27 -'!H40,'- 28 -'!B40,'- 28 -'!E40)</f>
        <v>3863671</v>
      </c>
      <c r="H40" s="70">
        <f>G40/'- 3 -'!D40*100</f>
        <v>3.6231379034757758</v>
      </c>
      <c r="I40" s="20">
        <f>G40/'- 7 -'!E40</f>
        <v>471.13629850928271</v>
      </c>
    </row>
    <row r="41" spans="1:9" ht="14.1" customHeight="1" x14ac:dyDescent="0.2">
      <c r="A41" s="284" t="s">
        <v>139</v>
      </c>
      <c r="B41" s="285">
        <f>SUM('- 24 -'!H41,'- 24 -'!F41,'- 24 -'!D41,'- 24 -'!B41)</f>
        <v>318412</v>
      </c>
      <c r="C41" s="291">
        <f>B41/'- 3 -'!D41*100</f>
        <v>0.48592712545961037</v>
      </c>
      <c r="D41" s="285">
        <f>SUM('- 25 -'!B41,'- 25 -'!E41,'- 25 -'!H41,'- 26 -'!B41)</f>
        <v>2188716</v>
      </c>
      <c r="E41" s="291">
        <f>D41/'- 3 -'!D41*100</f>
        <v>3.3401896735281857</v>
      </c>
      <c r="F41" s="285">
        <f>D41/'- 7 -'!E41</f>
        <v>491.57012914093207</v>
      </c>
      <c r="G41" s="285">
        <f>SUM('- 27 -'!B41,'- 27 -'!E41,'- 27 -'!H41,'- 28 -'!B41,'- 28 -'!E41)</f>
        <v>1606638</v>
      </c>
      <c r="H41" s="291">
        <f>G41/'- 3 -'!D41*100</f>
        <v>2.4518830477311706</v>
      </c>
      <c r="I41" s="285">
        <f>G41/'- 7 -'!E41</f>
        <v>360.83952835485684</v>
      </c>
    </row>
    <row r="42" spans="1:9" ht="14.1" customHeight="1" x14ac:dyDescent="0.2">
      <c r="A42" s="19" t="s">
        <v>140</v>
      </c>
      <c r="B42" s="20">
        <f>SUM('- 24 -'!H42,'- 24 -'!F42,'- 24 -'!D42,'- 24 -'!B42)</f>
        <v>38268</v>
      </c>
      <c r="C42" s="70">
        <f>B42/'- 3 -'!D42*100</f>
        <v>0.183512239544183</v>
      </c>
      <c r="D42" s="20">
        <f>SUM('- 25 -'!B42,'- 25 -'!E42,'- 25 -'!H42,'- 26 -'!B42)</f>
        <v>727357</v>
      </c>
      <c r="E42" s="70">
        <f>D42/'- 3 -'!D42*100</f>
        <v>3.488003345305172</v>
      </c>
      <c r="F42" s="20">
        <f>D42/'- 7 -'!E42</f>
        <v>526.11717902350813</v>
      </c>
      <c r="G42" s="20">
        <f>SUM('- 27 -'!B42,'- 27 -'!E42,'- 27 -'!H42,'- 28 -'!B42,'- 28 -'!E42)</f>
        <v>384726</v>
      </c>
      <c r="H42" s="70">
        <f>G42/'- 3 -'!D42*100</f>
        <v>1.8449338839467793</v>
      </c>
      <c r="I42" s="20">
        <f>G42/'- 7 -'!E42</f>
        <v>278.28282097649185</v>
      </c>
    </row>
    <row r="43" spans="1:9" ht="14.1" customHeight="1" x14ac:dyDescent="0.2">
      <c r="A43" s="284" t="s">
        <v>141</v>
      </c>
      <c r="B43" s="285">
        <f>SUM('- 24 -'!H43,'- 24 -'!F43,'- 24 -'!D43,'- 24 -'!B43)</f>
        <v>12592</v>
      </c>
      <c r="C43" s="291">
        <f>B43/'- 3 -'!D43*100</f>
        <v>9.143155220671198E-2</v>
      </c>
      <c r="D43" s="285">
        <f>SUM('- 25 -'!B43,'- 25 -'!E43,'- 25 -'!H43,'- 26 -'!B43)</f>
        <v>515887</v>
      </c>
      <c r="E43" s="291">
        <f>D43/'- 3 -'!D43*100</f>
        <v>3.7458981236709041</v>
      </c>
      <c r="F43" s="285">
        <f>D43/'- 7 -'!E43</f>
        <v>520.30963187090265</v>
      </c>
      <c r="G43" s="285">
        <f>SUM('- 27 -'!B43,'- 27 -'!E43,'- 27 -'!H43,'- 28 -'!B43,'- 28 -'!E43)</f>
        <v>452863</v>
      </c>
      <c r="H43" s="291">
        <f>G43/'- 3 -'!D43*100</f>
        <v>3.2882756533503974</v>
      </c>
      <c r="I43" s="285">
        <f>G43/'- 7 -'!E43</f>
        <v>456.74533535047908</v>
      </c>
    </row>
    <row r="44" spans="1:9" ht="14.1" customHeight="1" x14ac:dyDescent="0.2">
      <c r="A44" s="19" t="s">
        <v>142</v>
      </c>
      <c r="B44" s="20">
        <f>SUM('- 24 -'!H44,'- 24 -'!F44,'- 24 -'!D44,'- 24 -'!B44)</f>
        <v>25484</v>
      </c>
      <c r="C44" s="70">
        <f>B44/'- 3 -'!D44*100</f>
        <v>0.22863653797412989</v>
      </c>
      <c r="D44" s="20">
        <f>SUM('- 25 -'!B44,'- 25 -'!E44,'- 25 -'!H44,'- 26 -'!B44)</f>
        <v>379797</v>
      </c>
      <c r="E44" s="70">
        <f>D44/'- 3 -'!D44*100</f>
        <v>3.4074506048093167</v>
      </c>
      <c r="F44" s="20">
        <f>D44/'- 7 -'!E44</f>
        <v>534.92535211267602</v>
      </c>
      <c r="G44" s="20">
        <f>SUM('- 27 -'!B44,'- 27 -'!E44,'- 27 -'!H44,'- 28 -'!B44,'- 28 -'!E44)</f>
        <v>243848</v>
      </c>
      <c r="H44" s="70">
        <f>G44/'- 3 -'!D44*100</f>
        <v>2.1877477049095759</v>
      </c>
      <c r="I44" s="20">
        <f>G44/'- 7 -'!E44</f>
        <v>343.44788732394369</v>
      </c>
    </row>
    <row r="45" spans="1:9" ht="14.1" customHeight="1" x14ac:dyDescent="0.2">
      <c r="A45" s="284" t="s">
        <v>143</v>
      </c>
      <c r="B45" s="285">
        <f>SUM('- 24 -'!H45,'- 24 -'!F45,'- 24 -'!D45,'- 24 -'!B45)</f>
        <v>54633</v>
      </c>
      <c r="C45" s="291">
        <f>B45/'- 3 -'!D45*100</f>
        <v>0.26631422631654272</v>
      </c>
      <c r="D45" s="285">
        <f>SUM('- 25 -'!B45,'- 25 -'!E45,'- 25 -'!H45,'- 26 -'!B45)</f>
        <v>741365</v>
      </c>
      <c r="E45" s="291">
        <f>D45/'- 3 -'!D45*100</f>
        <v>3.6138606042714785</v>
      </c>
      <c r="F45" s="285">
        <f>D45/'- 7 -'!E45</f>
        <v>407.90371389270979</v>
      </c>
      <c r="G45" s="285">
        <f>SUM('- 27 -'!B45,'- 27 -'!E45,'- 27 -'!H45,'- 28 -'!B45,'- 28 -'!E45)</f>
        <v>481788</v>
      </c>
      <c r="H45" s="291">
        <f>G45/'- 3 -'!D45*100</f>
        <v>2.3485255883549225</v>
      </c>
      <c r="I45" s="285">
        <f>G45/'- 7 -'!E45</f>
        <v>265.08280605226958</v>
      </c>
    </row>
    <row r="46" spans="1:9" ht="14.1" customHeight="1" x14ac:dyDescent="0.2">
      <c r="A46" s="19" t="s">
        <v>144</v>
      </c>
      <c r="B46" s="20">
        <f>SUM('- 24 -'!H46,'- 24 -'!F46,'- 24 -'!D46,'- 24 -'!B46)</f>
        <v>9521931</v>
      </c>
      <c r="C46" s="70">
        <f>B46/'- 3 -'!D46*100</f>
        <v>2.3718931524188984</v>
      </c>
      <c r="D46" s="20">
        <f>SUM('- 25 -'!B46,'- 25 -'!E46,'- 25 -'!H46,'- 26 -'!B46)</f>
        <v>11076334</v>
      </c>
      <c r="E46" s="70">
        <f>D46/'- 3 -'!D46*100</f>
        <v>2.759091697734906</v>
      </c>
      <c r="F46" s="20">
        <f>D46/'- 7 -'!E46</f>
        <v>371.84503566932437</v>
      </c>
      <c r="G46" s="20">
        <f>SUM('- 27 -'!B46,'- 27 -'!E46,'- 27 -'!H46,'- 28 -'!B46,'- 28 -'!E46)</f>
        <v>8797916</v>
      </c>
      <c r="H46" s="70">
        <f>G46/'- 3 -'!D46*100</f>
        <v>2.1915425259809869</v>
      </c>
      <c r="I46" s="20">
        <f>G46/'- 7 -'!E46</f>
        <v>295.35597146454052</v>
      </c>
    </row>
    <row r="47" spans="1:9" ht="5.0999999999999996" customHeight="1" x14ac:dyDescent="0.2">
      <c r="A47"/>
      <c r="B47"/>
      <c r="C47"/>
      <c r="D47"/>
      <c r="E47"/>
      <c r="F47"/>
      <c r="G47"/>
      <c r="H47"/>
      <c r="I47"/>
    </row>
    <row r="48" spans="1:9" ht="14.1" customHeight="1" x14ac:dyDescent="0.2">
      <c r="A48" s="286" t="s">
        <v>145</v>
      </c>
      <c r="B48" s="287">
        <f>SUM(B11:B46)</f>
        <v>25250651</v>
      </c>
      <c r="C48" s="294">
        <f>B48/'- 3 -'!D48*100</f>
        <v>1.0537768307617112</v>
      </c>
      <c r="D48" s="287">
        <f>SUM(D11:D46)</f>
        <v>82838506</v>
      </c>
      <c r="E48" s="294">
        <f>D48/'- 3 -'!D48*100</f>
        <v>3.4570711985887015</v>
      </c>
      <c r="F48" s="287">
        <f>D48/'- 7 -'!E48</f>
        <v>463.27998268413103</v>
      </c>
      <c r="G48" s="287">
        <f>SUM(G11:G46)</f>
        <v>80239019</v>
      </c>
      <c r="H48" s="294">
        <f>G48/'- 3 -'!D48*100</f>
        <v>3.3485876916697603</v>
      </c>
      <c r="I48" s="287">
        <f>G48/'- 7 -'!E48</f>
        <v>448.74217471898464</v>
      </c>
    </row>
    <row r="49" spans="1:9" ht="5.0999999999999996" customHeight="1" x14ac:dyDescent="0.2">
      <c r="A49"/>
      <c r="B49"/>
      <c r="C49"/>
      <c r="D49"/>
      <c r="E49"/>
      <c r="F49"/>
      <c r="G49"/>
      <c r="H49"/>
      <c r="I49"/>
    </row>
    <row r="50" spans="1:9" ht="14.1" customHeight="1" x14ac:dyDescent="0.2">
      <c r="A50" s="19" t="s">
        <v>146</v>
      </c>
      <c r="B50" s="20">
        <f>SUM('- 24 -'!H50,'- 24 -'!F50,'- 24 -'!D50,'- 24 -'!B50)</f>
        <v>96225</v>
      </c>
      <c r="C50" s="70">
        <f>B50/'- 3 -'!D50*100</f>
        <v>2.8324688502016211</v>
      </c>
      <c r="D50" s="20">
        <f>SUM('- 25 -'!B50,'- 25 -'!E50,'- 25 -'!H50,'- 26 -'!B50)</f>
        <v>209992</v>
      </c>
      <c r="E50" s="70">
        <f>D50/'- 3 -'!D50*100</f>
        <v>6.1813021438455582</v>
      </c>
      <c r="F50" s="20">
        <f>D50/'- 7 -'!E50</f>
        <v>1163.3905817174516</v>
      </c>
      <c r="G50" s="20">
        <f>SUM('- 27 -'!B50,'- 27 -'!E50,'- 27 -'!H50,'- 28 -'!B50,'- 28 -'!E50)</f>
        <v>132754</v>
      </c>
      <c r="H50" s="70">
        <f>G50/'- 3 -'!D50*100</f>
        <v>3.9077326031661834</v>
      </c>
      <c r="I50" s="20">
        <f>G50/'- 7 -'!E50</f>
        <v>735.47922437673128</v>
      </c>
    </row>
    <row r="51" spans="1:9" ht="14.1" customHeight="1" x14ac:dyDescent="0.2">
      <c r="A51" s="284" t="s">
        <v>601</v>
      </c>
      <c r="B51" s="285">
        <f>SUM('- 24 -'!H51,'- 24 -'!F51,'- 24 -'!D51,'- 24 -'!B51)</f>
        <v>9671237</v>
      </c>
      <c r="C51" s="291">
        <f>B51/'- 3 -'!D51*100</f>
        <v>30.778782452902231</v>
      </c>
      <c r="D51" s="285">
        <f>SUM('- 25 -'!B51,'- 25 -'!E51,'- 25 -'!H51,'- 26 -'!B51)</f>
        <v>5652597</v>
      </c>
      <c r="E51" s="291">
        <f>D51/'- 3 -'!D51*100</f>
        <v>17.98943127512311</v>
      </c>
      <c r="F51" s="285">
        <f>D51/'- 7 -'!E51</f>
        <v>4714.426188490409</v>
      </c>
      <c r="G51" s="285">
        <f>SUM('- 27 -'!B51,'- 27 -'!E51,'- 27 -'!H51,'- 28 -'!B51,'- 28 -'!E51)</f>
        <v>672032</v>
      </c>
      <c r="H51" s="291">
        <f>G51/'- 3 -'!D51*100</f>
        <v>2.1387467528082285</v>
      </c>
      <c r="I51" s="285">
        <f>G51/'- 7 -'!E51</f>
        <v>560.49374478732273</v>
      </c>
    </row>
    <row r="52" spans="1:9" ht="50.1" customHeight="1" x14ac:dyDescent="0.2"/>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ol min="3" max="3" width="7.83203125" style="2" customWidth="1"/>
    <col min="4" max="4" width="9.83203125" style="2" customWidth="1"/>
    <col min="5" max="5" width="15.83203125" style="2"/>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261</v>
      </c>
      <c r="C2" s="10"/>
      <c r="D2" s="10"/>
      <c r="E2" s="10"/>
      <c r="F2" s="10"/>
      <c r="G2" s="10"/>
      <c r="H2" s="73"/>
      <c r="I2" s="73"/>
      <c r="J2" s="135" t="s">
        <v>9</v>
      </c>
    </row>
    <row r="3" spans="1:10" ht="15.95" customHeight="1" x14ac:dyDescent="0.2">
      <c r="A3" s="541"/>
      <c r="B3" s="11" t="str">
        <f>OPYEAR</f>
        <v>OPERATING FUND 2018/2019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8"/>
      <c r="C5" s="8"/>
      <c r="D5" s="8"/>
      <c r="E5" s="8"/>
      <c r="F5" s="8"/>
      <c r="G5" s="8"/>
      <c r="H5" s="8"/>
      <c r="I5" s="8"/>
      <c r="J5" s="8"/>
    </row>
    <row r="6" spans="1:10" ht="15.95" customHeight="1" x14ac:dyDescent="0.2">
      <c r="B6" s="649" t="s">
        <v>471</v>
      </c>
      <c r="C6" s="657"/>
      <c r="D6" s="650"/>
      <c r="E6" s="649" t="s">
        <v>472</v>
      </c>
      <c r="F6" s="657"/>
      <c r="G6" s="650"/>
      <c r="H6" s="309" t="s">
        <v>7</v>
      </c>
      <c r="I6" s="312"/>
      <c r="J6" s="310"/>
    </row>
    <row r="7" spans="1:10" ht="15.95" customHeight="1" x14ac:dyDescent="0.2">
      <c r="B7" s="651"/>
      <c r="C7" s="658"/>
      <c r="D7" s="652"/>
      <c r="E7" s="651"/>
      <c r="F7" s="658"/>
      <c r="G7" s="652"/>
      <c r="H7" s="654" t="s">
        <v>30</v>
      </c>
      <c r="I7" s="656"/>
      <c r="J7" s="655"/>
    </row>
    <row r="8" spans="1:10" ht="15.95" customHeight="1" x14ac:dyDescent="0.2">
      <c r="A8" s="67"/>
      <c r="B8" s="137"/>
      <c r="C8" s="138"/>
      <c r="D8" s="623" t="s">
        <v>327</v>
      </c>
      <c r="E8" s="137"/>
      <c r="F8" s="139"/>
      <c r="G8" s="623" t="s">
        <v>327</v>
      </c>
      <c r="H8" s="137"/>
      <c r="I8" s="139"/>
      <c r="J8" s="623" t="s">
        <v>327</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f>SUM('- 30 -'!D11,'- 30 -'!B11,'- 29 -'!F11,'- 29 -'!D11,'- 29 -'!B11)</f>
        <v>1307367</v>
      </c>
      <c r="C11" s="291">
        <f>B11/'- 3 -'!D11*100</f>
        <v>6.5073764322599796</v>
      </c>
      <c r="D11" s="285">
        <f>B11/'- 7 -'!E11</f>
        <v>721.10700496414779</v>
      </c>
      <c r="E11" s="285">
        <f>SUM('- 32 -'!D11,'- 32 -'!B11,'- 31 -'!F11,'- 31 -'!D11,'- 31 -'!B11)</f>
        <v>1905460</v>
      </c>
      <c r="F11" s="291">
        <f>E11/'- 3 -'!D11*100</f>
        <v>9.4843647549724768</v>
      </c>
      <c r="G11" s="285">
        <f>E11/'- 7 -'!E11</f>
        <v>1050.9983452840595</v>
      </c>
      <c r="H11" s="285">
        <f>SUM('- 33 -'!B11,'- 33 -'!D11,'- 33 -'!F11)</f>
        <v>354144</v>
      </c>
      <c r="I11" s="291">
        <f>H11/'- 3 -'!D11*100</f>
        <v>1.7627401634172184</v>
      </c>
      <c r="J11" s="285">
        <f>H11/'- 7 -'!E11</f>
        <v>195.33590733590734</v>
      </c>
    </row>
    <row r="12" spans="1:10" ht="14.1" customHeight="1" x14ac:dyDescent="0.2">
      <c r="A12" s="19" t="s">
        <v>111</v>
      </c>
      <c r="B12" s="20">
        <f>SUM('- 30 -'!D12,'- 30 -'!B12,'- 29 -'!F12,'- 29 -'!D12,'- 29 -'!B12)</f>
        <v>2530572</v>
      </c>
      <c r="C12" s="70">
        <f>B12/'- 3 -'!D12*100</f>
        <v>7.4670604449090616</v>
      </c>
      <c r="D12" s="20">
        <f>B12/'- 7 -'!E12</f>
        <v>1189.922272849102</v>
      </c>
      <c r="E12" s="20">
        <f>SUM('- 32 -'!D12,'- 32 -'!B12,'- 31 -'!F12,'- 31 -'!D12,'- 31 -'!B12)</f>
        <v>3792880</v>
      </c>
      <c r="F12" s="70">
        <f>E12/'- 3 -'!D12*100</f>
        <v>11.191803363147415</v>
      </c>
      <c r="G12" s="20">
        <f>E12/'- 7 -'!E12</f>
        <v>1783.4830979888745</v>
      </c>
      <c r="H12" s="20">
        <f>SUM('- 33 -'!B12,'- 33 -'!D12,'- 33 -'!F12)</f>
        <v>550251</v>
      </c>
      <c r="I12" s="70">
        <f>H12/'- 3 -'!D12*100</f>
        <v>1.6236477274195935</v>
      </c>
      <c r="J12" s="20">
        <f>H12/'- 7 -'!E12</f>
        <v>258.73830918760314</v>
      </c>
    </row>
    <row r="13" spans="1:10" ht="14.1" customHeight="1" x14ac:dyDescent="0.2">
      <c r="A13" s="284" t="s">
        <v>112</v>
      </c>
      <c r="B13" s="285">
        <f>SUM('- 30 -'!D13,'- 30 -'!B13,'- 29 -'!F13,'- 29 -'!D13,'- 29 -'!B13)</f>
        <v>2449618</v>
      </c>
      <c r="C13" s="291">
        <f>B13/'- 3 -'!D13*100</f>
        <v>2.4275510030455849</v>
      </c>
      <c r="D13" s="285">
        <f>B13/'- 7 -'!E13</f>
        <v>286.00326911850556</v>
      </c>
      <c r="E13" s="285">
        <f>SUM('- 32 -'!D13,'- 32 -'!B13,'- 31 -'!F13,'- 31 -'!D13,'- 31 -'!B13)</f>
        <v>8587378</v>
      </c>
      <c r="F13" s="291">
        <f>E13/'- 3 -'!D13*100</f>
        <v>8.5100199612476679</v>
      </c>
      <c r="G13" s="285">
        <f>E13/'- 7 -'!E13</f>
        <v>1002.6127262113251</v>
      </c>
      <c r="H13" s="285">
        <f>SUM('- 33 -'!B13,'- 33 -'!D13,'- 33 -'!F13)</f>
        <v>1709483</v>
      </c>
      <c r="I13" s="291">
        <f>H13/'- 3 -'!D13*100</f>
        <v>1.6940833923245893</v>
      </c>
      <c r="J13" s="285">
        <f>H13/'- 7 -'!E13</f>
        <v>199.58937536485698</v>
      </c>
    </row>
    <row r="14" spans="1:10" ht="14.1" customHeight="1" x14ac:dyDescent="0.2">
      <c r="A14" s="19" t="s">
        <v>359</v>
      </c>
      <c r="B14" s="20">
        <f>SUM('- 30 -'!D14,'- 30 -'!B14,'- 29 -'!F14,'- 29 -'!D14,'- 29 -'!B14)</f>
        <v>9597597</v>
      </c>
      <c r="C14" s="70">
        <f>B14/'- 3 -'!D14*100</f>
        <v>10.512580811464895</v>
      </c>
      <c r="D14" s="20">
        <f>B14/'- 7 -'!E14</f>
        <v>1774.375485302274</v>
      </c>
      <c r="E14" s="20">
        <f>SUM('- 32 -'!D14,'- 32 -'!B14,'- 31 -'!F14,'- 31 -'!D14,'- 31 -'!B14)</f>
        <v>10818212</v>
      </c>
      <c r="F14" s="70">
        <f>E14/'- 3 -'!D14*100</f>
        <v>11.849562748421221</v>
      </c>
      <c r="G14" s="20">
        <f>E14/'- 7 -'!E14</f>
        <v>2000.0391939360325</v>
      </c>
      <c r="H14" s="20">
        <f>SUM('- 33 -'!B14,'- 33 -'!D14,'- 33 -'!F14)</f>
        <v>1398603</v>
      </c>
      <c r="I14" s="70">
        <f>H14/'- 3 -'!D14*100</f>
        <v>1.5319383654739032</v>
      </c>
      <c r="J14" s="20">
        <f>H14/'- 7 -'!E14</f>
        <v>258.56960621186909</v>
      </c>
    </row>
    <row r="15" spans="1:10" ht="14.1" customHeight="1" x14ac:dyDescent="0.2">
      <c r="A15" s="284" t="s">
        <v>113</v>
      </c>
      <c r="B15" s="285">
        <f>SUM('- 30 -'!D15,'- 30 -'!B15,'- 29 -'!F15,'- 29 -'!D15,'- 29 -'!B15)</f>
        <v>1879710</v>
      </c>
      <c r="C15" s="291">
        <f>B15/'- 3 -'!D15*100</f>
        <v>9.2804603186522936</v>
      </c>
      <c r="D15" s="285">
        <f>B15/'- 7 -'!E15</f>
        <v>1330.8623619371283</v>
      </c>
      <c r="E15" s="285">
        <f>SUM('- 32 -'!D15,'- 32 -'!B15,'- 31 -'!F15,'- 31 -'!D15,'- 31 -'!B15)</f>
        <v>2657891</v>
      </c>
      <c r="F15" s="291">
        <f>E15/'- 3 -'!D15*100</f>
        <v>13.122477380448613</v>
      </c>
      <c r="G15" s="285">
        <f>E15/'- 7 -'!E15</f>
        <v>1881.8259699801754</v>
      </c>
      <c r="H15" s="285">
        <f>SUM('- 33 -'!B15,'- 33 -'!D15,'- 33 -'!F15)</f>
        <v>328675</v>
      </c>
      <c r="I15" s="291">
        <f>H15/'- 3 -'!D15*100</f>
        <v>1.6227265350681981</v>
      </c>
      <c r="J15" s="285">
        <f>H15/'- 7 -'!E15</f>
        <v>232.70674030019822</v>
      </c>
    </row>
    <row r="16" spans="1:10" ht="14.1" customHeight="1" x14ac:dyDescent="0.2">
      <c r="A16" s="19" t="s">
        <v>114</v>
      </c>
      <c r="B16" s="20">
        <f>SUM('- 30 -'!D16,'- 30 -'!B16,'- 29 -'!F16,'- 29 -'!D16,'- 29 -'!B16)</f>
        <v>458730</v>
      </c>
      <c r="C16" s="70">
        <f>B16/'- 3 -'!D16*100</f>
        <v>3.0508892557727001</v>
      </c>
      <c r="D16" s="20">
        <f>B16/'- 7 -'!E16</f>
        <v>507.50082973780286</v>
      </c>
      <c r="E16" s="20">
        <f>SUM('- 32 -'!D16,'- 32 -'!B16,'- 31 -'!F16,'- 31 -'!D16,'- 31 -'!B16)</f>
        <v>2274473</v>
      </c>
      <c r="F16" s="70">
        <f>E16/'- 3 -'!D16*100</f>
        <v>15.126905234549955</v>
      </c>
      <c r="G16" s="20">
        <f>E16/'- 7 -'!E16</f>
        <v>2516.288306228565</v>
      </c>
      <c r="H16" s="20">
        <f>SUM('- 33 -'!B16,'- 33 -'!D16,'- 33 -'!F16)</f>
        <v>264573</v>
      </c>
      <c r="I16" s="70">
        <f>H16/'- 3 -'!D16*100</f>
        <v>1.7596035207367091</v>
      </c>
      <c r="J16" s="20">
        <f>H16/'- 7 -'!E16</f>
        <v>292.70162628609359</v>
      </c>
    </row>
    <row r="17" spans="1:10" ht="14.1" customHeight="1" x14ac:dyDescent="0.2">
      <c r="A17" s="284" t="s">
        <v>115</v>
      </c>
      <c r="B17" s="285">
        <f>SUM('- 30 -'!D17,'- 30 -'!B17,'- 29 -'!F17,'- 29 -'!D17,'- 29 -'!B17)</f>
        <v>1509608</v>
      </c>
      <c r="C17" s="291">
        <f>B17/'- 3 -'!D17*100</f>
        <v>8.2072219038153058</v>
      </c>
      <c r="D17" s="285">
        <f>B17/'- 7 -'!E17</f>
        <v>1053.8485933401812</v>
      </c>
      <c r="E17" s="285">
        <f>SUM('- 32 -'!D17,'- 32 -'!B17,'- 31 -'!F17,'- 31 -'!D17,'- 31 -'!B17)</f>
        <v>1810152</v>
      </c>
      <c r="F17" s="291">
        <f>E17/'- 3 -'!D17*100</f>
        <v>9.8411767449795455</v>
      </c>
      <c r="G17" s="285">
        <f>E17/'- 7 -'!E17</f>
        <v>1263.6566174344039</v>
      </c>
      <c r="H17" s="285">
        <f>SUM('- 33 -'!B17,'- 33 -'!D17,'- 33 -'!F17)</f>
        <v>408964</v>
      </c>
      <c r="I17" s="291">
        <f>H17/'- 3 -'!D17*100</f>
        <v>2.2233972651654748</v>
      </c>
      <c r="J17" s="285">
        <f>H17/'- 7 -'!E17</f>
        <v>285.4953975646485</v>
      </c>
    </row>
    <row r="18" spans="1:10" ht="14.1" customHeight="1" x14ac:dyDescent="0.2">
      <c r="A18" s="19" t="s">
        <v>116</v>
      </c>
      <c r="B18" s="20">
        <f>SUM('- 30 -'!D18,'- 30 -'!B18,'- 29 -'!F18,'- 29 -'!D18,'- 29 -'!B18)</f>
        <v>11841226</v>
      </c>
      <c r="C18" s="70">
        <f>B18/'- 3 -'!D18*100</f>
        <v>8.8032477409220249</v>
      </c>
      <c r="D18" s="20">
        <f>B18/'- 7 -'!E18</f>
        <v>1974.5249291312323</v>
      </c>
      <c r="E18" s="20">
        <f>SUM('- 32 -'!D18,'- 32 -'!B18,'- 31 -'!F18,'- 31 -'!D18,'- 31 -'!B18)</f>
        <v>23985328</v>
      </c>
      <c r="F18" s="70">
        <f>E18/'- 3 -'!D18*100</f>
        <v>17.831665786234787</v>
      </c>
      <c r="G18" s="20">
        <f>E18/'- 7 -'!E18</f>
        <v>3999.5544438886109</v>
      </c>
      <c r="H18" s="20">
        <f>SUM('- 33 -'!B18,'- 33 -'!D18,'- 33 -'!F18)</f>
        <v>1215205</v>
      </c>
      <c r="I18" s="70">
        <f>H18/'- 3 -'!D18*100</f>
        <v>0.90343269109188096</v>
      </c>
      <c r="J18" s="20">
        <f>H18/'- 7 -'!E18</f>
        <v>202.63548440887109</v>
      </c>
    </row>
    <row r="19" spans="1:10" ht="14.1" customHeight="1" x14ac:dyDescent="0.2">
      <c r="A19" s="284" t="s">
        <v>117</v>
      </c>
      <c r="B19" s="285">
        <f>SUM('- 30 -'!D19,'- 30 -'!B19,'- 29 -'!F19,'- 29 -'!D19,'- 29 -'!B19)</f>
        <v>3075902</v>
      </c>
      <c r="C19" s="291">
        <f>B19/'- 3 -'!D19*100</f>
        <v>6.1397397797172424</v>
      </c>
      <c r="D19" s="285">
        <f>B19/'- 7 -'!E19</f>
        <v>696.77245441159812</v>
      </c>
      <c r="E19" s="285">
        <f>SUM('- 32 -'!D19,'- 32 -'!B19,'- 31 -'!F19,'- 31 -'!D19,'- 31 -'!B19)</f>
        <v>4316224</v>
      </c>
      <c r="F19" s="291">
        <f>E19/'- 3 -'!D19*100</f>
        <v>8.6155190220528066</v>
      </c>
      <c r="G19" s="285">
        <f>E19/'- 7 -'!E19</f>
        <v>977.7379091629856</v>
      </c>
      <c r="H19" s="285">
        <f>SUM('- 33 -'!B19,'- 33 -'!D19,'- 33 -'!F19)</f>
        <v>847239</v>
      </c>
      <c r="I19" s="291">
        <f>H19/'- 3 -'!D19*100</f>
        <v>1.6911549819298068</v>
      </c>
      <c r="J19" s="285">
        <f>H19/'- 7 -'!E19</f>
        <v>191.92184845395855</v>
      </c>
    </row>
    <row r="20" spans="1:10" ht="14.1" customHeight="1" x14ac:dyDescent="0.2">
      <c r="A20" s="19" t="s">
        <v>118</v>
      </c>
      <c r="B20" s="20">
        <f>SUM('- 30 -'!D20,'- 30 -'!B20,'- 29 -'!F20,'- 29 -'!D20,'- 29 -'!B20)</f>
        <v>3957748</v>
      </c>
      <c r="C20" s="70">
        <f>B20/'- 3 -'!D20*100</f>
        <v>4.5273492470297443</v>
      </c>
      <c r="D20" s="20">
        <f>B20/'- 7 -'!E20</f>
        <v>502.15669606039461</v>
      </c>
      <c r="E20" s="20">
        <f>SUM('- 32 -'!D20,'- 32 -'!B20,'- 31 -'!F20,'- 31 -'!D20,'- 31 -'!B20)</f>
        <v>9070925</v>
      </c>
      <c r="F20" s="70">
        <f>E20/'- 3 -'!D20*100</f>
        <v>10.376417464834367</v>
      </c>
      <c r="G20" s="20">
        <f>E20/'- 7 -'!E20</f>
        <v>1150.9135316881304</v>
      </c>
      <c r="H20" s="20">
        <f>SUM('- 33 -'!B20,'- 33 -'!D20,'- 33 -'!F20)</f>
        <v>1679250</v>
      </c>
      <c r="I20" s="70">
        <f>H20/'- 3 -'!D20*100</f>
        <v>1.920928574298995</v>
      </c>
      <c r="J20" s="20">
        <f>H20/'- 7 -'!E20</f>
        <v>213.06223434625389</v>
      </c>
    </row>
    <row r="21" spans="1:10" ht="14.1" customHeight="1" x14ac:dyDescent="0.2">
      <c r="A21" s="284" t="s">
        <v>119</v>
      </c>
      <c r="B21" s="285">
        <f>SUM('- 30 -'!D21,'- 30 -'!B21,'- 29 -'!F21,'- 29 -'!D21,'- 29 -'!B21)</f>
        <v>2201172</v>
      </c>
      <c r="C21" s="291">
        <f>B21/'- 3 -'!D21*100</f>
        <v>5.9092129108548512</v>
      </c>
      <c r="D21" s="285">
        <f>B21/'- 7 -'!E21</f>
        <v>774.5696389612217</v>
      </c>
      <c r="E21" s="285">
        <f>SUM('- 32 -'!D21,'- 32 -'!B21,'- 31 -'!F21,'- 31 -'!D21,'- 31 -'!B21)</f>
        <v>3741101</v>
      </c>
      <c r="F21" s="291">
        <f>E21/'- 3 -'!D21*100</f>
        <v>10.043268917654775</v>
      </c>
      <c r="G21" s="285">
        <f>E21/'- 7 -'!E21</f>
        <v>1316.4547118023786</v>
      </c>
      <c r="H21" s="285">
        <f>SUM('- 33 -'!B21,'- 33 -'!D21,'- 33 -'!F21)</f>
        <v>648542</v>
      </c>
      <c r="I21" s="291">
        <f>H21/'- 3 -'!D21*100</f>
        <v>1.7410601078114869</v>
      </c>
      <c r="J21" s="285">
        <f>H21/'- 7 -'!E21</f>
        <v>228.21521570835384</v>
      </c>
    </row>
    <row r="22" spans="1:10" ht="14.1" customHeight="1" x14ac:dyDescent="0.2">
      <c r="A22" s="19" t="s">
        <v>120</v>
      </c>
      <c r="B22" s="20">
        <f>SUM('- 30 -'!D22,'- 30 -'!B22,'- 29 -'!F22,'- 29 -'!D22,'- 29 -'!B22)</f>
        <v>532269</v>
      </c>
      <c r="C22" s="70">
        <f>B22/'- 3 -'!D22*100</f>
        <v>2.5379265215321731</v>
      </c>
      <c r="D22" s="20">
        <f>B22/'- 7 -'!E22</f>
        <v>362.43292932044125</v>
      </c>
      <c r="E22" s="20">
        <f>SUM('- 32 -'!D22,'- 32 -'!B22,'- 31 -'!F22,'- 31 -'!D22,'- 31 -'!B22)</f>
        <v>2796972</v>
      </c>
      <c r="F22" s="70">
        <f>E22/'- 3 -'!D22*100</f>
        <v>13.336319452725757</v>
      </c>
      <c r="G22" s="20">
        <f>E22/'- 7 -'!E22</f>
        <v>1904.5158654500885</v>
      </c>
      <c r="H22" s="20">
        <f>SUM('- 33 -'!B22,'- 33 -'!D22,'- 33 -'!F22)</f>
        <v>355770</v>
      </c>
      <c r="I22" s="70">
        <f>H22/'- 3 -'!D22*100</f>
        <v>1.6963567642780268</v>
      </c>
      <c r="J22" s="20">
        <f>H22/'- 7 -'!E22</f>
        <v>242.2511235189977</v>
      </c>
    </row>
    <row r="23" spans="1:10" ht="14.1" customHeight="1" x14ac:dyDescent="0.2">
      <c r="A23" s="284" t="s">
        <v>121</v>
      </c>
      <c r="B23" s="285">
        <f>SUM('- 30 -'!D23,'- 30 -'!B23,'- 29 -'!F23,'- 29 -'!D23,'- 29 -'!B23)</f>
        <v>1626153</v>
      </c>
      <c r="C23" s="291">
        <f>B23/'- 3 -'!D23*100</f>
        <v>10.184777445032585</v>
      </c>
      <c r="D23" s="285">
        <f>B23/'- 7 -'!E23</f>
        <v>1691.2667706708269</v>
      </c>
      <c r="E23" s="285">
        <f>SUM('- 32 -'!D23,'- 32 -'!B23,'- 31 -'!F23,'- 31 -'!D23,'- 31 -'!B23)</f>
        <v>1569232</v>
      </c>
      <c r="F23" s="291">
        <f>E23/'- 3 -'!D23*100</f>
        <v>9.8282748791924099</v>
      </c>
      <c r="G23" s="285">
        <f>E23/'- 7 -'!E23</f>
        <v>1632.0665626625066</v>
      </c>
      <c r="H23" s="285">
        <f>SUM('- 33 -'!B23,'- 33 -'!D23,'- 33 -'!F23)</f>
        <v>254191</v>
      </c>
      <c r="I23" s="291">
        <f>H23/'- 3 -'!D23*100</f>
        <v>1.5920265580977175</v>
      </c>
      <c r="J23" s="285">
        <f>H23/'- 7 -'!E23</f>
        <v>264.36921476859072</v>
      </c>
    </row>
    <row r="24" spans="1:10" ht="14.1" customHeight="1" x14ac:dyDescent="0.2">
      <c r="A24" s="19" t="s">
        <v>122</v>
      </c>
      <c r="B24" s="20">
        <f>SUM('- 30 -'!D24,'- 30 -'!B24,'- 29 -'!F24,'- 29 -'!D24,'- 29 -'!B24)</f>
        <v>2554470</v>
      </c>
      <c r="C24" s="70">
        <f>B24/'- 3 -'!D24*100</f>
        <v>4.4113543602359284</v>
      </c>
      <c r="D24" s="20">
        <f>B24/'- 7 -'!E24</f>
        <v>667.03311050762488</v>
      </c>
      <c r="E24" s="20">
        <f>SUM('- 32 -'!D24,'- 32 -'!B24,'- 31 -'!F24,'- 31 -'!D24,'- 31 -'!B24)</f>
        <v>6279762</v>
      </c>
      <c r="F24" s="70">
        <f>E24/'- 3 -'!D24*100</f>
        <v>10.84461961970346</v>
      </c>
      <c r="G24" s="20">
        <f>E24/'- 7 -'!E24</f>
        <v>1639.7958011280552</v>
      </c>
      <c r="H24" s="20">
        <f>SUM('- 33 -'!B24,'- 33 -'!D24,'- 33 -'!F24)</f>
        <v>1045024</v>
      </c>
      <c r="I24" s="70">
        <f>H24/'- 3 -'!D24*100</f>
        <v>1.8046683574092437</v>
      </c>
      <c r="J24" s="20">
        <f>H24/'- 7 -'!E24</f>
        <v>272.88071861290996</v>
      </c>
    </row>
    <row r="25" spans="1:10" ht="14.1" customHeight="1" x14ac:dyDescent="0.2">
      <c r="A25" s="284" t="s">
        <v>123</v>
      </c>
      <c r="B25" s="285">
        <f>SUM('- 30 -'!D25,'- 30 -'!B25,'- 29 -'!F25,'- 29 -'!D25,'- 29 -'!B25)</f>
        <v>4533026</v>
      </c>
      <c r="C25" s="291">
        <f>B25/'- 3 -'!D25*100</f>
        <v>2.3331037472220886</v>
      </c>
      <c r="D25" s="285">
        <f>B25/'- 7 -'!E25</f>
        <v>304.6040438928348</v>
      </c>
      <c r="E25" s="285">
        <f>SUM('- 32 -'!D25,'- 32 -'!B25,'- 31 -'!F25,'- 31 -'!D25,'- 31 -'!B25)</f>
        <v>20351353</v>
      </c>
      <c r="F25" s="291">
        <f>E25/'- 3 -'!D25*100</f>
        <v>10.474640548132637</v>
      </c>
      <c r="G25" s="285">
        <f>E25/'- 7 -'!E25</f>
        <v>1367.5422162790542</v>
      </c>
      <c r="H25" s="285">
        <f>SUM('- 33 -'!B25,'- 33 -'!D25,'- 33 -'!F25)</f>
        <v>3438774</v>
      </c>
      <c r="I25" s="291">
        <f>H25/'- 3 -'!D25*100</f>
        <v>1.7699030416436814</v>
      </c>
      <c r="J25" s="285">
        <f>H25/'- 7 -'!E25</f>
        <v>231.07400364205702</v>
      </c>
    </row>
    <row r="26" spans="1:10" ht="14.1" customHeight="1" x14ac:dyDescent="0.2">
      <c r="A26" s="19" t="s">
        <v>124</v>
      </c>
      <c r="B26" s="20">
        <f>SUM('- 30 -'!D26,'- 30 -'!B26,'- 29 -'!F26,'- 29 -'!D26,'- 29 -'!B26)</f>
        <v>3209331</v>
      </c>
      <c r="C26" s="70">
        <f>B26/'- 3 -'!D26*100</f>
        <v>7.840544033172268</v>
      </c>
      <c r="D26" s="20">
        <f>B26/'- 7 -'!E26</f>
        <v>1069.4205264911695</v>
      </c>
      <c r="E26" s="20">
        <f>SUM('- 32 -'!D26,'- 32 -'!B26,'- 31 -'!F26,'- 31 -'!D26,'- 31 -'!B26)</f>
        <v>4748407</v>
      </c>
      <c r="F26" s="70">
        <f>E26/'- 3 -'!D26*100</f>
        <v>11.600577868385477</v>
      </c>
      <c r="G26" s="20">
        <f>E26/'- 7 -'!E26</f>
        <v>1582.2749083638787</v>
      </c>
      <c r="H26" s="20">
        <f>SUM('- 33 -'!B26,'- 33 -'!D26,'- 33 -'!F26)</f>
        <v>906254</v>
      </c>
      <c r="I26" s="70">
        <f>H26/'- 3 -'!D26*100</f>
        <v>2.2140204273845545</v>
      </c>
      <c r="J26" s="20">
        <f>H26/'- 7 -'!E26</f>
        <v>301.98400533155615</v>
      </c>
    </row>
    <row r="27" spans="1:10" ht="14.1" customHeight="1" x14ac:dyDescent="0.2">
      <c r="A27" s="284" t="s">
        <v>125</v>
      </c>
      <c r="B27" s="285">
        <f>SUM('- 30 -'!D27,'- 30 -'!B27,'- 29 -'!F27,'- 29 -'!D27,'- 29 -'!B27)</f>
        <v>333877</v>
      </c>
      <c r="C27" s="291">
        <f>B27/'- 3 -'!D27*100</f>
        <v>0.80977955113148481</v>
      </c>
      <c r="D27" s="285">
        <f>B27/'- 7 -'!E27</f>
        <v>112.36504496257605</v>
      </c>
      <c r="E27" s="285">
        <f>SUM('- 32 -'!D27,'- 32 -'!B27,'- 31 -'!F27,'- 31 -'!D27,'- 31 -'!B27)</f>
        <v>4699318</v>
      </c>
      <c r="F27" s="291">
        <f>E27/'- 3 -'!D27*100</f>
        <v>11.397645302503937</v>
      </c>
      <c r="G27" s="285">
        <f>E27/'- 7 -'!E27</f>
        <v>1581.5377470249314</v>
      </c>
      <c r="H27" s="285">
        <f>SUM('- 33 -'!B27,'- 33 -'!D27,'- 33 -'!F27)</f>
        <v>693360</v>
      </c>
      <c r="I27" s="291">
        <f>H27/'- 3 -'!D27*100</f>
        <v>1.6816634556214602</v>
      </c>
      <c r="J27" s="285">
        <f>H27/'- 7 -'!E27</f>
        <v>233.34769263906088</v>
      </c>
    </row>
    <row r="28" spans="1:10" ht="14.1" customHeight="1" x14ac:dyDescent="0.2">
      <c r="A28" s="19" t="s">
        <v>126</v>
      </c>
      <c r="B28" s="20">
        <f>SUM('- 30 -'!D28,'- 30 -'!B28,'- 29 -'!F28,'- 29 -'!D28,'- 29 -'!B28)</f>
        <v>2018490</v>
      </c>
      <c r="C28" s="70">
        <f>B28/'- 3 -'!D28*100</f>
        <v>6.9445612771890719</v>
      </c>
      <c r="D28" s="20">
        <f>B28/'- 7 -'!E28</f>
        <v>1024.6142131979695</v>
      </c>
      <c r="E28" s="20">
        <f>SUM('- 32 -'!D28,'- 32 -'!B28,'- 31 -'!F28,'- 31 -'!D28,'- 31 -'!B28)</f>
        <v>3487024</v>
      </c>
      <c r="F28" s="70">
        <f>E28/'- 3 -'!D28*100</f>
        <v>11.997013531416528</v>
      </c>
      <c r="G28" s="20">
        <f>E28/'- 7 -'!E28</f>
        <v>1770.0629441624365</v>
      </c>
      <c r="H28" s="20">
        <f>SUM('- 33 -'!B28,'- 33 -'!D28,'- 33 -'!F28)</f>
        <v>533433</v>
      </c>
      <c r="I28" s="70">
        <f>H28/'- 3 -'!D28*100</f>
        <v>1.835262079958186</v>
      </c>
      <c r="J28" s="20">
        <f>H28/'- 7 -'!E28</f>
        <v>270.77817258883249</v>
      </c>
    </row>
    <row r="29" spans="1:10" ht="14.1" customHeight="1" x14ac:dyDescent="0.2">
      <c r="A29" s="284" t="s">
        <v>127</v>
      </c>
      <c r="B29" s="285">
        <f>SUM('- 30 -'!D29,'- 30 -'!B29,'- 29 -'!F29,'- 29 -'!D29,'- 29 -'!B29)</f>
        <v>3707914</v>
      </c>
      <c r="C29" s="291">
        <f>B29/'- 3 -'!D29*100</f>
        <v>2.2242947461893356</v>
      </c>
      <c r="D29" s="285">
        <f>B29/'- 7 -'!E29</f>
        <v>267.28520454135878</v>
      </c>
      <c r="E29" s="285">
        <f>SUM('- 32 -'!D29,'- 32 -'!B29,'- 31 -'!F29,'- 31 -'!D29,'- 31 -'!B29)</f>
        <v>19721985</v>
      </c>
      <c r="F29" s="291">
        <f>E29/'- 3 -'!D29*100</f>
        <v>11.830778065490431</v>
      </c>
      <c r="G29" s="285">
        <f>E29/'- 7 -'!E29</f>
        <v>1421.6604793656516</v>
      </c>
      <c r="H29" s="285">
        <f>SUM('- 33 -'!B29,'- 33 -'!D29,'- 33 -'!F29)</f>
        <v>2990134</v>
      </c>
      <c r="I29" s="291">
        <f>H29/'- 3 -'!D29*100</f>
        <v>1.7937145647396631</v>
      </c>
      <c r="J29" s="285">
        <f>H29/'- 7 -'!E29</f>
        <v>215.54398990809156</v>
      </c>
    </row>
    <row r="30" spans="1:10" ht="14.1" customHeight="1" x14ac:dyDescent="0.2">
      <c r="A30" s="19" t="s">
        <v>128</v>
      </c>
      <c r="B30" s="20">
        <f>SUM('- 30 -'!D30,'- 30 -'!B30,'- 29 -'!F30,'- 29 -'!D30,'- 29 -'!B30)</f>
        <v>1274616</v>
      </c>
      <c r="C30" s="70">
        <f>B30/'- 3 -'!D30*100</f>
        <v>8.2692409248717826</v>
      </c>
      <c r="D30" s="20">
        <f>B30/'- 7 -'!E30</f>
        <v>1245.3502686858817</v>
      </c>
      <c r="E30" s="20">
        <f>SUM('- 32 -'!D30,'- 32 -'!B30,'- 31 -'!F30,'- 31 -'!D30,'- 31 -'!B30)</f>
        <v>1572932</v>
      </c>
      <c r="F30" s="70">
        <f>E30/'- 3 -'!D30*100</f>
        <v>10.20460567452505</v>
      </c>
      <c r="G30" s="20">
        <f>E30/'- 7 -'!E30</f>
        <v>1536.8168050806057</v>
      </c>
      <c r="H30" s="20">
        <f>SUM('- 33 -'!B30,'- 33 -'!D30,'- 33 -'!F30)</f>
        <v>263579</v>
      </c>
      <c r="I30" s="70">
        <f>H30/'- 3 -'!D30*100</f>
        <v>1.7100038393812564</v>
      </c>
      <c r="J30" s="20">
        <f>H30/'- 7 -'!E30</f>
        <v>257.52711284807037</v>
      </c>
    </row>
    <row r="31" spans="1:10" ht="14.1" customHeight="1" x14ac:dyDescent="0.2">
      <c r="A31" s="284" t="s">
        <v>129</v>
      </c>
      <c r="B31" s="285">
        <f>SUM('- 30 -'!D31,'- 30 -'!B31,'- 29 -'!F31,'- 29 -'!D31,'- 29 -'!B31)</f>
        <v>1175752</v>
      </c>
      <c r="C31" s="291">
        <f>B31/'- 3 -'!D31*100</f>
        <v>3.0344138985649876</v>
      </c>
      <c r="D31" s="285">
        <f>B31/'- 7 -'!E31</f>
        <v>351.75826477187735</v>
      </c>
      <c r="E31" s="285">
        <f>SUM('- 32 -'!D31,'- 32 -'!B31,'- 31 -'!F31,'- 31 -'!D31,'- 31 -'!B31)</f>
        <v>3883961</v>
      </c>
      <c r="F31" s="291">
        <f>E31/'- 3 -'!D31*100</f>
        <v>10.023836012938414</v>
      </c>
      <c r="G31" s="285">
        <f>E31/'- 7 -'!E31</f>
        <v>1161.9928197456993</v>
      </c>
      <c r="H31" s="285">
        <f>SUM('- 33 -'!B31,'- 33 -'!D31,'- 33 -'!F31)</f>
        <v>702287</v>
      </c>
      <c r="I31" s="291">
        <f>H31/'- 3 -'!D31*100</f>
        <v>1.8124820826003352</v>
      </c>
      <c r="J31" s="285">
        <f>H31/'- 7 -'!E31</f>
        <v>210.10830216903514</v>
      </c>
    </row>
    <row r="32" spans="1:10" ht="14.1" customHeight="1" x14ac:dyDescent="0.2">
      <c r="A32" s="19" t="s">
        <v>130</v>
      </c>
      <c r="B32" s="20">
        <f>SUM('- 30 -'!D32,'- 30 -'!B32,'- 29 -'!F32,'- 29 -'!D32,'- 29 -'!B32)</f>
        <v>2208571</v>
      </c>
      <c r="C32" s="70">
        <f>B32/'- 3 -'!D32*100</f>
        <v>7.342423882772338</v>
      </c>
      <c r="D32" s="20">
        <f>B32/'- 7 -'!E32</f>
        <v>991.9474511565237</v>
      </c>
      <c r="E32" s="20">
        <f>SUM('- 32 -'!D32,'- 32 -'!B32,'- 31 -'!F32,'- 31 -'!D32,'- 31 -'!B32)</f>
        <v>3260567</v>
      </c>
      <c r="F32" s="70">
        <f>E32/'- 3 -'!D32*100</f>
        <v>10.839798680766593</v>
      </c>
      <c r="G32" s="20">
        <f>E32/'- 7 -'!E32</f>
        <v>1464.4361104873119</v>
      </c>
      <c r="H32" s="20">
        <f>SUM('- 33 -'!B32,'- 33 -'!D32,'- 33 -'!F32)</f>
        <v>558994</v>
      </c>
      <c r="I32" s="70">
        <f>H32/'- 3 -'!D32*100</f>
        <v>1.858383043119936</v>
      </c>
      <c r="J32" s="20">
        <f>H32/'- 7 -'!E32</f>
        <v>251.06400179654165</v>
      </c>
    </row>
    <row r="33" spans="1:10" ht="14.1" customHeight="1" x14ac:dyDescent="0.2">
      <c r="A33" s="284" t="s">
        <v>131</v>
      </c>
      <c r="B33" s="285">
        <f>SUM('- 30 -'!D33,'- 30 -'!B33,'- 29 -'!F33,'- 29 -'!D33,'- 29 -'!B33)</f>
        <v>2473401</v>
      </c>
      <c r="C33" s="291">
        <f>B33/'- 3 -'!D33*100</f>
        <v>8.8259578831340733</v>
      </c>
      <c r="D33" s="285">
        <f>B33/'- 7 -'!E33</f>
        <v>1207.5974025974026</v>
      </c>
      <c r="E33" s="285">
        <f>SUM('- 32 -'!D33,'- 32 -'!B33,'- 31 -'!F33,'- 31 -'!D33,'- 31 -'!B33)</f>
        <v>3314726</v>
      </c>
      <c r="F33" s="291">
        <f>E33/'- 3 -'!D33*100</f>
        <v>11.828099070926823</v>
      </c>
      <c r="G33" s="285">
        <f>E33/'- 7 -'!E33</f>
        <v>1618.3605116687825</v>
      </c>
      <c r="H33" s="285">
        <f>SUM('- 33 -'!B33,'- 33 -'!D33,'- 33 -'!F33)</f>
        <v>501134</v>
      </c>
      <c r="I33" s="291">
        <f>H33/'- 3 -'!D33*100</f>
        <v>1.7882209871373507</v>
      </c>
      <c r="J33" s="285">
        <f>H33/'- 7 -'!E33</f>
        <v>244.67044233961531</v>
      </c>
    </row>
    <row r="34" spans="1:10" ht="14.1" customHeight="1" x14ac:dyDescent="0.2">
      <c r="A34" s="19" t="s">
        <v>132</v>
      </c>
      <c r="B34" s="20">
        <f>SUM('- 30 -'!D34,'- 30 -'!B34,'- 29 -'!F34,'- 29 -'!D34,'- 29 -'!B34)</f>
        <v>2845931</v>
      </c>
      <c r="C34" s="70">
        <f>B34/'- 3 -'!D34*100</f>
        <v>9.2513728511979103</v>
      </c>
      <c r="D34" s="20">
        <f>B34/'- 7 -'!E34</f>
        <v>1304.2883069505679</v>
      </c>
      <c r="E34" s="20">
        <f>SUM('- 32 -'!D34,'- 32 -'!B34,'- 31 -'!F34,'- 31 -'!D34,'- 31 -'!B34)</f>
        <v>2792048</v>
      </c>
      <c r="F34" s="70">
        <f>E34/'- 3 -'!D34*100</f>
        <v>9.0762133960526175</v>
      </c>
      <c r="G34" s="20">
        <f>E34/'- 7 -'!E34</f>
        <v>1279.5937634625432</v>
      </c>
      <c r="H34" s="20">
        <f>SUM('- 33 -'!B34,'- 33 -'!D34,'- 33 -'!F34)</f>
        <v>632053</v>
      </c>
      <c r="I34" s="70">
        <f>H34/'- 3 -'!D34*100</f>
        <v>2.0546379953407841</v>
      </c>
      <c r="J34" s="20">
        <f>H34/'- 7 -'!E34</f>
        <v>289.66947451397357</v>
      </c>
    </row>
    <row r="35" spans="1:10" ht="14.1" customHeight="1" x14ac:dyDescent="0.2">
      <c r="A35" s="284" t="s">
        <v>133</v>
      </c>
      <c r="B35" s="285">
        <f>SUM('- 30 -'!D35,'- 30 -'!B35,'- 29 -'!F35,'- 29 -'!D35,'- 29 -'!B35)</f>
        <v>4699085</v>
      </c>
      <c r="C35" s="291">
        <f>B35/'- 3 -'!D35*100</f>
        <v>2.4366310944147602</v>
      </c>
      <c r="D35" s="285">
        <f>B35/'- 7 -'!E35</f>
        <v>292.50451291627763</v>
      </c>
      <c r="E35" s="285">
        <f>SUM('- 32 -'!D35,'- 32 -'!B35,'- 31 -'!F35,'- 31 -'!D35,'- 31 -'!B35)</f>
        <v>22019028</v>
      </c>
      <c r="F35" s="291">
        <f>E35/'- 3 -'!D35*100</f>
        <v>11.417594764425255</v>
      </c>
      <c r="G35" s="285">
        <f>E35/'- 7 -'!E35</f>
        <v>1370.6211017740429</v>
      </c>
      <c r="H35" s="285">
        <f>SUM('- 33 -'!B35,'- 33 -'!D35,'- 33 -'!F35)</f>
        <v>3383864</v>
      </c>
      <c r="I35" s="291">
        <f>H35/'- 3 -'!D35*100</f>
        <v>1.7546454770813271</v>
      </c>
      <c r="J35" s="285">
        <f>H35/'- 7 -'!E35</f>
        <v>210.63579209461562</v>
      </c>
    </row>
    <row r="36" spans="1:10" ht="14.1" customHeight="1" x14ac:dyDescent="0.2">
      <c r="A36" s="19" t="s">
        <v>134</v>
      </c>
      <c r="B36" s="20">
        <f>SUM('- 30 -'!D36,'- 30 -'!B36,'- 29 -'!F36,'- 29 -'!D36,'- 29 -'!B36)</f>
        <v>1748955</v>
      </c>
      <c r="C36" s="70">
        <f>B36/'- 3 -'!D36*100</f>
        <v>7.2817838056455644</v>
      </c>
      <c r="D36" s="20">
        <f>B36/'- 7 -'!E36</f>
        <v>1041.6646813579512</v>
      </c>
      <c r="E36" s="20">
        <f>SUM('- 32 -'!D36,'- 32 -'!B36,'- 31 -'!F36,'- 31 -'!D36,'- 31 -'!B36)</f>
        <v>2953384</v>
      </c>
      <c r="F36" s="70">
        <f>E36/'- 3 -'!D36*100</f>
        <v>12.296430601732302</v>
      </c>
      <c r="G36" s="20">
        <f>E36/'- 7 -'!E36</f>
        <v>1759.013698630137</v>
      </c>
      <c r="H36" s="20">
        <f>SUM('- 33 -'!B36,'- 33 -'!D36,'- 33 -'!F36)</f>
        <v>437880</v>
      </c>
      <c r="I36" s="70">
        <f>H36/'- 3 -'!D36*100</f>
        <v>1.8231157993293592</v>
      </c>
      <c r="J36" s="20">
        <f>H36/'- 7 -'!E36</f>
        <v>260.7980941036331</v>
      </c>
    </row>
    <row r="37" spans="1:10" ht="14.1" customHeight="1" x14ac:dyDescent="0.2">
      <c r="A37" s="284" t="s">
        <v>135</v>
      </c>
      <c r="B37" s="285">
        <f>SUM('- 30 -'!D37,'- 30 -'!B37,'- 29 -'!F37,'- 29 -'!D37,'- 29 -'!B37)</f>
        <v>3464058</v>
      </c>
      <c r="C37" s="291">
        <f>B37/'- 3 -'!D37*100</f>
        <v>6.4575637880202974</v>
      </c>
      <c r="D37" s="285">
        <f>B37/'- 7 -'!E37</f>
        <v>798.7221581738529</v>
      </c>
      <c r="E37" s="285">
        <f>SUM('- 32 -'!D37,'- 32 -'!B37,'- 31 -'!F37,'- 31 -'!D37,'- 31 -'!B37)</f>
        <v>4994160</v>
      </c>
      <c r="F37" s="291">
        <f>E37/'- 3 -'!D37*100</f>
        <v>9.3099211293746951</v>
      </c>
      <c r="G37" s="285">
        <f>E37/'- 7 -'!E37</f>
        <v>1151.5240949965414</v>
      </c>
      <c r="H37" s="285">
        <f>SUM('- 33 -'!B37,'- 33 -'!D37,'- 33 -'!F37)</f>
        <v>975159</v>
      </c>
      <c r="I37" s="291">
        <f>H37/'- 3 -'!D37*100</f>
        <v>1.8178539291091793</v>
      </c>
      <c r="J37" s="285">
        <f>H37/'- 7 -'!E37</f>
        <v>224.84643762969796</v>
      </c>
    </row>
    <row r="38" spans="1:10" ht="14.1" customHeight="1" x14ac:dyDescent="0.2">
      <c r="A38" s="19" t="s">
        <v>136</v>
      </c>
      <c r="B38" s="20">
        <f>SUM('- 30 -'!D38,'- 30 -'!B38,'- 29 -'!F38,'- 29 -'!D38,'- 29 -'!B38)</f>
        <v>4510362</v>
      </c>
      <c r="C38" s="70">
        <f>B38/'- 3 -'!D38*100</f>
        <v>3.1273150284249778</v>
      </c>
      <c r="D38" s="20">
        <f>B38/'- 7 -'!E38</f>
        <v>398.92467031654922</v>
      </c>
      <c r="E38" s="20">
        <f>SUM('- 32 -'!D38,'- 32 -'!B38,'- 31 -'!F38,'- 31 -'!D38,'- 31 -'!B38)</f>
        <v>13601359</v>
      </c>
      <c r="F38" s="70">
        <f>E38/'- 3 -'!D38*100</f>
        <v>9.4306697350907349</v>
      </c>
      <c r="G38" s="20">
        <f>E38/'- 7 -'!E38</f>
        <v>1202.9893952928899</v>
      </c>
      <c r="H38" s="20">
        <f>SUM('- 33 -'!B38,'- 33 -'!D38,'- 33 -'!F38)</f>
        <v>2683066</v>
      </c>
      <c r="I38" s="70">
        <f>H38/'- 3 -'!D38*100</f>
        <v>1.8603368474761204</v>
      </c>
      <c r="J38" s="20">
        <f>H38/'- 7 -'!E38</f>
        <v>237.30716503188489</v>
      </c>
    </row>
    <row r="39" spans="1:10" ht="14.1" customHeight="1" x14ac:dyDescent="0.2">
      <c r="A39" s="284" t="s">
        <v>137</v>
      </c>
      <c r="B39" s="285">
        <f>SUM('- 30 -'!D39,'- 30 -'!B39,'- 29 -'!F39,'- 29 -'!D39,'- 29 -'!B39)</f>
        <v>2065263</v>
      </c>
      <c r="C39" s="291">
        <f>B39/'- 3 -'!D39*100</f>
        <v>9.2502877637681511</v>
      </c>
      <c r="D39" s="285">
        <f>B39/'- 7 -'!E39</f>
        <v>1374.0938123752494</v>
      </c>
      <c r="E39" s="285">
        <f>SUM('- 32 -'!D39,'- 32 -'!B39,'- 31 -'!F39,'- 31 -'!D39,'- 31 -'!B39)</f>
        <v>2359360</v>
      </c>
      <c r="F39" s="291">
        <f>E39/'- 3 -'!D39*100</f>
        <v>10.56754463636061</v>
      </c>
      <c r="G39" s="285">
        <f>E39/'- 7 -'!E39</f>
        <v>1569.7671324018629</v>
      </c>
      <c r="H39" s="285">
        <f>SUM('- 33 -'!B39,'- 33 -'!D39,'- 33 -'!F39)</f>
        <v>384264</v>
      </c>
      <c r="I39" s="291">
        <f>H39/'- 3 -'!D39*100</f>
        <v>1.7211137648118446</v>
      </c>
      <c r="J39" s="285">
        <f>H39/'- 7 -'!E39</f>
        <v>255.66467065868264</v>
      </c>
    </row>
    <row r="40" spans="1:10" ht="14.1" customHeight="1" x14ac:dyDescent="0.2">
      <c r="A40" s="19" t="s">
        <v>138</v>
      </c>
      <c r="B40" s="20">
        <f>SUM('- 30 -'!D40,'- 30 -'!B40,'- 29 -'!F40,'- 29 -'!D40,'- 29 -'!B40)</f>
        <v>3019769</v>
      </c>
      <c r="C40" s="70">
        <f>B40/'- 3 -'!D40*100</f>
        <v>2.8317730789296345</v>
      </c>
      <c r="D40" s="20">
        <f>B40/'- 7 -'!E40</f>
        <v>368.23083254580376</v>
      </c>
      <c r="E40" s="20">
        <f>SUM('- 32 -'!D40,'- 32 -'!B40,'- 31 -'!F40,'- 31 -'!D40,'- 31 -'!B40)</f>
        <v>10531626</v>
      </c>
      <c r="F40" s="70">
        <f>E40/'- 3 -'!D40*100</f>
        <v>9.8759789189687677</v>
      </c>
      <c r="G40" s="20">
        <f>E40/'- 7 -'!E40</f>
        <v>1284.22717434381</v>
      </c>
      <c r="H40" s="20">
        <f>SUM('- 33 -'!B40,'- 33 -'!D40,'- 33 -'!F40)</f>
        <v>1846688</v>
      </c>
      <c r="I40" s="70">
        <f>H40/'- 3 -'!D40*100</f>
        <v>1.7317223150454253</v>
      </c>
      <c r="J40" s="20">
        <f>H40/'- 7 -'!E40</f>
        <v>225.18525744596531</v>
      </c>
    </row>
    <row r="41" spans="1:10" ht="14.1" customHeight="1" x14ac:dyDescent="0.2">
      <c r="A41" s="284" t="s">
        <v>139</v>
      </c>
      <c r="B41" s="285">
        <f>SUM('- 30 -'!D41,'- 30 -'!B41,'- 29 -'!F41,'- 29 -'!D41,'- 29 -'!B41)</f>
        <v>5225553</v>
      </c>
      <c r="C41" s="291">
        <f>B41/'- 3 -'!D41*100</f>
        <v>7.9746930022324634</v>
      </c>
      <c r="D41" s="285">
        <f>B41/'- 7 -'!E41</f>
        <v>1173.6222346996069</v>
      </c>
      <c r="E41" s="285">
        <f>SUM('- 32 -'!D41,'- 32 -'!B41,'- 31 -'!F41,'- 31 -'!D41,'- 31 -'!B41)</f>
        <v>6398916</v>
      </c>
      <c r="F41" s="291">
        <f>E41/'- 3 -'!D41*100</f>
        <v>9.7653570152428557</v>
      </c>
      <c r="G41" s="285">
        <f>E41/'- 7 -'!E41</f>
        <v>1437.1512633352049</v>
      </c>
      <c r="H41" s="285">
        <f>SUM('- 33 -'!B41,'- 33 -'!D41,'- 33 -'!F41)</f>
        <v>1357158</v>
      </c>
      <c r="I41" s="291">
        <f>H41/'- 3 -'!D41*100</f>
        <v>2.0711527383845891</v>
      </c>
      <c r="J41" s="285">
        <f>H41/'- 7 -'!E41</f>
        <v>304.80808534531161</v>
      </c>
    </row>
    <row r="42" spans="1:10" ht="14.1" customHeight="1" x14ac:dyDescent="0.2">
      <c r="A42" s="19" t="s">
        <v>140</v>
      </c>
      <c r="B42" s="20">
        <f>SUM('- 30 -'!D42,'- 30 -'!B42,'- 29 -'!F42,'- 29 -'!D42,'- 29 -'!B42)</f>
        <v>1679087</v>
      </c>
      <c r="C42" s="70">
        <f>B42/'- 3 -'!D42*100</f>
        <v>8.0519759527418113</v>
      </c>
      <c r="D42" s="20">
        <f>B42/'- 7 -'!E42</f>
        <v>1214.5294755877035</v>
      </c>
      <c r="E42" s="20">
        <f>SUM('- 32 -'!D42,'- 32 -'!B42,'- 31 -'!F42,'- 31 -'!D42,'- 31 -'!B42)</f>
        <v>2530968</v>
      </c>
      <c r="F42" s="70">
        <f>E42/'- 3 -'!D42*100</f>
        <v>12.137127780251431</v>
      </c>
      <c r="G42" s="20">
        <f>E42/'- 7 -'!E42</f>
        <v>1830.7182640144665</v>
      </c>
      <c r="H42" s="20">
        <f>SUM('- 33 -'!B42,'- 33 -'!D42,'- 33 -'!F42)</f>
        <v>331115</v>
      </c>
      <c r="I42" s="70">
        <f>H42/'- 3 -'!D42*100</f>
        <v>1.587845071513331</v>
      </c>
      <c r="J42" s="20">
        <f>H42/'- 7 -'!E42</f>
        <v>239.50452079566003</v>
      </c>
    </row>
    <row r="43" spans="1:10" ht="14.1" customHeight="1" x14ac:dyDescent="0.2">
      <c r="A43" s="284" t="s">
        <v>141</v>
      </c>
      <c r="B43" s="285">
        <f>SUM('- 30 -'!D43,'- 30 -'!B43,'- 29 -'!F43,'- 29 -'!D43,'- 29 -'!B43)</f>
        <v>1313666</v>
      </c>
      <c r="C43" s="291">
        <f>B43/'- 3 -'!D43*100</f>
        <v>9.5386373460278353</v>
      </c>
      <c r="D43" s="285">
        <f>B43/'- 7 -'!E43</f>
        <v>1324.9278870398387</v>
      </c>
      <c r="E43" s="285">
        <f>SUM('- 32 -'!D43,'- 32 -'!B43,'- 31 -'!F43,'- 31 -'!D43,'- 31 -'!B43)</f>
        <v>1113680</v>
      </c>
      <c r="F43" s="291">
        <f>E43/'- 3 -'!D43*100</f>
        <v>8.0865224794767325</v>
      </c>
      <c r="G43" s="285">
        <f>E43/'- 7 -'!E43</f>
        <v>1123.2274331820474</v>
      </c>
      <c r="H43" s="285">
        <f>SUM('- 33 -'!B43,'- 33 -'!D43,'- 33 -'!F43)</f>
        <v>327978</v>
      </c>
      <c r="I43" s="291">
        <f>H43/'- 3 -'!D43*100</f>
        <v>2.3814753517831151</v>
      </c>
      <c r="J43" s="285">
        <f>H43/'- 7 -'!E43</f>
        <v>330.78971255673224</v>
      </c>
    </row>
    <row r="44" spans="1:10" ht="14.1" customHeight="1" x14ac:dyDescent="0.2">
      <c r="A44" s="19" t="s">
        <v>142</v>
      </c>
      <c r="B44" s="20">
        <f>SUM('- 30 -'!D44,'- 30 -'!B44,'- 29 -'!F44,'- 29 -'!D44,'- 29 -'!B44)</f>
        <v>1179311</v>
      </c>
      <c r="C44" s="70">
        <f>B44/'- 3 -'!D44*100</f>
        <v>10.580504796531514</v>
      </c>
      <c r="D44" s="20">
        <f>B44/'- 7 -'!E44</f>
        <v>1661.0014084507043</v>
      </c>
      <c r="E44" s="20">
        <f>SUM('- 32 -'!D44,'- 32 -'!B44,'- 31 -'!F44,'- 31 -'!D44,'- 31 -'!B44)</f>
        <v>1139280</v>
      </c>
      <c r="F44" s="70">
        <f>E44/'- 3 -'!D44*100</f>
        <v>10.221355948170094</v>
      </c>
      <c r="G44" s="20">
        <f>E44/'- 7 -'!E44</f>
        <v>1604.6197183098591</v>
      </c>
      <c r="H44" s="20">
        <f>SUM('- 33 -'!B44,'- 33 -'!D44,'- 33 -'!F44)</f>
        <v>177586</v>
      </c>
      <c r="I44" s="70">
        <f>H44/'- 3 -'!D44*100</f>
        <v>1.5932604078117185</v>
      </c>
      <c r="J44" s="20">
        <f>H44/'- 7 -'!E44</f>
        <v>250.12112676056339</v>
      </c>
    </row>
    <row r="45" spans="1:10" ht="14.1" customHeight="1" x14ac:dyDescent="0.2">
      <c r="A45" s="284" t="s">
        <v>143</v>
      </c>
      <c r="B45" s="285">
        <f>SUM('- 30 -'!D45,'- 30 -'!B45,'- 29 -'!F45,'- 29 -'!D45,'- 29 -'!B45)</f>
        <v>881429</v>
      </c>
      <c r="C45" s="291">
        <f>B45/'- 3 -'!D45*100</f>
        <v>4.2966171029956968</v>
      </c>
      <c r="D45" s="285">
        <f>B45/'- 7 -'!E45</f>
        <v>484.96781292984872</v>
      </c>
      <c r="E45" s="285">
        <f>SUM('- 32 -'!D45,'- 32 -'!B45,'- 31 -'!F45,'- 31 -'!D45,'- 31 -'!B45)</f>
        <v>2043953</v>
      </c>
      <c r="F45" s="291">
        <f>E45/'- 3 -'!D45*100</f>
        <v>9.9634609452597598</v>
      </c>
      <c r="G45" s="285">
        <f>E45/'- 7 -'!E45</f>
        <v>1124.5958734525448</v>
      </c>
      <c r="H45" s="285">
        <f>SUM('- 33 -'!B45,'- 33 -'!D45,'- 33 -'!F45)</f>
        <v>373909</v>
      </c>
      <c r="I45" s="291">
        <f>H45/'- 3 -'!D45*100</f>
        <v>1.8226582111140186</v>
      </c>
      <c r="J45" s="285">
        <f>H45/'- 7 -'!E45</f>
        <v>205.72709766162311</v>
      </c>
    </row>
    <row r="46" spans="1:10" ht="14.1" customHeight="1" x14ac:dyDescent="0.2">
      <c r="A46" s="19" t="s">
        <v>144</v>
      </c>
      <c r="B46" s="20">
        <f>SUM('- 30 -'!D46,'- 30 -'!B46,'- 29 -'!F46,'- 29 -'!D46,'- 29 -'!B46)</f>
        <v>7199146</v>
      </c>
      <c r="C46" s="70">
        <f>B46/'- 3 -'!D46*100</f>
        <v>1.7932922535002516</v>
      </c>
      <c r="D46" s="20">
        <f>B46/'- 7 -'!E46</f>
        <v>241.6834578262694</v>
      </c>
      <c r="E46" s="20">
        <f>SUM('- 32 -'!D46,'- 32 -'!B46,'- 31 -'!F46,'- 31 -'!D46,'- 31 -'!B46)</f>
        <v>48306211</v>
      </c>
      <c r="F46" s="70">
        <f>E46/'- 3 -'!D46*100</f>
        <v>12.032976408903034</v>
      </c>
      <c r="G46" s="20">
        <f>E46/'- 7 -'!E46</f>
        <v>1621.6940327318507</v>
      </c>
      <c r="H46" s="20">
        <f>SUM('- 33 -'!B46,'- 33 -'!D46,'- 33 -'!F46)</f>
        <v>7214260</v>
      </c>
      <c r="I46" s="70">
        <f>H46/'- 3 -'!D46*100</f>
        <v>1.7970571193773159</v>
      </c>
      <c r="J46" s="20">
        <f>H46/'- 7 -'!E46</f>
        <v>242.19085186739403</v>
      </c>
    </row>
    <row r="47" spans="1:10" ht="5.0999999999999996" customHeight="1" x14ac:dyDescent="0.2">
      <c r="A47" s="21"/>
      <c r="B47" s="22"/>
      <c r="C47"/>
      <c r="D47"/>
      <c r="E47"/>
      <c r="F47"/>
      <c r="G47"/>
      <c r="H47"/>
      <c r="I47"/>
      <c r="J47"/>
    </row>
    <row r="48" spans="1:10" ht="14.1" customHeight="1" x14ac:dyDescent="0.2">
      <c r="A48" s="286" t="s">
        <v>145</v>
      </c>
      <c r="B48" s="287">
        <f>SUM(B11:B46)</f>
        <v>106288735</v>
      </c>
      <c r="C48" s="294">
        <f>B48/'- 3 -'!D48*100</f>
        <v>4.4357116303247537</v>
      </c>
      <c r="D48" s="287">
        <f>B48/'- 7 -'!E48</f>
        <v>594.42698435819432</v>
      </c>
      <c r="E48" s="287">
        <f>SUM(E11:E46)</f>
        <v>269430236</v>
      </c>
      <c r="F48" s="294">
        <f>E48/'- 3 -'!D48*100</f>
        <v>11.244040409233802</v>
      </c>
      <c r="G48" s="287">
        <f>E48/'- 7 -'!E48</f>
        <v>1506.8069318954319</v>
      </c>
      <c r="H48" s="287">
        <f>SUM(H11:H46)</f>
        <v>41772843</v>
      </c>
      <c r="I48" s="294">
        <f>H48/'- 3 -'!D48*100</f>
        <v>1.7432918505129444</v>
      </c>
      <c r="J48" s="287">
        <f>H48/'- 7 -'!E48</f>
        <v>233.61746748193315</v>
      </c>
    </row>
    <row r="49" spans="1:10" ht="5.0999999999999996" customHeight="1" x14ac:dyDescent="0.2">
      <c r="A49" s="21" t="s">
        <v>7</v>
      </c>
      <c r="B49" s="22"/>
      <c r="C49"/>
      <c r="D49"/>
      <c r="E49"/>
      <c r="F49"/>
      <c r="G49"/>
      <c r="H49"/>
      <c r="I49"/>
      <c r="J49"/>
    </row>
    <row r="50" spans="1:10" ht="14.1" customHeight="1" x14ac:dyDescent="0.2">
      <c r="A50" s="284" t="s">
        <v>146</v>
      </c>
      <c r="B50" s="285">
        <f>SUM('- 30 -'!D50,'- 30 -'!B50,'- 29 -'!F50,'- 29 -'!D50,'- 29 -'!B50)</f>
        <v>85879</v>
      </c>
      <c r="C50" s="291">
        <f>B50/'- 3 -'!D50*100</f>
        <v>2.5279250962480129</v>
      </c>
      <c r="D50" s="285">
        <f>B50/'- 7 -'!E50</f>
        <v>475.78393351800554</v>
      </c>
      <c r="E50" s="285">
        <f>SUM('- 32 -'!D50,'- 32 -'!B50,'- 31 -'!F50,'- 31 -'!D50,'- 31 -'!B50)</f>
        <v>453362</v>
      </c>
      <c r="F50" s="291">
        <f>E50/'- 3 -'!D50*100</f>
        <v>13.345115540297298</v>
      </c>
      <c r="G50" s="285">
        <f>E50/'- 7 -'!E50</f>
        <v>2511.7008310249307</v>
      </c>
      <c r="H50" s="285">
        <f>SUM('- 33 -'!B50,'- 33 -'!D50,'- 33 -'!F50)</f>
        <v>48927</v>
      </c>
      <c r="I50" s="291">
        <f>H50/'- 3 -'!D50*100</f>
        <v>1.4402099603410208</v>
      </c>
      <c r="J50" s="285">
        <f>H50/'- 7 -'!E50</f>
        <v>271.06371191135736</v>
      </c>
    </row>
    <row r="51" spans="1:10" ht="14.1" customHeight="1" x14ac:dyDescent="0.2">
      <c r="A51" s="19" t="s">
        <v>601</v>
      </c>
      <c r="B51" s="20">
        <f>SUM('- 30 -'!D51,'- 30 -'!B51,'- 29 -'!F51,'- 29 -'!D51,'- 29 -'!B51)</f>
        <v>0</v>
      </c>
      <c r="C51" s="70">
        <f>B51/'- 3 -'!D51*100</f>
        <v>0</v>
      </c>
      <c r="D51" s="20">
        <f>B51/'- 7 -'!E51</f>
        <v>0</v>
      </c>
      <c r="E51" s="20">
        <f>SUM('- 32 -'!D51,'- 32 -'!B51,'- 31 -'!F51,'- 31 -'!D51,'- 31 -'!B51)</f>
        <v>4216002</v>
      </c>
      <c r="F51" s="70">
        <f>E51/'- 3 -'!D51*100</f>
        <v>13.417457185570028</v>
      </c>
      <c r="G51" s="20">
        <f>E51/'- 7 -'!E51</f>
        <v>3516.2652210175147</v>
      </c>
      <c r="H51" s="20">
        <f>SUM('- 33 -'!B51,'- 33 -'!D51,'- 33 -'!F51)</f>
        <v>634206</v>
      </c>
      <c r="I51" s="70">
        <f>H51/'- 3 -'!D51*100</f>
        <v>2.0183652312858547</v>
      </c>
      <c r="J51" s="20">
        <f>H51/'- 7 -'!E51</f>
        <v>528.94578815679733</v>
      </c>
    </row>
    <row r="52" spans="1:10" ht="50.1" customHeight="1" x14ac:dyDescent="0.2"/>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G52"/>
  <sheetViews>
    <sheetView showGridLines="0" showZeros="0" workbookViewId="0"/>
  </sheetViews>
  <sheetFormatPr defaultColWidth="15.83203125" defaultRowHeight="12" x14ac:dyDescent="0.2"/>
  <cols>
    <col min="1" max="1" width="33.83203125" style="2" customWidth="1"/>
    <col min="2" max="2" width="21.83203125" style="2" customWidth="1"/>
    <col min="3" max="3" width="12.83203125" style="2" customWidth="1"/>
    <col min="4" max="4" width="15.33203125" style="2" customWidth="1"/>
    <col min="5" max="5" width="20.83203125" style="2" customWidth="1"/>
    <col min="6" max="6" width="12.83203125" style="2" customWidth="1"/>
    <col min="7" max="7" width="15.33203125" style="2" customWidth="1"/>
    <col min="8" max="16384" width="15.83203125" style="2"/>
  </cols>
  <sheetData>
    <row r="1" spans="1:7" ht="6.95" customHeight="1" x14ac:dyDescent="0.2">
      <c r="A1" s="7"/>
      <c r="B1" s="89"/>
      <c r="C1" s="89"/>
      <c r="D1" s="89"/>
      <c r="E1" s="89"/>
      <c r="F1" s="89"/>
      <c r="G1" s="89"/>
    </row>
    <row r="2" spans="1:7" ht="15.95" customHeight="1" x14ac:dyDescent="0.2">
      <c r="A2" s="134"/>
      <c r="B2" s="90" t="s">
        <v>263</v>
      </c>
      <c r="C2" s="201"/>
      <c r="D2" s="91"/>
      <c r="E2" s="91"/>
      <c r="F2" s="91"/>
      <c r="G2" s="395" t="s">
        <v>398</v>
      </c>
    </row>
    <row r="3" spans="1:7" ht="15.95" customHeight="1" x14ac:dyDescent="0.2">
      <c r="A3" s="541"/>
      <c r="B3" s="202" t="str">
        <f>OPYEAR</f>
        <v>OPERATING FUND 2018/2019 ACTUAL</v>
      </c>
      <c r="C3" s="94"/>
      <c r="D3" s="203"/>
      <c r="E3" s="94"/>
      <c r="F3" s="94"/>
      <c r="G3" s="96"/>
    </row>
    <row r="4" spans="1:7" ht="15.95" customHeight="1" x14ac:dyDescent="0.2">
      <c r="B4" s="89"/>
      <c r="C4" s="89"/>
      <c r="D4" s="89"/>
      <c r="E4" s="89"/>
      <c r="F4" s="89"/>
      <c r="G4" s="89"/>
    </row>
    <row r="5" spans="1:7" ht="15.95" customHeight="1" x14ac:dyDescent="0.2">
      <c r="B5" s="188" t="s">
        <v>13</v>
      </c>
      <c r="C5" s="175"/>
      <c r="D5" s="176"/>
      <c r="E5" s="176"/>
      <c r="F5" s="176"/>
      <c r="G5" s="177"/>
    </row>
    <row r="6" spans="1:7" ht="15.95" customHeight="1" x14ac:dyDescent="0.2">
      <c r="B6" s="309"/>
      <c r="C6" s="312"/>
      <c r="D6" s="310"/>
      <c r="E6" s="649" t="s">
        <v>475</v>
      </c>
      <c r="F6" s="657"/>
      <c r="G6" s="650"/>
    </row>
    <row r="7" spans="1:7" ht="15.95" customHeight="1" x14ac:dyDescent="0.2">
      <c r="B7" s="654" t="s">
        <v>19</v>
      </c>
      <c r="C7" s="656"/>
      <c r="D7" s="655"/>
      <c r="E7" s="651"/>
      <c r="F7" s="658"/>
      <c r="G7" s="652"/>
    </row>
    <row r="8" spans="1:7" ht="15.95" customHeight="1" x14ac:dyDescent="0.2">
      <c r="A8" s="67"/>
      <c r="B8" s="137"/>
      <c r="C8" s="138"/>
      <c r="D8" s="602" t="s">
        <v>473</v>
      </c>
      <c r="E8" s="137"/>
      <c r="F8" s="139"/>
      <c r="G8" s="602" t="s">
        <v>474</v>
      </c>
    </row>
    <row r="9" spans="1:7" ht="15.95" customHeight="1" x14ac:dyDescent="0.2">
      <c r="A9" s="35" t="s">
        <v>42</v>
      </c>
      <c r="B9" s="77" t="s">
        <v>43</v>
      </c>
      <c r="C9" s="77" t="s">
        <v>44</v>
      </c>
      <c r="D9" s="604"/>
      <c r="E9" s="77" t="s">
        <v>43</v>
      </c>
      <c r="F9" s="77" t="s">
        <v>44</v>
      </c>
      <c r="G9" s="604"/>
    </row>
    <row r="10" spans="1:7" ht="5.0999999999999996" customHeight="1" x14ac:dyDescent="0.2">
      <c r="A10" s="6"/>
    </row>
    <row r="11" spans="1:7" ht="14.1" customHeight="1" x14ac:dyDescent="0.2">
      <c r="A11" s="284" t="s">
        <v>110</v>
      </c>
      <c r="B11" s="285">
        <v>1368714</v>
      </c>
      <c r="C11" s="291">
        <f>B11/'- 3 -'!D11*100</f>
        <v>6.8127291159286463</v>
      </c>
      <c r="D11" s="285">
        <f>B11/'- 7 -'!C11</f>
        <v>754.94429123000555</v>
      </c>
      <c r="E11" s="285">
        <v>0</v>
      </c>
      <c r="F11" s="291">
        <f>E11/'- 3 -'!D11*100</f>
        <v>0</v>
      </c>
      <c r="G11" s="285" t="str">
        <f>IF('- 7 -'!B11=0,"",E11/'- 7 -'!B11)</f>
        <v/>
      </c>
    </row>
    <row r="12" spans="1:7" ht="14.1" customHeight="1" x14ac:dyDescent="0.2">
      <c r="A12" s="19" t="s">
        <v>111</v>
      </c>
      <c r="B12" s="20">
        <v>2666686</v>
      </c>
      <c r="C12" s="70">
        <f>B12/'- 3 -'!D12*100</f>
        <v>7.8686974919475778</v>
      </c>
      <c r="D12" s="20">
        <f>B12/'- 7 -'!C12</f>
        <v>1253.925620806237</v>
      </c>
      <c r="E12" s="20">
        <v>1238599</v>
      </c>
      <c r="F12" s="70">
        <f>E12/'- 3 -'!D12*100</f>
        <v>3.6547838196280988</v>
      </c>
      <c r="G12" s="20">
        <f>IF('- 7 -'!B12=0,"",E12/'- 7 -'!B12)</f>
        <v>8477.1678872082666</v>
      </c>
    </row>
    <row r="13" spans="1:7" ht="14.1" customHeight="1" x14ac:dyDescent="0.2">
      <c r="A13" s="284" t="s">
        <v>112</v>
      </c>
      <c r="B13" s="285">
        <v>7209341</v>
      </c>
      <c r="C13" s="291">
        <f>B13/'- 3 -'!D13*100</f>
        <v>7.1443967899679297</v>
      </c>
      <c r="D13" s="285">
        <f>B13/'- 7 -'!C13</f>
        <v>841.72107413893752</v>
      </c>
      <c r="E13" s="285">
        <v>3804370</v>
      </c>
      <c r="F13" s="291">
        <f>E13/'- 3 -'!D13*100</f>
        <v>3.7700989335710839</v>
      </c>
      <c r="G13" s="285">
        <f>IF('- 7 -'!B13=0,"",E13/'- 7 -'!B13)</f>
        <v>9058.0238095238092</v>
      </c>
    </row>
    <row r="14" spans="1:7" ht="14.1" customHeight="1" x14ac:dyDescent="0.2">
      <c r="A14" s="19" t="s">
        <v>359</v>
      </c>
      <c r="B14" s="20">
        <v>6821081</v>
      </c>
      <c r="C14" s="70">
        <f>B14/'- 3 -'!D14*100</f>
        <v>7.471366554987438</v>
      </c>
      <c r="D14" s="20">
        <f>B14/'- 7 -'!C14</f>
        <v>1261.0613791828434</v>
      </c>
      <c r="E14" s="20">
        <v>128318</v>
      </c>
      <c r="F14" s="70">
        <f>E14/'- 3 -'!D14*100</f>
        <v>0.14055115510325683</v>
      </c>
      <c r="G14" s="20">
        <f>IF('- 7 -'!B14=0,"",E14/'- 7 -'!B14)</f>
        <v>6198.9371980676333</v>
      </c>
    </row>
    <row r="15" spans="1:7" ht="14.1" customHeight="1" x14ac:dyDescent="0.2">
      <c r="A15" s="284" t="s">
        <v>113</v>
      </c>
      <c r="B15" s="285">
        <v>1592491</v>
      </c>
      <c r="C15" s="291">
        <f>B15/'- 3 -'!D15*100</f>
        <v>7.8624093787397573</v>
      </c>
      <c r="D15" s="285">
        <f>B15/'- 7 -'!C15</f>
        <v>1127.5070801472671</v>
      </c>
      <c r="E15" s="285">
        <v>153606</v>
      </c>
      <c r="F15" s="291">
        <f>E15/'- 3 -'!D15*100</f>
        <v>0.75837995632672273</v>
      </c>
      <c r="G15" s="285">
        <f>IF('- 7 -'!B15=0,"",E15/'- 7 -'!B15)</f>
        <v>7680.3</v>
      </c>
    </row>
    <row r="16" spans="1:7" ht="14.1" customHeight="1" x14ac:dyDescent="0.2">
      <c r="A16" s="19" t="s">
        <v>114</v>
      </c>
      <c r="B16" s="20">
        <v>1339949</v>
      </c>
      <c r="C16" s="70">
        <f>B16/'- 3 -'!D16*100</f>
        <v>8.9116386706414978</v>
      </c>
      <c r="D16" s="20">
        <f>B16/'- 7 -'!C16</f>
        <v>1482.4084522624185</v>
      </c>
      <c r="E16" s="20">
        <v>0</v>
      </c>
      <c r="F16" s="70">
        <f>E16/'- 3 -'!D16*100</f>
        <v>0</v>
      </c>
      <c r="G16" s="20" t="str">
        <f>IF('- 7 -'!B16=0,"",E16/'- 7 -'!B16)</f>
        <v/>
      </c>
    </row>
    <row r="17" spans="1:7" ht="14.1" customHeight="1" x14ac:dyDescent="0.2">
      <c r="A17" s="284" t="s">
        <v>115</v>
      </c>
      <c r="B17" s="285">
        <v>1409039</v>
      </c>
      <c r="C17" s="291">
        <f>B17/'- 3 -'!D17*100</f>
        <v>7.6604626791392292</v>
      </c>
      <c r="D17" s="285">
        <f>B17/'- 7 -'!C17</f>
        <v>983.64195745614461</v>
      </c>
      <c r="E17" s="285">
        <v>202944</v>
      </c>
      <c r="F17" s="291">
        <f>E17/'- 3 -'!D17*100</f>
        <v>1.1033370530945075</v>
      </c>
      <c r="G17" s="285">
        <f>IF('- 7 -'!B17=0,"",E17/'- 7 -'!B17)</f>
        <v>8991.1898734177212</v>
      </c>
    </row>
    <row r="18" spans="1:7" ht="14.1" customHeight="1" x14ac:dyDescent="0.2">
      <c r="A18" s="19" t="s">
        <v>116</v>
      </c>
      <c r="B18" s="20">
        <v>7423197</v>
      </c>
      <c r="C18" s="70">
        <f>B18/'- 3 -'!D18*100</f>
        <v>5.5187057675167388</v>
      </c>
      <c r="D18" s="20">
        <f>B18/'- 7 -'!C18</f>
        <v>1237.8184092046024</v>
      </c>
      <c r="E18" s="20">
        <v>519993</v>
      </c>
      <c r="F18" s="70">
        <f>E18/'- 3 -'!D18*100</f>
        <v>0.38658388941696298</v>
      </c>
      <c r="G18" s="20">
        <f>IF('- 7 -'!B18=0,"",E18/'- 7 -'!B18)</f>
        <v>16937.882736156353</v>
      </c>
    </row>
    <row r="19" spans="1:7" ht="14.1" customHeight="1" x14ac:dyDescent="0.2">
      <c r="A19" s="284" t="s">
        <v>117</v>
      </c>
      <c r="B19" s="285">
        <v>3150532</v>
      </c>
      <c r="C19" s="291">
        <f>B19/'- 3 -'!D19*100</f>
        <v>6.2887070679339336</v>
      </c>
      <c r="D19" s="285">
        <f>B19/'- 7 -'!C19</f>
        <v>713.67810624079732</v>
      </c>
      <c r="E19" s="285">
        <v>1523410</v>
      </c>
      <c r="F19" s="291">
        <f>E19/'- 3 -'!D19*100</f>
        <v>3.0408449221786142</v>
      </c>
      <c r="G19" s="285">
        <f>IF('- 7 -'!B19=0,"",E19/'- 7 -'!B19)</f>
        <v>12100.158856235106</v>
      </c>
    </row>
    <row r="20" spans="1:7" ht="14.1" customHeight="1" x14ac:dyDescent="0.2">
      <c r="A20" s="19" t="s">
        <v>118</v>
      </c>
      <c r="B20" s="20">
        <v>6410298</v>
      </c>
      <c r="C20" s="70">
        <f>B20/'- 3 -'!D20*100</f>
        <v>7.3328715783663529</v>
      </c>
      <c r="D20" s="20">
        <f>B20/'- 7 -'!C20</f>
        <v>813.33477129987943</v>
      </c>
      <c r="E20" s="20">
        <v>3021286</v>
      </c>
      <c r="F20" s="70">
        <f>E20/'- 3 -'!D20*100</f>
        <v>3.4561111261155353</v>
      </c>
      <c r="G20" s="20">
        <f>IF('- 7 -'!B20=0,"",E20/'- 7 -'!B20)</f>
        <v>5605.3543599257882</v>
      </c>
    </row>
    <row r="21" spans="1:7" ht="14.1" customHeight="1" x14ac:dyDescent="0.2">
      <c r="A21" s="284" t="s">
        <v>119</v>
      </c>
      <c r="B21" s="285">
        <v>3074093</v>
      </c>
      <c r="C21" s="291">
        <f>B21/'- 3 -'!D21*100</f>
        <v>8.2526354345632775</v>
      </c>
      <c r="D21" s="285">
        <f>B21/'- 7 -'!C21</f>
        <v>1081.7415018650152</v>
      </c>
      <c r="E21" s="285">
        <v>0</v>
      </c>
      <c r="F21" s="291">
        <f>E21/'- 3 -'!D21*100</f>
        <v>0</v>
      </c>
      <c r="G21" s="285" t="str">
        <f>IF('- 7 -'!B21=0,"",E21/'- 7 -'!B21)</f>
        <v/>
      </c>
    </row>
    <row r="22" spans="1:7" ht="14.1" customHeight="1" x14ac:dyDescent="0.2">
      <c r="A22" s="19" t="s">
        <v>120</v>
      </c>
      <c r="B22" s="20">
        <v>1506286</v>
      </c>
      <c r="C22" s="70">
        <f>B22/'- 3 -'!D22*100</f>
        <v>7.1821638840748019</v>
      </c>
      <c r="D22" s="20">
        <f>B22/'- 7 -'!C22</f>
        <v>1025.6611739071225</v>
      </c>
      <c r="E22" s="20">
        <v>0</v>
      </c>
      <c r="F22" s="70">
        <f>E22/'- 3 -'!D22*100</f>
        <v>0</v>
      </c>
      <c r="G22" s="20" t="str">
        <f>IF('- 7 -'!B22=0,"",E22/'- 7 -'!B22)</f>
        <v/>
      </c>
    </row>
    <row r="23" spans="1:7" ht="14.1" customHeight="1" x14ac:dyDescent="0.2">
      <c r="A23" s="284" t="s">
        <v>121</v>
      </c>
      <c r="B23" s="285">
        <v>1050708</v>
      </c>
      <c r="C23" s="291">
        <f>B23/'- 3 -'!D23*100</f>
        <v>6.5807012868501911</v>
      </c>
      <c r="D23" s="285">
        <f>B23/'- 7 -'!C23</f>
        <v>1092.780031201248</v>
      </c>
      <c r="E23" s="285">
        <v>142057</v>
      </c>
      <c r="F23" s="291">
        <f>E23/'- 3 -'!D23*100</f>
        <v>0.88971882074380082</v>
      </c>
      <c r="G23" s="285">
        <f>IF('- 7 -'!B23=0,"",E23/'- 7 -'!B23)</f>
        <v>10927.461538461539</v>
      </c>
    </row>
    <row r="24" spans="1:7" ht="14.1" customHeight="1" x14ac:dyDescent="0.2">
      <c r="A24" s="19" t="s">
        <v>122</v>
      </c>
      <c r="B24" s="20">
        <v>4778919</v>
      </c>
      <c r="C24" s="70">
        <f>B24/'- 3 -'!D24*100</f>
        <v>8.2527902726844786</v>
      </c>
      <c r="D24" s="20">
        <f>B24/'- 7 -'!C24</f>
        <v>1247.8898579486108</v>
      </c>
      <c r="E24" s="20">
        <v>1820974</v>
      </c>
      <c r="F24" s="70">
        <f>E24/'- 3 -'!D24*100</f>
        <v>3.144668598486676</v>
      </c>
      <c r="G24" s="20">
        <f>IF('- 7 -'!B24=0,"",E24/'- 7 -'!B24)</f>
        <v>8796.9758454106286</v>
      </c>
    </row>
    <row r="25" spans="1:7" ht="14.1" customHeight="1" x14ac:dyDescent="0.2">
      <c r="A25" s="284" t="s">
        <v>123</v>
      </c>
      <c r="B25" s="285">
        <v>14673210</v>
      </c>
      <c r="C25" s="291">
        <f>B25/'- 3 -'!D25*100</f>
        <v>7.5521563818024928</v>
      </c>
      <c r="D25" s="285">
        <f>B25/'- 7 -'!C25</f>
        <v>985.99017585356512</v>
      </c>
      <c r="E25" s="285">
        <v>1377251</v>
      </c>
      <c r="F25" s="291">
        <f>E25/'- 3 -'!D25*100</f>
        <v>0.70885749805215525</v>
      </c>
      <c r="G25" s="285">
        <f>IF('- 7 -'!B25=0,"",E25/'- 7 -'!B25)</f>
        <v>14543.305174234423</v>
      </c>
    </row>
    <row r="26" spans="1:7" ht="14.1" customHeight="1" x14ac:dyDescent="0.2">
      <c r="A26" s="19" t="s">
        <v>124</v>
      </c>
      <c r="B26" s="20">
        <v>3534605</v>
      </c>
      <c r="C26" s="70">
        <f>B26/'- 3 -'!D26*100</f>
        <v>8.6352034559136683</v>
      </c>
      <c r="D26" s="20">
        <f>B26/'- 7 -'!C26</f>
        <v>1177.8090636454515</v>
      </c>
      <c r="E26" s="20">
        <v>986433</v>
      </c>
      <c r="F26" s="70">
        <f>E26/'- 3 -'!D26*100</f>
        <v>2.4099014318791734</v>
      </c>
      <c r="G26" s="20">
        <f>IF('- 7 -'!B26=0,"",E26/'- 7 -'!B26)</f>
        <v>7490.0000000000009</v>
      </c>
    </row>
    <row r="27" spans="1:7" ht="14.1" customHeight="1" x14ac:dyDescent="0.2">
      <c r="A27" s="284" t="s">
        <v>125</v>
      </c>
      <c r="B27" s="285">
        <v>2801055</v>
      </c>
      <c r="C27" s="291">
        <f>B27/'- 3 -'!D27*100</f>
        <v>6.7936307699979368</v>
      </c>
      <c r="D27" s="285">
        <f>B27/'- 7 -'!C27</f>
        <v>942.68449464218406</v>
      </c>
      <c r="E27" s="285">
        <v>1199155</v>
      </c>
      <c r="F27" s="291">
        <f>E27/'- 3 -'!D27*100</f>
        <v>2.9084099762399793</v>
      </c>
      <c r="G27" s="285">
        <f>IF('- 7 -'!B27=0,"",E27/'- 7 -'!B27)</f>
        <v>7793.8060574548281</v>
      </c>
    </row>
    <row r="28" spans="1:7" ht="14.1" customHeight="1" x14ac:dyDescent="0.2">
      <c r="A28" s="19" t="s">
        <v>126</v>
      </c>
      <c r="B28" s="20">
        <v>2189552</v>
      </c>
      <c r="C28" s="70">
        <f>B28/'- 3 -'!D28*100</f>
        <v>7.5330955484505191</v>
      </c>
      <c r="D28" s="20">
        <f>B28/'- 7 -'!C28</f>
        <v>1111.4477157360407</v>
      </c>
      <c r="E28" s="20">
        <v>0</v>
      </c>
      <c r="F28" s="70">
        <f>E28/'- 3 -'!D28*100</f>
        <v>0</v>
      </c>
      <c r="G28" s="20" t="str">
        <f>IF('- 7 -'!B28=0,"",E28/'- 7 -'!B28)</f>
        <v/>
      </c>
    </row>
    <row r="29" spans="1:7" ht="14.1" customHeight="1" x14ac:dyDescent="0.2">
      <c r="A29" s="284" t="s">
        <v>127</v>
      </c>
      <c r="B29" s="285">
        <v>12187792</v>
      </c>
      <c r="C29" s="291">
        <f>B29/'- 3 -'!D29*100</f>
        <v>7.3111840547672946</v>
      </c>
      <c r="D29" s="285">
        <f>B29/'- 7 -'!C29</f>
        <v>878.55772211209228</v>
      </c>
      <c r="E29" s="285">
        <v>0</v>
      </c>
      <c r="F29" s="291">
        <f>E29/'- 3 -'!D29*100</f>
        <v>0</v>
      </c>
      <c r="G29" s="285" t="str">
        <f>IF('- 7 -'!B29=0,"",E29/'- 7 -'!B29)</f>
        <v/>
      </c>
    </row>
    <row r="30" spans="1:7" ht="14.1" customHeight="1" x14ac:dyDescent="0.2">
      <c r="A30" s="19" t="s">
        <v>128</v>
      </c>
      <c r="B30" s="20">
        <v>1100341</v>
      </c>
      <c r="C30" s="70">
        <f>B30/'- 3 -'!D30*100</f>
        <v>7.138608669994996</v>
      </c>
      <c r="D30" s="20">
        <f>B30/'- 7 -'!C30</f>
        <v>1075.076697606253</v>
      </c>
      <c r="E30" s="20">
        <v>0</v>
      </c>
      <c r="F30" s="70">
        <f>E30/'- 3 -'!D30*100</f>
        <v>0</v>
      </c>
      <c r="G30" s="20" t="str">
        <f>IF('- 7 -'!B30=0,"",E30/'- 7 -'!B30)</f>
        <v/>
      </c>
    </row>
    <row r="31" spans="1:7" ht="14.1" customHeight="1" x14ac:dyDescent="0.2">
      <c r="A31" s="284" t="s">
        <v>129</v>
      </c>
      <c r="B31" s="285">
        <v>3122001</v>
      </c>
      <c r="C31" s="291">
        <f>B31/'- 3 -'!D31*100</f>
        <v>8.0573481701360397</v>
      </c>
      <c r="D31" s="285">
        <f>B31/'- 7 -'!C31</f>
        <v>934.03171278982802</v>
      </c>
      <c r="E31" s="285">
        <v>917714</v>
      </c>
      <c r="F31" s="291">
        <f>E31/'- 3 -'!D31*100</f>
        <v>2.3684621557162298</v>
      </c>
      <c r="G31" s="285">
        <f>IF('- 7 -'!B31=0,"",E31/'- 7 -'!B31)</f>
        <v>9177.14</v>
      </c>
    </row>
    <row r="32" spans="1:7" ht="14.1" customHeight="1" x14ac:dyDescent="0.2">
      <c r="A32" s="19" t="s">
        <v>130</v>
      </c>
      <c r="B32" s="20">
        <v>2292920</v>
      </c>
      <c r="C32" s="70">
        <f>B32/'- 3 -'!D32*100</f>
        <v>7.6228432634886305</v>
      </c>
      <c r="D32" s="20">
        <f>B32/'- 7 -'!C32</f>
        <v>1029.8315742196273</v>
      </c>
      <c r="E32" s="20">
        <v>0</v>
      </c>
      <c r="F32" s="70">
        <f>E32/'- 3 -'!D32*100</f>
        <v>0</v>
      </c>
      <c r="G32" s="20" t="str">
        <f>IF('- 7 -'!B32=0,"",E32/'- 7 -'!B32)</f>
        <v/>
      </c>
    </row>
    <row r="33" spans="1:7" ht="14.1" customHeight="1" x14ac:dyDescent="0.2">
      <c r="A33" s="284" t="s">
        <v>131</v>
      </c>
      <c r="B33" s="285">
        <v>2896824</v>
      </c>
      <c r="C33" s="291">
        <f>B33/'- 3 -'!D33*100</f>
        <v>10.336878904331316</v>
      </c>
      <c r="D33" s="285">
        <f>B33/'- 7 -'!C33</f>
        <v>1414.3267259056734</v>
      </c>
      <c r="E33" s="285">
        <v>0</v>
      </c>
      <c r="F33" s="291">
        <f>E33/'- 3 -'!D33*100</f>
        <v>0</v>
      </c>
      <c r="G33" s="285" t="str">
        <f>IF('- 7 -'!B33=0,"",E33/'- 7 -'!B33)</f>
        <v/>
      </c>
    </row>
    <row r="34" spans="1:7" ht="14.1" customHeight="1" x14ac:dyDescent="0.2">
      <c r="A34" s="19" t="s">
        <v>132</v>
      </c>
      <c r="B34" s="20">
        <v>2714426</v>
      </c>
      <c r="C34" s="70">
        <f>B34/'- 3 -'!D34*100</f>
        <v>8.8238846981833845</v>
      </c>
      <c r="D34" s="20">
        <f>B34/'- 7 -'!C34</f>
        <v>1244.0196518758191</v>
      </c>
      <c r="E34" s="20">
        <v>357573</v>
      </c>
      <c r="F34" s="70">
        <f>E34/'- 3 -'!D34*100</f>
        <v>1.1623757373321384</v>
      </c>
      <c r="G34" s="20">
        <f>IF('- 7 -'!B34=0,"",E34/'- 7 -'!B34)</f>
        <v>13377.216610549944</v>
      </c>
    </row>
    <row r="35" spans="1:7" ht="14.1" customHeight="1" x14ac:dyDescent="0.2">
      <c r="A35" s="284" t="s">
        <v>133</v>
      </c>
      <c r="B35" s="285">
        <v>13726056</v>
      </c>
      <c r="C35" s="291">
        <f>B35/'- 3 -'!D35*100</f>
        <v>7.1174143164633721</v>
      </c>
      <c r="D35" s="285">
        <f>B35/'- 7 -'!C35</f>
        <v>854.40746965452843</v>
      </c>
      <c r="E35" s="285">
        <v>4226856</v>
      </c>
      <c r="F35" s="291">
        <f>E35/'- 3 -'!D35*100</f>
        <v>2.1917647289235234</v>
      </c>
      <c r="G35" s="285">
        <f>IF('- 7 -'!B35=0,"",E35/'- 7 -'!B35)</f>
        <v>6012.5974395448084</v>
      </c>
    </row>
    <row r="36" spans="1:7" ht="14.1" customHeight="1" x14ac:dyDescent="0.2">
      <c r="A36" s="19" t="s">
        <v>134</v>
      </c>
      <c r="B36" s="20">
        <v>2000167</v>
      </c>
      <c r="C36" s="70">
        <f>B36/'- 3 -'!D36*100</f>
        <v>8.327706355616165</v>
      </c>
      <c r="D36" s="20">
        <f>B36/'- 7 -'!C36</f>
        <v>1191.2846932698035</v>
      </c>
      <c r="E36" s="20">
        <v>190312</v>
      </c>
      <c r="F36" s="70">
        <f>E36/'- 3 -'!D36*100</f>
        <v>0.79236506349221014</v>
      </c>
      <c r="G36" s="20">
        <f>IF('- 7 -'!B36=0,"",E36/'- 7 -'!B36)</f>
        <v>24715.844155844155</v>
      </c>
    </row>
    <row r="37" spans="1:7" ht="14.1" customHeight="1" x14ac:dyDescent="0.2">
      <c r="A37" s="284" t="s">
        <v>135</v>
      </c>
      <c r="B37" s="285">
        <v>4742329</v>
      </c>
      <c r="C37" s="291">
        <f>B37/'- 3 -'!D37*100</f>
        <v>8.8404674579001021</v>
      </c>
      <c r="D37" s="285">
        <f>B37/'- 7 -'!C37</f>
        <v>1093.4583813696104</v>
      </c>
      <c r="E37" s="285">
        <v>0</v>
      </c>
      <c r="F37" s="291">
        <f>E37/'- 3 -'!D37*100</f>
        <v>0</v>
      </c>
      <c r="G37" s="285" t="str">
        <f>IF('- 7 -'!B37=0,"",E37/'- 7 -'!B37)</f>
        <v/>
      </c>
    </row>
    <row r="38" spans="1:7" ht="14.1" customHeight="1" x14ac:dyDescent="0.2">
      <c r="A38" s="19" t="s">
        <v>136</v>
      </c>
      <c r="B38" s="20">
        <v>10256449</v>
      </c>
      <c r="C38" s="70">
        <f>B38/'- 3 -'!D38*100</f>
        <v>7.1114352009826103</v>
      </c>
      <c r="D38" s="20">
        <f>B38/'- 7 -'!C38</f>
        <v>907.14460079778542</v>
      </c>
      <c r="E38" s="20">
        <v>1515292</v>
      </c>
      <c r="F38" s="70">
        <f>E38/'- 3 -'!D38*100</f>
        <v>1.0506463658686687</v>
      </c>
      <c r="G38" s="20">
        <f>IF('- 7 -'!B38=0,"",E38/'- 7 -'!B38)</f>
        <v>8887.3431085043994</v>
      </c>
    </row>
    <row r="39" spans="1:7" ht="14.1" customHeight="1" x14ac:dyDescent="0.2">
      <c r="A39" s="284" t="s">
        <v>137</v>
      </c>
      <c r="B39" s="285">
        <v>1445101</v>
      </c>
      <c r="C39" s="291">
        <f>B39/'- 3 -'!D39*100</f>
        <v>6.4725897368563325</v>
      </c>
      <c r="D39" s="285">
        <f>B39/'- 7 -'!C39</f>
        <v>961.47771124417829</v>
      </c>
      <c r="E39" s="285">
        <v>0</v>
      </c>
      <c r="F39" s="291">
        <f>E39/'- 3 -'!D39*100</f>
        <v>0</v>
      </c>
      <c r="G39" s="285" t="str">
        <f>IF('- 7 -'!B39=0,"",E39/'- 7 -'!B39)</f>
        <v/>
      </c>
    </row>
    <row r="40" spans="1:7" ht="14.1" customHeight="1" x14ac:dyDescent="0.2">
      <c r="A40" s="19" t="s">
        <v>138</v>
      </c>
      <c r="B40" s="20">
        <v>8659451</v>
      </c>
      <c r="C40" s="70">
        <f>B40/'- 3 -'!D40*100</f>
        <v>8.1203562988130233</v>
      </c>
      <c r="D40" s="20">
        <f>B40/'- 7 -'!C40</f>
        <v>1055.9340304240466</v>
      </c>
      <c r="E40" s="20">
        <v>1705865</v>
      </c>
      <c r="F40" s="70">
        <f>E40/'- 3 -'!D40*100</f>
        <v>1.5996662603292837</v>
      </c>
      <c r="G40" s="20">
        <f>IF('- 7 -'!B40=0,"",E40/'- 7 -'!B40)</f>
        <v>7359.2105263157891</v>
      </c>
    </row>
    <row r="41" spans="1:7" ht="14.1" customHeight="1" x14ac:dyDescent="0.2">
      <c r="A41" s="284" t="s">
        <v>139</v>
      </c>
      <c r="B41" s="285">
        <v>4385509</v>
      </c>
      <c r="C41" s="291">
        <f>B41/'- 3 -'!D41*100</f>
        <v>6.6927056205395852</v>
      </c>
      <c r="D41" s="285">
        <f>B41/'- 7 -'!C41</f>
        <v>984.95429533969684</v>
      </c>
      <c r="E41" s="285">
        <v>0</v>
      </c>
      <c r="F41" s="291">
        <f>E41/'- 3 -'!D41*100</f>
        <v>0</v>
      </c>
      <c r="G41" s="285" t="str">
        <f>IF('- 7 -'!B41=0,"",E41/'- 7 -'!B41)</f>
        <v/>
      </c>
    </row>
    <row r="42" spans="1:7" ht="14.1" customHeight="1" x14ac:dyDescent="0.2">
      <c r="A42" s="19" t="s">
        <v>140</v>
      </c>
      <c r="B42" s="20">
        <v>1799515</v>
      </c>
      <c r="C42" s="70">
        <f>B42/'- 3 -'!D42*100</f>
        <v>8.6294822761406511</v>
      </c>
      <c r="D42" s="20">
        <f>B42/'- 7 -'!C42</f>
        <v>1301.6383363471971</v>
      </c>
      <c r="E42" s="20">
        <v>1079285</v>
      </c>
      <c r="F42" s="70">
        <f>E42/'- 3 -'!D42*100</f>
        <v>5.1756560953392796</v>
      </c>
      <c r="G42" s="20">
        <f>IF('- 7 -'!B42=0,"",E42/'- 7 -'!B42)</f>
        <v>8238.8167938931292</v>
      </c>
    </row>
    <row r="43" spans="1:7" ht="14.1" customHeight="1" x14ac:dyDescent="0.2">
      <c r="A43" s="284" t="s">
        <v>141</v>
      </c>
      <c r="B43" s="285">
        <v>784108</v>
      </c>
      <c r="C43" s="291">
        <f>B43/'- 3 -'!D43*100</f>
        <v>5.6934729620156066</v>
      </c>
      <c r="D43" s="285">
        <f>B43/'- 7 -'!C43</f>
        <v>790.83005547150776</v>
      </c>
      <c r="E43" s="285">
        <v>99117</v>
      </c>
      <c r="F43" s="291">
        <f>E43/'- 3 -'!D43*100</f>
        <v>0.71969672491047265</v>
      </c>
      <c r="G43" s="285">
        <f>IF('- 7 -'!B43=0,"",E43/'- 7 -'!B43)</f>
        <v>9010.636363636364</v>
      </c>
    </row>
    <row r="44" spans="1:7" ht="14.1" customHeight="1" x14ac:dyDescent="0.2">
      <c r="A44" s="19" t="s">
        <v>142</v>
      </c>
      <c r="B44" s="20">
        <v>705693</v>
      </c>
      <c r="C44" s="70">
        <f>B44/'- 3 -'!D44*100</f>
        <v>6.3313139378660201</v>
      </c>
      <c r="D44" s="20">
        <f>B44/'- 7 -'!C44</f>
        <v>993.93380281690145</v>
      </c>
      <c r="E44" s="20">
        <v>0</v>
      </c>
      <c r="F44" s="70">
        <f>E44/'- 3 -'!D44*100</f>
        <v>0</v>
      </c>
      <c r="G44" s="20" t="str">
        <f>IF('- 7 -'!B44=0,"",E44/'- 7 -'!B44)</f>
        <v/>
      </c>
    </row>
    <row r="45" spans="1:7" ht="14.1" customHeight="1" x14ac:dyDescent="0.2">
      <c r="A45" s="284" t="s">
        <v>143</v>
      </c>
      <c r="B45" s="285">
        <v>1421216</v>
      </c>
      <c r="C45" s="291">
        <f>B45/'- 3 -'!D45*100</f>
        <v>6.9278648338676545</v>
      </c>
      <c r="D45" s="285">
        <f>B45/'- 7 -'!C45</f>
        <v>781.96203576341122</v>
      </c>
      <c r="E45" s="285">
        <v>348614</v>
      </c>
      <c r="F45" s="291">
        <f>E45/'- 3 -'!D45*100</f>
        <v>1.6993551094231549</v>
      </c>
      <c r="G45" s="285">
        <f>IF('- 7 -'!B45=0,"",E45/'- 7 -'!B45)</f>
        <v>8938.8205128205136</v>
      </c>
    </row>
    <row r="46" spans="1:7" ht="14.1" customHeight="1" x14ac:dyDescent="0.2">
      <c r="A46" s="19" t="s">
        <v>144</v>
      </c>
      <c r="B46" s="20">
        <v>29315851</v>
      </c>
      <c r="C46" s="70">
        <f>B46/'- 3 -'!D46*100</f>
        <v>7.3025173406772979</v>
      </c>
      <c r="D46" s="20">
        <f>B46/'- 7 -'!C46</f>
        <v>984.16621065883339</v>
      </c>
      <c r="E46" s="20">
        <v>5119371</v>
      </c>
      <c r="F46" s="70">
        <f>E46/'- 3 -'!D46*100</f>
        <v>1.2752246387410169</v>
      </c>
      <c r="G46" s="20">
        <f>IF('- 7 -'!B46=0,"",E46/'- 7 -'!B46)</f>
        <v>8669.5529212531746</v>
      </c>
    </row>
    <row r="47" spans="1:7" ht="5.0999999999999996" customHeight="1" x14ac:dyDescent="0.2">
      <c r="A47" s="21"/>
      <c r="B47" s="22"/>
      <c r="C47"/>
      <c r="D47" s="22"/>
      <c r="E47" s="22"/>
      <c r="F47"/>
      <c r="G47" s="22"/>
    </row>
    <row r="48" spans="1:7" ht="14.1" customHeight="1" x14ac:dyDescent="0.2">
      <c r="A48" s="286" t="s">
        <v>145</v>
      </c>
      <c r="B48" s="287">
        <f>SUM(B11:B46)</f>
        <v>176555505</v>
      </c>
      <c r="C48" s="294">
        <f>B48/'- 3 -'!D48*100</f>
        <v>7.3681308459109998</v>
      </c>
      <c r="D48" s="287">
        <f>B48/'- 7 -'!C48</f>
        <v>987.39867784660441</v>
      </c>
      <c r="E48" s="287">
        <f>SUM(E11:E46)</f>
        <v>31678395</v>
      </c>
      <c r="F48" s="294">
        <f>E48/'- 3 -'!D48*100</f>
        <v>1.3220236851207374</v>
      </c>
      <c r="G48" s="287">
        <f>E48/'- 7 -'!B48</f>
        <v>8047.4088469368862</v>
      </c>
    </row>
    <row r="49" spans="1:7" ht="5.0999999999999996" customHeight="1" x14ac:dyDescent="0.2">
      <c r="A49" s="21" t="s">
        <v>7</v>
      </c>
      <c r="B49" s="22"/>
      <c r="C49"/>
      <c r="D49" s="22"/>
      <c r="E49" s="22"/>
      <c r="F49"/>
    </row>
    <row r="50" spans="1:7" ht="14.1" customHeight="1" x14ac:dyDescent="0.2">
      <c r="A50" s="19" t="s">
        <v>146</v>
      </c>
      <c r="B50" s="20">
        <v>197892</v>
      </c>
      <c r="C50" s="70">
        <f>B50/'- 3 -'!D50*100</f>
        <v>5.8251278327264142</v>
      </c>
      <c r="D50" s="20">
        <f>B50/'- 7 -'!C50</f>
        <v>1096.3545706371192</v>
      </c>
      <c r="E50" s="20">
        <v>0</v>
      </c>
      <c r="F50" s="70">
        <f>E50/'- 3 -'!D50*100</f>
        <v>0</v>
      </c>
      <c r="G50" s="20" t="str">
        <f>IF('- 7 -'!B50=0,"",E50/'- 7 -'!B50)</f>
        <v/>
      </c>
    </row>
    <row r="51" spans="1:7" ht="14.1" customHeight="1" x14ac:dyDescent="0.2">
      <c r="A51" s="284" t="s">
        <v>601</v>
      </c>
      <c r="B51" s="285">
        <v>1651450</v>
      </c>
      <c r="C51" s="291">
        <f>B51/'- 3 -'!D51*100</f>
        <v>5.2557516977244374</v>
      </c>
      <c r="D51" s="285">
        <f>B51/'- 7 -'!C51</f>
        <v>1377.3561301084237</v>
      </c>
      <c r="E51" s="285">
        <v>5106816</v>
      </c>
      <c r="F51" s="291">
        <f>E51/'- 3 -'!D51*100</f>
        <v>16.252479252757468</v>
      </c>
      <c r="G51" s="285">
        <f>IF('- 7 -'!B51=0,"",E51/'- 7 -'!B51)</f>
        <v>4781.6629213483147</v>
      </c>
    </row>
    <row r="52" spans="1:7" ht="50.1" customHeight="1" x14ac:dyDescent="0.2">
      <c r="B52" s="85"/>
      <c r="C52" s="85"/>
      <c r="D52" s="85"/>
      <c r="E52" s="85"/>
      <c r="F52" s="85"/>
      <c r="G52" s="85"/>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3"/>
  <sheetViews>
    <sheetView showGridLines="0" showZeros="0" workbookViewId="0"/>
  </sheetViews>
  <sheetFormatPr defaultColWidth="15.83203125" defaultRowHeight="12" x14ac:dyDescent="0.2"/>
  <cols>
    <col min="1" max="1" width="32.83203125" style="2" customWidth="1"/>
    <col min="2" max="2" width="16.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7"/>
      <c r="C1" s="7"/>
      <c r="D1" s="7"/>
      <c r="E1" s="7"/>
      <c r="F1" s="7"/>
      <c r="G1" s="7"/>
      <c r="H1" s="89"/>
      <c r="I1" s="89"/>
      <c r="J1" s="89"/>
    </row>
    <row r="2" spans="1:10" ht="15.95" customHeight="1" x14ac:dyDescent="0.2">
      <c r="A2" s="134"/>
      <c r="B2" s="90" t="s">
        <v>263</v>
      </c>
      <c r="C2" s="91"/>
      <c r="D2" s="91"/>
      <c r="E2" s="169"/>
      <c r="F2" s="169"/>
      <c r="G2" s="169"/>
      <c r="H2" s="169"/>
      <c r="I2" s="63"/>
      <c r="J2" s="395" t="s">
        <v>399</v>
      </c>
    </row>
    <row r="3" spans="1:10" ht="15.95" customHeight="1" x14ac:dyDescent="0.2">
      <c r="A3" s="541"/>
      <c r="B3" s="74" t="str">
        <f>OPYEAR</f>
        <v>OPERATING FUND 2018/2019 ACTUAL</v>
      </c>
      <c r="C3" s="94"/>
      <c r="D3" s="94"/>
      <c r="E3" s="29"/>
      <c r="F3" s="29"/>
      <c r="G3" s="29"/>
      <c r="H3" s="29"/>
      <c r="I3" s="65"/>
      <c r="J3" s="186"/>
    </row>
    <row r="4" spans="1:10" ht="15.95" customHeight="1" x14ac:dyDescent="0.2">
      <c r="H4" s="89"/>
      <c r="I4" s="89"/>
      <c r="J4" s="89"/>
    </row>
    <row r="5" spans="1:10" ht="15.95" customHeight="1" x14ac:dyDescent="0.2">
      <c r="B5" s="188" t="s">
        <v>13</v>
      </c>
      <c r="C5" s="39"/>
      <c r="D5" s="39"/>
      <c r="E5" s="39"/>
      <c r="F5" s="39"/>
      <c r="G5" s="39"/>
      <c r="H5" s="39"/>
      <c r="I5" s="198"/>
      <c r="J5" s="199"/>
    </row>
    <row r="6" spans="1:10" ht="15.95" customHeight="1" x14ac:dyDescent="0.2">
      <c r="B6" s="324" t="s">
        <v>244</v>
      </c>
      <c r="C6" s="325"/>
      <c r="D6" s="325"/>
      <c r="E6" s="325"/>
      <c r="F6" s="325"/>
      <c r="G6" s="326"/>
      <c r="H6" s="327"/>
      <c r="I6" s="325"/>
      <c r="J6" s="326"/>
    </row>
    <row r="7" spans="1:10" ht="15.95" customHeight="1" x14ac:dyDescent="0.2">
      <c r="B7" s="659" t="s">
        <v>20</v>
      </c>
      <c r="C7" s="660"/>
      <c r="D7" s="661"/>
      <c r="E7" s="659" t="s">
        <v>21</v>
      </c>
      <c r="F7" s="660"/>
      <c r="G7" s="661"/>
      <c r="H7" s="659" t="s">
        <v>22</v>
      </c>
      <c r="I7" s="660"/>
      <c r="J7" s="661"/>
    </row>
    <row r="8" spans="1:10" ht="15.95" customHeight="1" x14ac:dyDescent="0.2">
      <c r="A8" s="67"/>
      <c r="B8" s="200"/>
      <c r="C8" s="191"/>
      <c r="D8" s="602" t="s">
        <v>473</v>
      </c>
      <c r="E8" s="200"/>
      <c r="F8" s="191"/>
      <c r="G8" s="602" t="s">
        <v>473</v>
      </c>
      <c r="H8" s="179"/>
      <c r="I8" s="178"/>
      <c r="J8" s="602" t="s">
        <v>473</v>
      </c>
    </row>
    <row r="9" spans="1:10" ht="15.95" customHeight="1" x14ac:dyDescent="0.2">
      <c r="A9" s="35" t="s">
        <v>42</v>
      </c>
      <c r="B9" s="101" t="s">
        <v>43</v>
      </c>
      <c r="C9" s="101" t="s">
        <v>44</v>
      </c>
      <c r="D9" s="604"/>
      <c r="E9" s="101" t="s">
        <v>43</v>
      </c>
      <c r="F9" s="101" t="s">
        <v>44</v>
      </c>
      <c r="G9" s="604"/>
      <c r="H9" s="180" t="s">
        <v>43</v>
      </c>
      <c r="I9" s="101" t="s">
        <v>44</v>
      </c>
      <c r="J9" s="604"/>
    </row>
    <row r="10" spans="1:10" ht="5.0999999999999996" customHeight="1" x14ac:dyDescent="0.2">
      <c r="A10" s="6"/>
      <c r="B10" s="85"/>
      <c r="C10" s="85"/>
      <c r="D10" s="85"/>
      <c r="E10" s="85"/>
      <c r="F10" s="85"/>
      <c r="G10" s="85"/>
      <c r="H10" s="85"/>
      <c r="I10" s="85"/>
      <c r="J10" s="85"/>
    </row>
    <row r="11" spans="1:10" ht="14.1" customHeight="1" x14ac:dyDescent="0.2">
      <c r="A11" s="284" t="s">
        <v>110</v>
      </c>
      <c r="B11" s="285">
        <v>11284701</v>
      </c>
      <c r="C11" s="291">
        <f>B11/'- 3 -'!D11*100</f>
        <v>56.1692297055843</v>
      </c>
      <c r="D11" s="285">
        <f>B11/'- 6 -'!B11</f>
        <v>6224.3248758963045</v>
      </c>
      <c r="E11" s="285">
        <v>0</v>
      </c>
      <c r="F11" s="291">
        <f>E11/'- 3 -'!D11*100</f>
        <v>0</v>
      </c>
      <c r="G11" s="285" t="str">
        <f>IF('- 6 -'!C11=0,"",E11/'- 6 -'!C11)</f>
        <v/>
      </c>
      <c r="H11" s="285">
        <v>0</v>
      </c>
      <c r="I11" s="291">
        <f>H11/'- 3 -'!D11*100</f>
        <v>0</v>
      </c>
      <c r="J11" s="285" t="str">
        <f>IF('- 6 -'!D11=0,"",H11/'- 6 -'!D11)</f>
        <v/>
      </c>
    </row>
    <row r="12" spans="1:10" ht="14.1" customHeight="1" x14ac:dyDescent="0.2">
      <c r="A12" s="19" t="s">
        <v>111</v>
      </c>
      <c r="B12" s="20">
        <v>11512711</v>
      </c>
      <c r="C12" s="70">
        <f>B12/'- 3 -'!D12*100</f>
        <v>33.97101877432037</v>
      </c>
      <c r="D12" s="20">
        <f>B12/'- 6 -'!B12</f>
        <v>8543.375434117961</v>
      </c>
      <c r="E12" s="20">
        <v>0</v>
      </c>
      <c r="F12" s="70">
        <f>E12/'- 3 -'!D12*100</f>
        <v>0</v>
      </c>
      <c r="G12" s="20" t="str">
        <f>IF('- 6 -'!C12=0,"",E12/'- 6 -'!C12)</f>
        <v/>
      </c>
      <c r="H12" s="20">
        <v>0</v>
      </c>
      <c r="I12" s="70">
        <f>H12/'- 3 -'!D12*100</f>
        <v>0</v>
      </c>
      <c r="J12" s="20" t="str">
        <f>IF('- 6 -'!D12=0,"",H12/'- 6 -'!D12)</f>
        <v/>
      </c>
    </row>
    <row r="13" spans="1:10" ht="14.1" customHeight="1" x14ac:dyDescent="0.2">
      <c r="A13" s="284" t="s">
        <v>112</v>
      </c>
      <c r="B13" s="285">
        <v>40693271</v>
      </c>
      <c r="C13" s="291">
        <f>B13/'- 3 -'!D13*100</f>
        <v>40.326692093728823</v>
      </c>
      <c r="D13" s="285">
        <f>B13/'- 6 -'!B13</f>
        <v>6383.7588830496506</v>
      </c>
      <c r="E13" s="285">
        <v>0</v>
      </c>
      <c r="F13" s="291">
        <f>E13/'- 3 -'!D13*100</f>
        <v>0</v>
      </c>
      <c r="G13" s="285" t="str">
        <f>IF('- 6 -'!C13=0,"",E13/'- 6 -'!C13)</f>
        <v/>
      </c>
      <c r="H13" s="285">
        <v>1906837</v>
      </c>
      <c r="I13" s="291">
        <f>H13/'- 3 -'!D13*100</f>
        <v>1.8896595599781001</v>
      </c>
      <c r="J13" s="285">
        <f>IF('- 6 -'!D13=0,"",H13/'- 6 -'!D13)</f>
        <v>5692.0507462686564</v>
      </c>
    </row>
    <row r="14" spans="1:10" ht="14.1" customHeight="1" x14ac:dyDescent="0.2">
      <c r="A14" s="19" t="s">
        <v>359</v>
      </c>
      <c r="B14" s="20">
        <v>0</v>
      </c>
      <c r="C14" s="70">
        <f>B14/'- 3 -'!D14*100</f>
        <v>0</v>
      </c>
      <c r="D14" s="20"/>
      <c r="E14" s="20">
        <v>43599729</v>
      </c>
      <c r="F14" s="70">
        <f>E14/'- 3 -'!D14*100</f>
        <v>47.756295088288191</v>
      </c>
      <c r="G14" s="20">
        <f>IF('- 6 -'!C14=0,"",E14/'- 6 -'!C14)</f>
        <v>8091.5555926730131</v>
      </c>
      <c r="H14" s="20">
        <v>0</v>
      </c>
      <c r="I14" s="70">
        <f>H14/'- 3 -'!D14*100</f>
        <v>0</v>
      </c>
      <c r="J14" s="20" t="str">
        <f>IF('- 6 -'!D14=0,"",H14/'- 6 -'!D14)</f>
        <v/>
      </c>
    </row>
    <row r="15" spans="1:10" ht="14.1" customHeight="1" x14ac:dyDescent="0.2">
      <c r="A15" s="284" t="s">
        <v>113</v>
      </c>
      <c r="B15" s="285">
        <v>9083333</v>
      </c>
      <c r="C15" s="291">
        <f>B15/'- 3 -'!D15*100</f>
        <v>44.846019581533788</v>
      </c>
      <c r="D15" s="285">
        <f>B15/'- 6 -'!B15</f>
        <v>6523.5083309393849</v>
      </c>
      <c r="E15" s="285">
        <v>0</v>
      </c>
      <c r="F15" s="291">
        <f>E15/'- 3 -'!D15*100</f>
        <v>0</v>
      </c>
      <c r="G15" s="285" t="str">
        <f>IF('- 6 -'!C15=0,"",E15/'- 6 -'!C15)</f>
        <v/>
      </c>
      <c r="H15" s="285">
        <v>0</v>
      </c>
      <c r="I15" s="291">
        <f>H15/'- 3 -'!D15*100</f>
        <v>0</v>
      </c>
      <c r="J15" s="285" t="str">
        <f>IF('- 6 -'!D15=0,"",H15/'- 6 -'!D15)</f>
        <v/>
      </c>
    </row>
    <row r="16" spans="1:10" ht="14.1" customHeight="1" x14ac:dyDescent="0.2">
      <c r="A16" s="19" t="s">
        <v>114</v>
      </c>
      <c r="B16" s="20">
        <v>4342256</v>
      </c>
      <c r="C16" s="70">
        <f>B16/'- 3 -'!D16*100</f>
        <v>28.879171138173966</v>
      </c>
      <c r="D16" s="20">
        <f>B16/'- 6 -'!B16</f>
        <v>8102.7355849972009</v>
      </c>
      <c r="E16" s="20">
        <v>0</v>
      </c>
      <c r="F16" s="70">
        <f>E16/'- 3 -'!D16*100</f>
        <v>0</v>
      </c>
      <c r="G16" s="20" t="str">
        <f>IF('- 6 -'!C16=0,"",E16/'- 6 -'!C16)</f>
        <v/>
      </c>
      <c r="H16" s="20">
        <v>0</v>
      </c>
      <c r="I16" s="70">
        <f>H16/'- 3 -'!D16*100</f>
        <v>0</v>
      </c>
      <c r="J16" s="20" t="str">
        <f>IF('- 6 -'!D16=0,"",H16/'- 6 -'!D16)</f>
        <v/>
      </c>
    </row>
    <row r="17" spans="1:10" ht="14.1" customHeight="1" x14ac:dyDescent="0.2">
      <c r="A17" s="284" t="s">
        <v>115</v>
      </c>
      <c r="B17" s="285">
        <v>9317482</v>
      </c>
      <c r="C17" s="291">
        <f>B17/'- 3 -'!D17*100</f>
        <v>50.655959930528219</v>
      </c>
      <c r="D17" s="285">
        <f>B17/'- 6 -'!B17</f>
        <v>6608.6119582949141</v>
      </c>
      <c r="E17" s="285">
        <v>0</v>
      </c>
      <c r="F17" s="291">
        <f>E17/'- 3 -'!D17*100</f>
        <v>0</v>
      </c>
      <c r="G17" s="285" t="str">
        <f>IF('- 6 -'!C17=0,"",E17/'- 6 -'!C17)</f>
        <v/>
      </c>
      <c r="H17" s="285">
        <v>0</v>
      </c>
      <c r="I17" s="291">
        <f>H17/'- 3 -'!D17*100</f>
        <v>0</v>
      </c>
      <c r="J17" s="285" t="str">
        <f>IF('- 6 -'!D17=0,"",H17/'- 6 -'!D17)</f>
        <v/>
      </c>
    </row>
    <row r="18" spans="1:10" ht="14.1" customHeight="1" x14ac:dyDescent="0.2">
      <c r="A18" s="19" t="s">
        <v>116</v>
      </c>
      <c r="B18" s="20">
        <v>48896368</v>
      </c>
      <c r="C18" s="70">
        <f>B18/'- 3 -'!D18*100</f>
        <v>36.351543424244419</v>
      </c>
      <c r="D18" s="20">
        <f>B18/'- 6 -'!B18</f>
        <v>8195.4256406818295</v>
      </c>
      <c r="E18" s="20">
        <v>0</v>
      </c>
      <c r="F18" s="70">
        <f>E18/'- 3 -'!D18*100</f>
        <v>0</v>
      </c>
      <c r="G18" s="20" t="str">
        <f>IF('- 6 -'!C18=0,"",E18/'- 6 -'!C18)</f>
        <v/>
      </c>
      <c r="H18" s="20">
        <v>0</v>
      </c>
      <c r="I18" s="70">
        <f>H18/'- 3 -'!D18*100</f>
        <v>0</v>
      </c>
      <c r="J18" s="20" t="str">
        <f>IF('- 6 -'!D18=0,"",H18/'- 6 -'!D18)</f>
        <v/>
      </c>
    </row>
    <row r="19" spans="1:10" ht="14.1" customHeight="1" x14ac:dyDescent="0.2">
      <c r="A19" s="284" t="s">
        <v>117</v>
      </c>
      <c r="B19" s="285">
        <v>24763780</v>
      </c>
      <c r="C19" s="291">
        <f>B19/'- 3 -'!D19*100</f>
        <v>49.430432166618523</v>
      </c>
      <c r="D19" s="285">
        <f>B19/'- 6 -'!B19</f>
        <v>5774.3272862938948</v>
      </c>
      <c r="E19" s="285">
        <v>0</v>
      </c>
      <c r="F19" s="291">
        <f>E19/'- 3 -'!D19*100</f>
        <v>0</v>
      </c>
      <c r="G19" s="285" t="str">
        <f>IF('- 6 -'!C19=0,"",E19/'- 6 -'!C19)</f>
        <v/>
      </c>
      <c r="H19" s="285">
        <v>0</v>
      </c>
      <c r="I19" s="291">
        <f>H19/'- 3 -'!D19*100</f>
        <v>0</v>
      </c>
      <c r="J19" s="285" t="str">
        <f>IF('- 6 -'!D19=0,"",H19/'- 6 -'!D19)</f>
        <v/>
      </c>
    </row>
    <row r="20" spans="1:10" ht="14.1" customHeight="1" x14ac:dyDescent="0.2">
      <c r="A20" s="19" t="s">
        <v>118</v>
      </c>
      <c r="B20" s="20">
        <v>45573093</v>
      </c>
      <c r="C20" s="70">
        <f>B20/'- 3 -'!D20*100</f>
        <v>52.131997357680817</v>
      </c>
      <c r="D20" s="20">
        <f>B20/'- 6 -'!B20</f>
        <v>6206.7542390194076</v>
      </c>
      <c r="E20" s="20">
        <v>0</v>
      </c>
      <c r="F20" s="70">
        <f>E20/'- 3 -'!D20*100</f>
        <v>0</v>
      </c>
      <c r="G20" s="20" t="str">
        <f>IF('- 6 -'!C20=0,"",E20/'- 6 -'!C20)</f>
        <v/>
      </c>
      <c r="H20" s="20">
        <v>0</v>
      </c>
      <c r="I20" s="70">
        <f>H20/'- 3 -'!D20*100</f>
        <v>0</v>
      </c>
      <c r="J20" s="20" t="str">
        <f>IF('- 6 -'!D20=0,"",H20/'- 6 -'!D20)</f>
        <v/>
      </c>
    </row>
    <row r="21" spans="1:10" ht="14.1" customHeight="1" x14ac:dyDescent="0.2">
      <c r="A21" s="284" t="s">
        <v>119</v>
      </c>
      <c r="B21" s="285">
        <v>14208366</v>
      </c>
      <c r="C21" s="291">
        <f>B21/'- 3 -'!D21*100</f>
        <v>38.143434411009721</v>
      </c>
      <c r="D21" s="285">
        <f>B21/'- 6 -'!B21</f>
        <v>6808.6860264519837</v>
      </c>
      <c r="E21" s="285">
        <v>0</v>
      </c>
      <c r="F21" s="291">
        <f>E21/'- 3 -'!D21*100</f>
        <v>0</v>
      </c>
      <c r="G21" s="285" t="str">
        <f>IF('- 6 -'!C21=0,"",E21/'- 6 -'!C21)</f>
        <v/>
      </c>
      <c r="H21" s="285">
        <v>0</v>
      </c>
      <c r="I21" s="291">
        <f>H21/'- 3 -'!D21*100</f>
        <v>0</v>
      </c>
      <c r="J21" s="285" t="str">
        <f>IF('- 6 -'!D21=0,"",H21/'- 6 -'!D21)</f>
        <v/>
      </c>
    </row>
    <row r="22" spans="1:10" ht="14.1" customHeight="1" x14ac:dyDescent="0.2">
      <c r="A22" s="19" t="s">
        <v>120</v>
      </c>
      <c r="B22" s="20">
        <v>4681694</v>
      </c>
      <c r="C22" s="70">
        <f>B22/'- 3 -'!D22*100</f>
        <v>22.322914481771519</v>
      </c>
      <c r="D22" s="20">
        <f>B22/'- 6 -'!B22</f>
        <v>5747.2305425975937</v>
      </c>
      <c r="E22" s="20">
        <v>0</v>
      </c>
      <c r="F22" s="70">
        <f>E22/'- 3 -'!D22*100</f>
        <v>0</v>
      </c>
      <c r="G22" s="20" t="str">
        <f>IF('- 6 -'!C22=0,"",E22/'- 6 -'!C22)</f>
        <v/>
      </c>
      <c r="H22" s="20">
        <v>0</v>
      </c>
      <c r="I22" s="70">
        <f>H22/'- 3 -'!D22*100</f>
        <v>0</v>
      </c>
      <c r="J22" s="20" t="str">
        <f>IF('- 6 -'!D22=0,"",H22/'- 6 -'!D22)</f>
        <v/>
      </c>
    </row>
    <row r="23" spans="1:10" ht="14.1" customHeight="1" x14ac:dyDescent="0.2">
      <c r="A23" s="284" t="s">
        <v>121</v>
      </c>
      <c r="B23" s="285">
        <v>6856919</v>
      </c>
      <c r="C23" s="291">
        <f>B23/'- 3 -'!D23*100</f>
        <v>42.945647779523441</v>
      </c>
      <c r="D23" s="285">
        <f>B23/'- 6 -'!B23</f>
        <v>7229.2240379546656</v>
      </c>
      <c r="E23" s="285">
        <v>0</v>
      </c>
      <c r="F23" s="291">
        <f>E23/'- 3 -'!D23*100</f>
        <v>0</v>
      </c>
      <c r="G23" s="285" t="str">
        <f>IF('- 6 -'!C23=0,"",E23/'- 6 -'!C23)</f>
        <v/>
      </c>
      <c r="H23" s="285">
        <v>0</v>
      </c>
      <c r="I23" s="291">
        <f>H23/'- 3 -'!D23*100</f>
        <v>0</v>
      </c>
      <c r="J23" s="285" t="str">
        <f>IF('- 6 -'!D23=0,"",H23/'- 6 -'!D23)</f>
        <v/>
      </c>
    </row>
    <row r="24" spans="1:10" ht="14.1" customHeight="1" x14ac:dyDescent="0.2">
      <c r="A24" s="19" t="s">
        <v>122</v>
      </c>
      <c r="B24" s="20">
        <v>21283847</v>
      </c>
      <c r="C24" s="70">
        <f>B24/'- 3 -'!D24*100</f>
        <v>36.755409641156241</v>
      </c>
      <c r="D24" s="20">
        <f>B24/'- 6 -'!B24</f>
        <v>7824.6560788206316</v>
      </c>
      <c r="E24" s="20">
        <v>0</v>
      </c>
      <c r="F24" s="70">
        <f>E24/'- 3 -'!D24*100</f>
        <v>0</v>
      </c>
      <c r="G24" s="20" t="str">
        <f>IF('- 6 -'!C24=0,"",E24/'- 6 -'!C24)</f>
        <v/>
      </c>
      <c r="H24" s="20">
        <v>1532875</v>
      </c>
      <c r="I24" s="70">
        <f>H24/'- 3 -'!D24*100</f>
        <v>2.6471459108725681</v>
      </c>
      <c r="J24" s="20">
        <f>IF('- 6 -'!D24=0,"",H24/'- 6 -'!D24)</f>
        <v>6509.0233545647561</v>
      </c>
    </row>
    <row r="25" spans="1:10" ht="14.1" customHeight="1" x14ac:dyDescent="0.2">
      <c r="A25" s="284" t="s">
        <v>123</v>
      </c>
      <c r="B25" s="285">
        <v>59494664</v>
      </c>
      <c r="C25" s="291">
        <f>B25/'- 3 -'!D25*100</f>
        <v>30.621316427066404</v>
      </c>
      <c r="D25" s="285">
        <f>B25/'- 6 -'!B25</f>
        <v>6159.6330807139611</v>
      </c>
      <c r="E25" s="285">
        <v>0</v>
      </c>
      <c r="F25" s="291">
        <f>E25/'- 3 -'!D25*100</f>
        <v>0</v>
      </c>
      <c r="G25" s="285" t="str">
        <f>IF('- 6 -'!C25=0,"",E25/'- 6 -'!C25)</f>
        <v/>
      </c>
      <c r="H25" s="285">
        <v>25314749</v>
      </c>
      <c r="I25" s="291">
        <f>H25/'- 3 -'!D25*100</f>
        <v>13.0292514871714</v>
      </c>
      <c r="J25" s="285">
        <f>IF('- 6 -'!D25=0,"",H25/'- 6 -'!D25)</f>
        <v>5687.1740204888574</v>
      </c>
    </row>
    <row r="26" spans="1:10" ht="14.1" customHeight="1" x14ac:dyDescent="0.2">
      <c r="A26" s="19" t="s">
        <v>124</v>
      </c>
      <c r="B26" s="20">
        <v>14775921</v>
      </c>
      <c r="C26" s="70">
        <f>B26/'- 3 -'!D26*100</f>
        <v>36.098258244841311</v>
      </c>
      <c r="D26" s="20">
        <f>B26/'- 6 -'!B26</f>
        <v>6763.0542841450015</v>
      </c>
      <c r="E26" s="20">
        <v>0</v>
      </c>
      <c r="F26" s="70">
        <f>E26/'- 3 -'!D26*100</f>
        <v>0</v>
      </c>
      <c r="G26" s="20" t="str">
        <f>IF('- 6 -'!C26=0,"",E26/'- 6 -'!C26)</f>
        <v/>
      </c>
      <c r="H26" s="20">
        <v>988608</v>
      </c>
      <c r="I26" s="70">
        <f>H26/'- 3 -'!D26*100</f>
        <v>2.4152150574516527</v>
      </c>
      <c r="J26" s="20">
        <f>IF('- 6 -'!D26=0,"",H26/'- 6 -'!D26)</f>
        <v>6257.0126582278481</v>
      </c>
    </row>
    <row r="27" spans="1:10" ht="14.1" customHeight="1" x14ac:dyDescent="0.2">
      <c r="A27" s="284" t="s">
        <v>125</v>
      </c>
      <c r="B27" s="285">
        <v>17403501</v>
      </c>
      <c r="C27" s="291">
        <f>B27/'- 3 -'!D27*100</f>
        <v>42.210152924269558</v>
      </c>
      <c r="D27" s="285">
        <f>B27/'- 6 -'!B27</f>
        <v>7021.7877748638293</v>
      </c>
      <c r="E27" s="285">
        <v>0</v>
      </c>
      <c r="F27" s="291">
        <f>E27/'- 3 -'!D27*100</f>
        <v>0</v>
      </c>
      <c r="G27" s="285" t="str">
        <f>IF('- 6 -'!C27=0,"",E27/'- 6 -'!C27)</f>
        <v/>
      </c>
      <c r="H27" s="285">
        <v>0</v>
      </c>
      <c r="I27" s="291">
        <f>H27/'- 3 -'!D27*100</f>
        <v>0</v>
      </c>
      <c r="J27" s="285" t="str">
        <f>IF('- 6 -'!D27=0,"",H27/'- 6 -'!D27)</f>
        <v/>
      </c>
    </row>
    <row r="28" spans="1:10" ht="14.1" customHeight="1" x14ac:dyDescent="0.2">
      <c r="A28" s="19" t="s">
        <v>126</v>
      </c>
      <c r="B28" s="20">
        <v>15186385</v>
      </c>
      <c r="C28" s="70">
        <f>B28/'- 3 -'!D28*100</f>
        <v>52.248354567763514</v>
      </c>
      <c r="D28" s="20">
        <f>B28/'- 6 -'!B28</f>
        <v>7708.8248730964469</v>
      </c>
      <c r="E28" s="20">
        <v>0</v>
      </c>
      <c r="F28" s="70">
        <f>E28/'- 3 -'!D28*100</f>
        <v>0</v>
      </c>
      <c r="G28" s="20" t="str">
        <f>IF('- 6 -'!C28=0,"",E28/'- 6 -'!C28)</f>
        <v/>
      </c>
      <c r="H28" s="20">
        <v>0</v>
      </c>
      <c r="I28" s="70">
        <f>H28/'- 3 -'!D28*100</f>
        <v>0</v>
      </c>
      <c r="J28" s="20" t="str">
        <f>IF('- 6 -'!D28=0,"",H28/'- 6 -'!D28)</f>
        <v/>
      </c>
    </row>
    <row r="29" spans="1:10" ht="14.1" customHeight="1" x14ac:dyDescent="0.2">
      <c r="A29" s="284" t="s">
        <v>127</v>
      </c>
      <c r="B29" s="285">
        <v>49535268</v>
      </c>
      <c r="C29" s="291">
        <f>B29/'- 3 -'!D29*100</f>
        <v>29.715100286436179</v>
      </c>
      <c r="D29" s="285">
        <f>B29/'- 6 -'!B29</f>
        <v>6052.6225241627053</v>
      </c>
      <c r="E29" s="285">
        <v>0</v>
      </c>
      <c r="F29" s="291">
        <f>E29/'- 3 -'!D29*100</f>
        <v>0</v>
      </c>
      <c r="G29" s="285" t="str">
        <f>IF('- 6 -'!C29=0,"",E29/'- 6 -'!C29)</f>
        <v/>
      </c>
      <c r="H29" s="285">
        <v>7517127</v>
      </c>
      <c r="I29" s="291">
        <f>H29/'- 3 -'!D29*100</f>
        <v>4.5093564987046637</v>
      </c>
      <c r="J29" s="285">
        <f>IF('- 6 -'!D29=0,"",H29/'- 6 -'!D29)</f>
        <v>6054.8747482883609</v>
      </c>
    </row>
    <row r="30" spans="1:10" ht="14.1" customHeight="1" x14ac:dyDescent="0.2">
      <c r="A30" s="19" t="s">
        <v>128</v>
      </c>
      <c r="B30" s="20">
        <v>8075466</v>
      </c>
      <c r="C30" s="70">
        <f>B30/'- 3 -'!D30*100</f>
        <v>52.390660351518129</v>
      </c>
      <c r="D30" s="20">
        <f>B30/'- 6 -'!B30</f>
        <v>7890.0498290180749</v>
      </c>
      <c r="E30" s="20">
        <v>0</v>
      </c>
      <c r="F30" s="70">
        <f>E30/'- 3 -'!D30*100</f>
        <v>0</v>
      </c>
      <c r="G30" s="20" t="str">
        <f>IF('- 6 -'!C30=0,"",E30/'- 6 -'!C30)</f>
        <v/>
      </c>
      <c r="H30" s="20">
        <v>0</v>
      </c>
      <c r="I30" s="70">
        <f>H30/'- 3 -'!D30*100</f>
        <v>0</v>
      </c>
      <c r="J30" s="20" t="str">
        <f>IF('- 6 -'!D30=0,"",H30/'- 6 -'!D30)</f>
        <v/>
      </c>
    </row>
    <row r="31" spans="1:10" ht="14.1" customHeight="1" x14ac:dyDescent="0.2">
      <c r="A31" s="284" t="s">
        <v>129</v>
      </c>
      <c r="B31" s="285">
        <v>15764823</v>
      </c>
      <c r="C31" s="291">
        <f>B31/'- 3 -'!D31*100</f>
        <v>40.686299508414173</v>
      </c>
      <c r="D31" s="285">
        <f>B31/'- 6 -'!B31</f>
        <v>6356.7834677419351</v>
      </c>
      <c r="E31" s="285">
        <v>0</v>
      </c>
      <c r="F31" s="291">
        <f>E31/'- 3 -'!D31*100</f>
        <v>0</v>
      </c>
      <c r="G31" s="285" t="str">
        <f>IF('- 6 -'!C31=0,"",E31/'- 6 -'!C31)</f>
        <v/>
      </c>
      <c r="H31" s="285">
        <v>0</v>
      </c>
      <c r="I31" s="291">
        <f>H31/'- 3 -'!D31*100</f>
        <v>0</v>
      </c>
      <c r="J31" s="285" t="str">
        <f>IF('- 6 -'!D31=0,"",H31/'- 6 -'!D31)</f>
        <v/>
      </c>
    </row>
    <row r="32" spans="1:10" ht="14.1" customHeight="1" x14ac:dyDescent="0.2">
      <c r="A32" s="19" t="s">
        <v>130</v>
      </c>
      <c r="B32" s="20">
        <v>13047265</v>
      </c>
      <c r="C32" s="70">
        <f>B32/'- 3 -'!D32*100</f>
        <v>43.375807316522597</v>
      </c>
      <c r="D32" s="20">
        <f>B32/'- 6 -'!B32</f>
        <v>6767.2536307053942</v>
      </c>
      <c r="E32" s="20">
        <v>0</v>
      </c>
      <c r="F32" s="70">
        <f>E32/'- 3 -'!D32*100</f>
        <v>0</v>
      </c>
      <c r="G32" s="20" t="str">
        <f>IF('- 6 -'!C32=0,"",E32/'- 6 -'!C32)</f>
        <v/>
      </c>
      <c r="H32" s="20">
        <v>761266</v>
      </c>
      <c r="I32" s="70">
        <f>H32/'- 3 -'!D32*100</f>
        <v>2.5308390174201176</v>
      </c>
      <c r="J32" s="20">
        <f>IF('- 6 -'!D32=0,"",H32/'- 6 -'!D32)</f>
        <v>5878.5019305019305</v>
      </c>
    </row>
    <row r="33" spans="1:10" ht="14.1" customHeight="1" x14ac:dyDescent="0.2">
      <c r="A33" s="284" t="s">
        <v>131</v>
      </c>
      <c r="B33" s="285">
        <v>10757342</v>
      </c>
      <c r="C33" s="291">
        <f>B33/'- 3 -'!D33*100</f>
        <v>38.385950125543438</v>
      </c>
      <c r="D33" s="285">
        <f>B33/'- 6 -'!B33</f>
        <v>6682.8241287196379</v>
      </c>
      <c r="E33" s="285">
        <v>0</v>
      </c>
      <c r="F33" s="291">
        <f>E33/'- 3 -'!D33*100</f>
        <v>0</v>
      </c>
      <c r="G33" s="285" t="str">
        <f>IF('- 6 -'!C33=0,"",E33/'- 6 -'!C33)</f>
        <v/>
      </c>
      <c r="H33" s="285">
        <v>0</v>
      </c>
      <c r="I33" s="291">
        <f>H33/'- 3 -'!D33*100</f>
        <v>0</v>
      </c>
      <c r="J33" s="285" t="str">
        <f>IF('- 6 -'!D33=0,"",H33/'- 6 -'!D33)</f>
        <v/>
      </c>
    </row>
    <row r="34" spans="1:10" ht="14.1" customHeight="1" x14ac:dyDescent="0.2">
      <c r="A34" s="19" t="s">
        <v>132</v>
      </c>
      <c r="B34" s="20">
        <v>10399851</v>
      </c>
      <c r="C34" s="70">
        <f>B34/'- 3 -'!D34*100</f>
        <v>33.807179161372297</v>
      </c>
      <c r="D34" s="20">
        <f>B34/'- 6 -'!B34</f>
        <v>6232.1204494382018</v>
      </c>
      <c r="E34" s="20">
        <v>0</v>
      </c>
      <c r="F34" s="70">
        <f>E34/'- 3 -'!D34*100</f>
        <v>0</v>
      </c>
      <c r="G34" s="20" t="str">
        <f>IF('- 6 -'!C34=0,"",E34/'- 6 -'!C34)</f>
        <v/>
      </c>
      <c r="H34" s="20">
        <v>1923180</v>
      </c>
      <c r="I34" s="70">
        <f>H34/'- 3 -'!D34*100</f>
        <v>6.2517521471767212</v>
      </c>
      <c r="J34" s="20">
        <f>IF('- 6 -'!D34=0,"",H34/'- 6 -'!D34)</f>
        <v>7556.6994106090369</v>
      </c>
    </row>
    <row r="35" spans="1:10" ht="14.1" customHeight="1" x14ac:dyDescent="0.2">
      <c r="A35" s="284" t="s">
        <v>133</v>
      </c>
      <c r="B35" s="285">
        <v>55907951</v>
      </c>
      <c r="C35" s="291">
        <f>B35/'- 3 -'!D35*100</f>
        <v>28.99012293491537</v>
      </c>
      <c r="D35" s="285">
        <f>B35/'- 6 -'!B35</f>
        <v>5955.5740079893476</v>
      </c>
      <c r="E35" s="285">
        <v>0</v>
      </c>
      <c r="F35" s="291">
        <f>E35/'- 3 -'!D35*100</f>
        <v>0</v>
      </c>
      <c r="G35" s="285" t="str">
        <f>IF('- 6 -'!C35=0,"",E35/'- 6 -'!C35)</f>
        <v/>
      </c>
      <c r="H35" s="285">
        <v>6727382</v>
      </c>
      <c r="I35" s="291">
        <f>H35/'- 3 -'!D35*100</f>
        <v>3.4883702178628733</v>
      </c>
      <c r="J35" s="285">
        <f>IF('- 6 -'!D35=0,"",H35/'- 6 -'!D35)</f>
        <v>5098.4327396741191</v>
      </c>
    </row>
    <row r="36" spans="1:10" ht="14.1" customHeight="1" x14ac:dyDescent="0.2">
      <c r="A36" s="19" t="s">
        <v>134</v>
      </c>
      <c r="B36" s="20">
        <v>12111039</v>
      </c>
      <c r="C36" s="70">
        <f>B36/'- 3 -'!D36*100</f>
        <v>50.424377791162058</v>
      </c>
      <c r="D36" s="20">
        <f>B36/'- 6 -'!B36</f>
        <v>7246.4781906300486</v>
      </c>
      <c r="E36" s="20">
        <v>0</v>
      </c>
      <c r="F36" s="70">
        <f>E36/'- 3 -'!D36*100</f>
        <v>0</v>
      </c>
      <c r="G36" s="20" t="str">
        <f>IF('- 6 -'!C36=0,"",E36/'- 6 -'!C36)</f>
        <v/>
      </c>
      <c r="H36" s="20">
        <v>0</v>
      </c>
      <c r="I36" s="70">
        <f>H36/'- 3 -'!D36*100</f>
        <v>0</v>
      </c>
      <c r="J36" s="20" t="str">
        <f>IF('- 6 -'!D36=0,"",H36/'- 6 -'!D36)</f>
        <v/>
      </c>
    </row>
    <row r="37" spans="1:10" ht="14.1" customHeight="1" x14ac:dyDescent="0.2">
      <c r="A37" s="284" t="s">
        <v>135</v>
      </c>
      <c r="B37" s="285">
        <v>13066144</v>
      </c>
      <c r="C37" s="291">
        <f>B37/'- 3 -'!D37*100</f>
        <v>24.35740346826141</v>
      </c>
      <c r="D37" s="285">
        <f>B37/'- 6 -'!B37</f>
        <v>6015.7200736648247</v>
      </c>
      <c r="E37" s="285">
        <v>0</v>
      </c>
      <c r="F37" s="291">
        <f>E37/'- 3 -'!D37*100</f>
        <v>0</v>
      </c>
      <c r="G37" s="285" t="str">
        <f>IF('- 6 -'!C37=0,"",E37/'- 6 -'!C37)</f>
        <v/>
      </c>
      <c r="H37" s="285">
        <v>4707509</v>
      </c>
      <c r="I37" s="291">
        <f>H37/'- 3 -'!D37*100</f>
        <v>8.7755573521516226</v>
      </c>
      <c r="J37" s="285">
        <f>IF('- 6 -'!D37=0,"",H37/'- 6 -'!D37)</f>
        <v>6125.581001951854</v>
      </c>
    </row>
    <row r="38" spans="1:10" ht="14.1" customHeight="1" x14ac:dyDescent="0.2">
      <c r="A38" s="19" t="s">
        <v>136</v>
      </c>
      <c r="B38" s="20">
        <v>43404493</v>
      </c>
      <c r="C38" s="70">
        <f>B38/'- 3 -'!D38*100</f>
        <v>30.09503965758552</v>
      </c>
      <c r="D38" s="20">
        <f>B38/'- 6 -'!B38</f>
        <v>6561.5257747543465</v>
      </c>
      <c r="E38" s="20">
        <v>0</v>
      </c>
      <c r="F38" s="70">
        <f>E38/'- 3 -'!D38*100</f>
        <v>0</v>
      </c>
      <c r="G38" s="20" t="str">
        <f>IF('- 6 -'!C38=0,"",E38/'- 6 -'!C38)</f>
        <v/>
      </c>
      <c r="H38" s="20">
        <v>3587026</v>
      </c>
      <c r="I38" s="70">
        <f>H38/'- 3 -'!D38*100</f>
        <v>2.487108643862983</v>
      </c>
      <c r="J38" s="20">
        <f>IF('- 6 -'!D38=0,"",H38/'- 6 -'!D38)</f>
        <v>5799.5569927243332</v>
      </c>
    </row>
    <row r="39" spans="1:10" ht="14.1" customHeight="1" x14ac:dyDescent="0.2">
      <c r="A39" s="284" t="s">
        <v>137</v>
      </c>
      <c r="B39" s="285">
        <v>11656258</v>
      </c>
      <c r="C39" s="291">
        <f>B39/'- 3 -'!D39*100</f>
        <v>52.2082372795739</v>
      </c>
      <c r="D39" s="285">
        <f>B39/'- 6 -'!B39</f>
        <v>7755.3280106453758</v>
      </c>
      <c r="E39" s="285">
        <v>0</v>
      </c>
      <c r="F39" s="291">
        <f>E39/'- 3 -'!D39*100</f>
        <v>0</v>
      </c>
      <c r="G39" s="285" t="str">
        <f>IF('- 6 -'!C39=0,"",E39/'- 6 -'!C39)</f>
        <v/>
      </c>
      <c r="H39" s="285">
        <v>0</v>
      </c>
      <c r="I39" s="291">
        <f>H39/'- 3 -'!D39*100</f>
        <v>0</v>
      </c>
      <c r="J39" s="285" t="str">
        <f>IF('- 6 -'!D39=0,"",H39/'- 6 -'!D39)</f>
        <v/>
      </c>
    </row>
    <row r="40" spans="1:10" ht="14.1" customHeight="1" x14ac:dyDescent="0.2">
      <c r="A40" s="19" t="s">
        <v>138</v>
      </c>
      <c r="B40" s="20">
        <v>35669849</v>
      </c>
      <c r="C40" s="70">
        <f>B40/'- 3 -'!D40*100</f>
        <v>33.449220164749406</v>
      </c>
      <c r="D40" s="20">
        <f>B40/'- 6 -'!B40</f>
        <v>6361.4482476962621</v>
      </c>
      <c r="E40" s="20">
        <v>0</v>
      </c>
      <c r="F40" s="70">
        <f>E40/'- 3 -'!D40*100</f>
        <v>0</v>
      </c>
      <c r="G40" s="20" t="str">
        <f>IF('- 6 -'!C40=0,"",E40/'- 6 -'!C40)</f>
        <v/>
      </c>
      <c r="H40" s="20">
        <v>7520632</v>
      </c>
      <c r="I40" s="70">
        <f>H40/'- 3 -'!D40*100</f>
        <v>7.052434551827222</v>
      </c>
      <c r="J40" s="20">
        <f>IF('- 6 -'!D40=0,"",H40/'- 6 -'!D40)</f>
        <v>5554.3810930576074</v>
      </c>
    </row>
    <row r="41" spans="1:10" ht="14.1" customHeight="1" x14ac:dyDescent="0.2">
      <c r="A41" s="284" t="s">
        <v>139</v>
      </c>
      <c r="B41" s="285">
        <v>14823682</v>
      </c>
      <c r="C41" s="291">
        <f>B41/'- 3 -'!D41*100</f>
        <v>22.622354631695313</v>
      </c>
      <c r="D41" s="285">
        <f>B41/'- 6 -'!B41</f>
        <v>7201.2057323293657</v>
      </c>
      <c r="E41" s="285">
        <v>0</v>
      </c>
      <c r="F41" s="291">
        <f>E41/'- 3 -'!D41*100</f>
        <v>0</v>
      </c>
      <c r="G41" s="285" t="str">
        <f>IF('- 6 -'!C41=0,"",E41/'- 6 -'!C41)</f>
        <v/>
      </c>
      <c r="H41" s="285">
        <v>0</v>
      </c>
      <c r="I41" s="291">
        <f>H41/'- 3 -'!D41*100</f>
        <v>0</v>
      </c>
      <c r="J41" s="285" t="str">
        <f>IF('- 6 -'!D41=0,"",H41/'- 6 -'!D41)</f>
        <v/>
      </c>
    </row>
    <row r="42" spans="1:10" ht="14.1" customHeight="1" x14ac:dyDescent="0.2">
      <c r="A42" s="19" t="s">
        <v>140</v>
      </c>
      <c r="B42" s="20">
        <v>7282257</v>
      </c>
      <c r="C42" s="70">
        <f>B42/'- 3 -'!D42*100</f>
        <v>34.921691517881868</v>
      </c>
      <c r="D42" s="20">
        <f>B42/'- 6 -'!B42</f>
        <v>7430.8744897959186</v>
      </c>
      <c r="E42" s="20">
        <v>0</v>
      </c>
      <c r="F42" s="70">
        <f>E42/'- 3 -'!D42*100</f>
        <v>0</v>
      </c>
      <c r="G42" s="20" t="str">
        <f>IF('- 6 -'!C42=0,"",E42/'- 6 -'!C42)</f>
        <v/>
      </c>
      <c r="H42" s="20">
        <v>0</v>
      </c>
      <c r="I42" s="70">
        <f>H42/'- 3 -'!D42*100</f>
        <v>0</v>
      </c>
      <c r="J42" s="20" t="str">
        <f>IF('- 6 -'!D42=0,"",H42/'- 6 -'!D42)</f>
        <v/>
      </c>
    </row>
    <row r="43" spans="1:10" ht="14.1" customHeight="1" x14ac:dyDescent="0.2">
      <c r="A43" s="284" t="s">
        <v>141</v>
      </c>
      <c r="B43" s="285">
        <v>6625578</v>
      </c>
      <c r="C43" s="291">
        <f>B43/'- 3 -'!D43*100</f>
        <v>48.10886918731277</v>
      </c>
      <c r="D43" s="285">
        <f>B43/'- 6 -'!B43</f>
        <v>6757.3462519122895</v>
      </c>
      <c r="E43" s="285">
        <v>0</v>
      </c>
      <c r="F43" s="291">
        <f>E43/'- 3 -'!D43*100</f>
        <v>0</v>
      </c>
      <c r="G43" s="285" t="str">
        <f>IF('- 6 -'!C43=0,"",E43/'- 6 -'!C43)</f>
        <v/>
      </c>
      <c r="H43" s="285">
        <v>0</v>
      </c>
      <c r="I43" s="291">
        <f>H43/'- 3 -'!D43*100</f>
        <v>0</v>
      </c>
      <c r="J43" s="285" t="str">
        <f>IF('- 6 -'!D43=0,"",H43/'- 6 -'!D43)</f>
        <v/>
      </c>
    </row>
    <row r="44" spans="1:10" ht="14.1" customHeight="1" x14ac:dyDescent="0.2">
      <c r="A44" s="19" t="s">
        <v>142</v>
      </c>
      <c r="B44" s="20">
        <v>5308732</v>
      </c>
      <c r="C44" s="70">
        <f>B44/'- 3 -'!D44*100</f>
        <v>47.628712349414485</v>
      </c>
      <c r="D44" s="20">
        <f>B44/'- 6 -'!B44</f>
        <v>7977.0578512396696</v>
      </c>
      <c r="E44" s="20">
        <v>0</v>
      </c>
      <c r="F44" s="70">
        <f>E44/'- 3 -'!D44*100</f>
        <v>0</v>
      </c>
      <c r="G44" s="20" t="str">
        <f>IF('- 6 -'!C44=0,"",E44/'- 6 -'!C44)</f>
        <v/>
      </c>
      <c r="H44" s="20">
        <v>334087</v>
      </c>
      <c r="I44" s="70">
        <f>H44/'- 3 -'!D44*100</f>
        <v>2.9973510854717915</v>
      </c>
      <c r="J44" s="20">
        <f>IF('- 6 -'!D44=0,"",H44/'- 6 -'!D44)</f>
        <v>7507.5730337078649</v>
      </c>
    </row>
    <row r="45" spans="1:10" ht="14.1" customHeight="1" x14ac:dyDescent="0.2">
      <c r="A45" s="284" t="s">
        <v>143</v>
      </c>
      <c r="B45" s="285">
        <v>5391488</v>
      </c>
      <c r="C45" s="291">
        <f>B45/'- 3 -'!D45*100</f>
        <v>26.2813675876288</v>
      </c>
      <c r="D45" s="285">
        <f>B45/'- 6 -'!B45</f>
        <v>6947.7938144329901</v>
      </c>
      <c r="E45" s="285">
        <v>0</v>
      </c>
      <c r="F45" s="291">
        <f>E45/'- 3 -'!D45*100</f>
        <v>0</v>
      </c>
      <c r="G45" s="285" t="str">
        <f>IF('- 6 -'!C45=0,"",E45/'- 6 -'!C45)</f>
        <v/>
      </c>
      <c r="H45" s="285">
        <v>0</v>
      </c>
      <c r="I45" s="291">
        <f>H45/'- 3 -'!D45*100</f>
        <v>0</v>
      </c>
      <c r="J45" s="285" t="str">
        <f>IF('- 6 -'!D45=0,"",H45/'- 6 -'!D45)</f>
        <v/>
      </c>
    </row>
    <row r="46" spans="1:10" ht="14.1" customHeight="1" x14ac:dyDescent="0.2">
      <c r="A46" s="19" t="s">
        <v>144</v>
      </c>
      <c r="B46" s="20">
        <v>132077570</v>
      </c>
      <c r="C46" s="70">
        <f>B46/'- 3 -'!D46*100</f>
        <v>32.900247215730481</v>
      </c>
      <c r="D46" s="20">
        <f>B46/'- 6 -'!B46</f>
        <v>6612.1436795994996</v>
      </c>
      <c r="E46" s="20">
        <v>0</v>
      </c>
      <c r="F46" s="70">
        <f>E46/'- 3 -'!D46*100</f>
        <v>0</v>
      </c>
      <c r="G46" s="20" t="str">
        <f>IF('- 6 -'!C46=0,"",E46/'- 6 -'!C46)</f>
        <v/>
      </c>
      <c r="H46" s="20">
        <v>7297846</v>
      </c>
      <c r="I46" s="70">
        <f>H46/'- 3 -'!D46*100</f>
        <v>1.8178782176438424</v>
      </c>
      <c r="J46" s="20">
        <f>IF('- 6 -'!D46=0,"",H46/'- 6 -'!D46)</f>
        <v>5201.6008553100501</v>
      </c>
    </row>
    <row r="47" spans="1:10" ht="5.0999999999999996" customHeight="1" x14ac:dyDescent="0.2">
      <c r="A47" s="21"/>
      <c r="B47" s="22"/>
      <c r="C47"/>
      <c r="D47" s="22"/>
      <c r="E47" s="22"/>
      <c r="F47"/>
      <c r="G47" s="22"/>
      <c r="H47" s="22"/>
      <c r="I47"/>
      <c r="J47"/>
    </row>
    <row r="48" spans="1:10" ht="14.1" customHeight="1" x14ac:dyDescent="0.2">
      <c r="A48" s="286" t="s">
        <v>145</v>
      </c>
      <c r="B48" s="287">
        <f>SUM(B11:B46)</f>
        <v>810263348</v>
      </c>
      <c r="C48" s="294">
        <f>B48/'- 3 -'!D48*100</f>
        <v>33.814444741951938</v>
      </c>
      <c r="D48" s="287">
        <f>B48/'- 6 -'!B48</f>
        <v>6608.0132247796628</v>
      </c>
      <c r="E48" s="287">
        <f>SUM(E11:E46)</f>
        <v>43599729</v>
      </c>
      <c r="F48" s="294">
        <f>E48/'- 3 -'!D48*100</f>
        <v>1.8195326626505379</v>
      </c>
      <c r="G48" s="287">
        <f>E48/'- 6 -'!C48</f>
        <v>8091.5555926730131</v>
      </c>
      <c r="H48" s="287">
        <f>SUM(H11:H46)</f>
        <v>70119124</v>
      </c>
      <c r="I48" s="294">
        <f>H48/'- 3 -'!D48*100</f>
        <v>2.9262575552807508</v>
      </c>
      <c r="J48" s="287">
        <f>H48/'- 6 -'!D48</f>
        <v>5694.6304778611566</v>
      </c>
    </row>
    <row r="49" spans="1:10" ht="5.0999999999999996" customHeight="1" x14ac:dyDescent="0.2">
      <c r="A49" s="21" t="s">
        <v>7</v>
      </c>
      <c r="B49" s="22"/>
      <c r="C49"/>
      <c r="D49" s="22"/>
      <c r="E49" s="22"/>
      <c r="F49"/>
      <c r="I49"/>
      <c r="J49"/>
    </row>
    <row r="50" spans="1:10" ht="14.1" customHeight="1" x14ac:dyDescent="0.2">
      <c r="A50" s="19" t="s">
        <v>146</v>
      </c>
      <c r="B50" s="20">
        <v>1817015</v>
      </c>
      <c r="C50" s="70">
        <f>B50/'- 3 -'!D50*100</f>
        <v>53.485459993235629</v>
      </c>
      <c r="D50" s="20">
        <f>B50/'- 6 -'!B50</f>
        <v>10066.565096952909</v>
      </c>
      <c r="E50" s="20">
        <v>0</v>
      </c>
      <c r="F50" s="70">
        <f>E50/'- 3 -'!D50*100</f>
        <v>0</v>
      </c>
      <c r="G50" s="20" t="str">
        <f>IF('- 6 -'!C50=0,"",E50/'- 6 -'!C50)</f>
        <v/>
      </c>
      <c r="H50" s="20">
        <v>0</v>
      </c>
      <c r="I50" s="70">
        <f>H50/'- 3 -'!D50*100</f>
        <v>0</v>
      </c>
      <c r="J50" s="20" t="str">
        <f>IF('- 6 -'!D50=0,"",H50/'- 6 -'!D50)</f>
        <v/>
      </c>
    </row>
    <row r="51" spans="1:10" ht="14.1" customHeight="1" x14ac:dyDescent="0.2">
      <c r="A51" s="284" t="s">
        <v>601</v>
      </c>
      <c r="B51" s="285">
        <v>430362</v>
      </c>
      <c r="C51" s="291">
        <f>B51/'- 3 -'!D51*100</f>
        <v>1.3696302111090763</v>
      </c>
      <c r="D51" s="285">
        <f>B51/'- 6 -'!B51</f>
        <v>3285.2061068702292</v>
      </c>
      <c r="E51" s="285">
        <v>0</v>
      </c>
      <c r="F51" s="291">
        <f>E51/'- 3 -'!D51*100</f>
        <v>0</v>
      </c>
      <c r="G51" s="285" t="str">
        <f>IF('- 6 -'!C51=0,"",E51/'- 6 -'!C51)</f>
        <v/>
      </c>
      <c r="H51" s="285">
        <v>0</v>
      </c>
      <c r="I51" s="291">
        <f>H51/'- 3 -'!D51*100</f>
        <v>0</v>
      </c>
      <c r="J51" s="285" t="str">
        <f>IF('- 6 -'!D51=0,"",H51/'- 6 -'!D51)</f>
        <v/>
      </c>
    </row>
    <row r="52" spans="1:10" ht="50.1" customHeight="1" x14ac:dyDescent="0.2">
      <c r="A52" s="23"/>
      <c r="B52" s="23"/>
      <c r="C52" s="23"/>
      <c r="D52" s="23"/>
      <c r="E52" s="23"/>
      <c r="F52" s="23"/>
      <c r="G52" s="23"/>
      <c r="H52" s="108"/>
      <c r="I52" s="108"/>
      <c r="J52" s="108"/>
    </row>
    <row r="53" spans="1:10" ht="15" customHeight="1" x14ac:dyDescent="0.2">
      <c r="A53" s="85" t="s">
        <v>343</v>
      </c>
      <c r="B53" s="85"/>
      <c r="C53" s="85"/>
      <c r="D53" s="85"/>
      <c r="E53" s="85"/>
      <c r="F53" s="85"/>
      <c r="G53" s="85"/>
      <c r="I53" s="85"/>
      <c r="J53" s="85"/>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J53"/>
  <sheetViews>
    <sheetView showGridLines="0" showZeros="0" workbookViewId="0"/>
  </sheetViews>
  <sheetFormatPr defaultColWidth="15.83203125" defaultRowHeight="12" x14ac:dyDescent="0.2"/>
  <cols>
    <col min="1" max="1" width="31.83203125" style="2" customWidth="1"/>
    <col min="2" max="2" width="14.83203125" style="2" customWidth="1"/>
    <col min="3" max="3" width="7.83203125" style="2" customWidth="1"/>
    <col min="4" max="4" width="9.83203125" style="2" customWidth="1"/>
    <col min="5" max="5" width="10.83203125" style="2" customWidth="1"/>
    <col min="6" max="7" width="13.83203125" style="2" customWidth="1"/>
    <col min="8" max="8" width="15.83203125" style="2" customWidth="1"/>
    <col min="9" max="9" width="13.83203125" style="2" customWidth="1"/>
    <col min="10" max="16384" width="15.83203125" style="2"/>
  </cols>
  <sheetData>
    <row r="1" spans="1:9" ht="6.95" customHeight="1" x14ac:dyDescent="0.2">
      <c r="A1" s="7"/>
      <c r="B1" s="89"/>
      <c r="C1" s="89"/>
      <c r="D1" s="89"/>
      <c r="E1" s="89"/>
      <c r="F1" s="89"/>
      <c r="G1" s="89"/>
      <c r="H1" s="89"/>
      <c r="I1" s="89"/>
    </row>
    <row r="2" spans="1:9" ht="15.95" customHeight="1" x14ac:dyDescent="0.2">
      <c r="A2" s="134"/>
      <c r="B2" s="90" t="s">
        <v>263</v>
      </c>
      <c r="C2" s="91"/>
      <c r="D2" s="91"/>
      <c r="E2" s="91"/>
      <c r="F2" s="91"/>
      <c r="G2" s="91"/>
      <c r="H2" s="185"/>
      <c r="I2" s="395" t="s">
        <v>400</v>
      </c>
    </row>
    <row r="3" spans="1:9" ht="15.95" customHeight="1" x14ac:dyDescent="0.2">
      <c r="A3" s="541"/>
      <c r="B3" s="74" t="str">
        <f>OPYEAR</f>
        <v>OPERATING FUND 2018/2019 ACTUAL</v>
      </c>
      <c r="C3" s="94"/>
      <c r="D3" s="94"/>
      <c r="E3" s="94"/>
      <c r="F3" s="94"/>
      <c r="G3" s="94"/>
      <c r="H3" s="186"/>
      <c r="I3" s="187"/>
    </row>
    <row r="4" spans="1:9" ht="15.95" customHeight="1" x14ac:dyDescent="0.2">
      <c r="B4" s="89"/>
      <c r="C4" s="89"/>
      <c r="D4" s="89"/>
      <c r="E4" s="89"/>
      <c r="F4" s="89"/>
      <c r="G4" s="89"/>
      <c r="H4" s="89"/>
      <c r="I4" s="89"/>
    </row>
    <row r="5" spans="1:9" ht="15.95" customHeight="1" x14ac:dyDescent="0.2">
      <c r="B5" s="188" t="s">
        <v>13</v>
      </c>
      <c r="C5" s="189"/>
      <c r="D5" s="189"/>
      <c r="E5" s="189"/>
      <c r="F5" s="189"/>
      <c r="G5" s="189"/>
      <c r="H5" s="189"/>
      <c r="I5" s="190"/>
    </row>
    <row r="6" spans="1:9" ht="15.95" customHeight="1" x14ac:dyDescent="0.2">
      <c r="B6" s="328" t="s">
        <v>245</v>
      </c>
      <c r="C6" s="329"/>
      <c r="D6" s="329"/>
      <c r="E6" s="329"/>
      <c r="F6" s="329"/>
      <c r="G6" s="329"/>
      <c r="H6" s="329"/>
      <c r="I6" s="330"/>
    </row>
    <row r="7" spans="1:9" ht="15.95" customHeight="1" x14ac:dyDescent="0.2">
      <c r="B7" s="179"/>
      <c r="C7" s="191"/>
      <c r="D7" s="191"/>
      <c r="E7" s="664" t="s">
        <v>476</v>
      </c>
      <c r="F7" s="667" t="s">
        <v>83</v>
      </c>
      <c r="G7" s="668"/>
      <c r="H7" s="668"/>
      <c r="I7" s="669"/>
    </row>
    <row r="8" spans="1:9" ht="15.95" customHeight="1" x14ac:dyDescent="0.2">
      <c r="A8" s="67"/>
      <c r="B8" s="192"/>
      <c r="C8" s="192"/>
      <c r="D8" s="662" t="s">
        <v>327</v>
      </c>
      <c r="E8" s="665"/>
      <c r="F8" s="192"/>
      <c r="G8" s="193"/>
      <c r="H8" s="670" t="s">
        <v>22</v>
      </c>
      <c r="I8" s="192"/>
    </row>
    <row r="9" spans="1:9" ht="15.95" customHeight="1" x14ac:dyDescent="0.2">
      <c r="A9" s="35" t="s">
        <v>42</v>
      </c>
      <c r="B9" s="101" t="s">
        <v>43</v>
      </c>
      <c r="C9" s="101" t="s">
        <v>44</v>
      </c>
      <c r="D9" s="663"/>
      <c r="E9" s="666"/>
      <c r="F9" s="101" t="s">
        <v>38</v>
      </c>
      <c r="G9" s="194" t="s">
        <v>21</v>
      </c>
      <c r="H9" s="671"/>
      <c r="I9" s="101" t="s">
        <v>24</v>
      </c>
    </row>
    <row r="10" spans="1:9" ht="5.0999999999999996" customHeight="1" x14ac:dyDescent="0.2">
      <c r="A10" s="6"/>
      <c r="B10" s="85"/>
      <c r="C10" s="85"/>
      <c r="D10" s="85"/>
      <c r="E10" s="85"/>
      <c r="F10" s="85"/>
      <c r="G10" s="85"/>
      <c r="H10" s="85"/>
      <c r="I10" s="85"/>
    </row>
    <row r="11" spans="1:9" ht="14.1" customHeight="1" x14ac:dyDescent="0.2">
      <c r="A11" s="331" t="s">
        <v>110</v>
      </c>
      <c r="B11" s="285">
        <v>0</v>
      </c>
      <c r="C11" s="291">
        <f>B11/'- 3 -'!D11*100</f>
        <v>0</v>
      </c>
      <c r="D11" s="332" t="str">
        <f>IF(E11=0,"",B11/E11)</f>
        <v/>
      </c>
      <c r="E11" s="333">
        <f>SUM('- 6 -'!E11:H11)</f>
        <v>0</v>
      </c>
      <c r="F11" s="291" t="str">
        <f>IF(E11=0,"",'- 6 -'!E11/E11*100)</f>
        <v/>
      </c>
      <c r="G11" s="291" t="str">
        <f>IF(E11=0,"",'- 6 -'!F11/E11*100)</f>
        <v/>
      </c>
      <c r="H11" s="291" t="str">
        <f>IF(E11=0,"",'- 6 -'!G11/E11*100)</f>
        <v/>
      </c>
      <c r="I11" s="291" t="str">
        <f>IF(E11=0,"",'- 6 -'!H11/E11*100)</f>
        <v/>
      </c>
    </row>
    <row r="12" spans="1:9" ht="14.1" customHeight="1" x14ac:dyDescent="0.2">
      <c r="A12" s="19" t="s">
        <v>111</v>
      </c>
      <c r="B12" s="20">
        <v>3752860</v>
      </c>
      <c r="C12" s="70">
        <f>B12/'- 3 -'!D12*100</f>
        <v>11.073714741679517</v>
      </c>
      <c r="D12" s="195">
        <f t="shared" ref="D12:D46" si="0">IF(E12=0,"",B12/E12)</f>
        <v>5928.6887835703001</v>
      </c>
      <c r="E12" s="196">
        <f>SUM('- 6 -'!E12:H12)</f>
        <v>633</v>
      </c>
      <c r="F12" s="70">
        <f>IF(E12=0,"",'- 6 -'!E12/E12*100)</f>
        <v>78.515007898894154</v>
      </c>
      <c r="G12" s="70">
        <f>IF(E12=0,"",'- 6 -'!F12/E12*100)</f>
        <v>0</v>
      </c>
      <c r="H12" s="70">
        <f>IF(E12=0,"",'- 6 -'!G12/E12*100)</f>
        <v>21.484992101105846</v>
      </c>
      <c r="I12" s="70">
        <f>IF(E12=0,"",'- 6 -'!H12/E12*100)</f>
        <v>0</v>
      </c>
    </row>
    <row r="13" spans="1:9" ht="14.1" customHeight="1" x14ac:dyDescent="0.2">
      <c r="A13" s="331" t="s">
        <v>112</v>
      </c>
      <c r="B13" s="285">
        <v>7271782</v>
      </c>
      <c r="C13" s="291">
        <f>B13/'- 3 -'!D13*100</f>
        <v>7.2062753000789623</v>
      </c>
      <c r="D13" s="332">
        <f t="shared" si="0"/>
        <v>5065.6788575409264</v>
      </c>
      <c r="E13" s="333">
        <f>SUM('- 6 -'!E13:H13)</f>
        <v>1435.5</v>
      </c>
      <c r="F13" s="291">
        <f>IF(E13=0,"",'- 6 -'!E13/E13*100)</f>
        <v>67.885754092650643</v>
      </c>
      <c r="G13" s="291">
        <f>IF(E13=0,"",'- 6 -'!F13/E13*100)</f>
        <v>0</v>
      </c>
      <c r="H13" s="291">
        <f>IF(E13=0,"",'- 6 -'!G13/E13*100)</f>
        <v>32.114245907349357</v>
      </c>
      <c r="I13" s="291">
        <f>IF(E13=0,"",'- 6 -'!H13/E13*100)</f>
        <v>0</v>
      </c>
    </row>
    <row r="14" spans="1:9" ht="14.1" customHeight="1" x14ac:dyDescent="0.2">
      <c r="A14" s="19" t="s">
        <v>359</v>
      </c>
      <c r="B14" s="20">
        <v>0</v>
      </c>
      <c r="C14" s="70">
        <f>B14/'- 3 -'!D14*100</f>
        <v>0</v>
      </c>
      <c r="D14" s="195" t="str">
        <f t="shared" si="0"/>
        <v/>
      </c>
      <c r="E14" s="196">
        <f>SUM('- 6 -'!E14:H14)</f>
        <v>0</v>
      </c>
      <c r="F14" s="70" t="str">
        <f>IF(E14=0,"",'- 6 -'!E14/E14*100)</f>
        <v/>
      </c>
      <c r="G14" s="70" t="str">
        <f>IF(E14=0,"",'- 6 -'!F14/E14*100)</f>
        <v/>
      </c>
      <c r="H14" s="70" t="str">
        <f>IF(E14=0,"",'- 6 -'!G14/E14*100)</f>
        <v/>
      </c>
      <c r="I14" s="70" t="str">
        <f>IF(E14=0,"",'- 6 -'!H14/E14*100)</f>
        <v/>
      </c>
    </row>
    <row r="15" spans="1:9" ht="14.1" customHeight="1" x14ac:dyDescent="0.2">
      <c r="A15" s="331" t="s">
        <v>113</v>
      </c>
      <c r="B15" s="285">
        <v>0</v>
      </c>
      <c r="C15" s="291">
        <f>B15/'- 3 -'!D15*100</f>
        <v>0</v>
      </c>
      <c r="D15" s="332" t="str">
        <f t="shared" si="0"/>
        <v/>
      </c>
      <c r="E15" s="333">
        <f>SUM('- 6 -'!E15:H15)</f>
        <v>0</v>
      </c>
      <c r="F15" s="291" t="str">
        <f>IF(E15=0,"",'- 6 -'!E15/E15*100)</f>
        <v/>
      </c>
      <c r="G15" s="291" t="str">
        <f>IF(E15=0,"",'- 6 -'!F15/E15*100)</f>
        <v/>
      </c>
      <c r="H15" s="291" t="str">
        <f>IF(E15=0,"",'- 6 -'!G15/E15*100)</f>
        <v/>
      </c>
      <c r="I15" s="291" t="str">
        <f>IF(E15=0,"",'- 6 -'!H15/E15*100)</f>
        <v/>
      </c>
    </row>
    <row r="16" spans="1:9" ht="14.1" customHeight="1" x14ac:dyDescent="0.2">
      <c r="A16" s="19" t="s">
        <v>114</v>
      </c>
      <c r="B16" s="20">
        <v>2519273</v>
      </c>
      <c r="C16" s="70">
        <f>B16/'- 3 -'!D16*100</f>
        <v>16.755003876045297</v>
      </c>
      <c r="D16" s="195">
        <f t="shared" si="0"/>
        <v>6845.850543478261</v>
      </c>
      <c r="E16" s="196">
        <f>SUM('- 6 -'!E16:H16)</f>
        <v>368</v>
      </c>
      <c r="F16" s="70">
        <f>IF(E16=0,"",'- 6 -'!E16/E16*100)</f>
        <v>67.934782608695656</v>
      </c>
      <c r="G16" s="70">
        <f>IF(E16=0,"",'- 6 -'!F16/E16*100)</f>
        <v>0</v>
      </c>
      <c r="H16" s="70">
        <f>IF(E16=0,"",'- 6 -'!G16/E16*100)</f>
        <v>32.065217391304344</v>
      </c>
      <c r="I16" s="70">
        <f>IF(E16=0,"",'- 6 -'!H16/E16*100)</f>
        <v>0</v>
      </c>
    </row>
    <row r="17" spans="1:9" ht="14.1" customHeight="1" x14ac:dyDescent="0.2">
      <c r="A17" s="331" t="s">
        <v>115</v>
      </c>
      <c r="B17" s="285">
        <v>0</v>
      </c>
      <c r="C17" s="291">
        <f>B17/'- 3 -'!D17*100</f>
        <v>0</v>
      </c>
      <c r="D17" s="332" t="str">
        <f t="shared" si="0"/>
        <v/>
      </c>
      <c r="E17" s="333">
        <f>SUM('- 6 -'!E17:H17)</f>
        <v>0</v>
      </c>
      <c r="F17" s="291" t="str">
        <f>IF(E17=0,"",'- 6 -'!E17/E17*100)</f>
        <v/>
      </c>
      <c r="G17" s="291" t="str">
        <f>IF(E17=0,"",'- 6 -'!F17/E17*100)</f>
        <v/>
      </c>
      <c r="H17" s="291" t="str">
        <f>IF(E17=0,"",'- 6 -'!G17/E17*100)</f>
        <v/>
      </c>
      <c r="I17" s="291" t="str">
        <f>IF(E17=0,"",'- 6 -'!H17/E17*100)</f>
        <v/>
      </c>
    </row>
    <row r="18" spans="1:9" ht="14.1" customHeight="1" x14ac:dyDescent="0.2">
      <c r="A18" s="19" t="s">
        <v>116</v>
      </c>
      <c r="B18" s="20">
        <v>0</v>
      </c>
      <c r="C18" s="70">
        <f>B18/'- 3 -'!D18*100</f>
        <v>0</v>
      </c>
      <c r="D18" s="195" t="str">
        <f t="shared" si="0"/>
        <v/>
      </c>
      <c r="E18" s="196">
        <f>SUM('- 6 -'!E18:H18)</f>
        <v>0</v>
      </c>
      <c r="F18" s="70" t="str">
        <f>IF(E18=0,"",'- 6 -'!E18/E18*100)</f>
        <v/>
      </c>
      <c r="G18" s="70" t="str">
        <f>IF(E18=0,"",'- 6 -'!F18/E18*100)</f>
        <v/>
      </c>
      <c r="H18" s="70" t="str">
        <f>IF(E18=0,"",'- 6 -'!G18/E18*100)</f>
        <v/>
      </c>
      <c r="I18" s="70" t="str">
        <f>IF(E18=0,"",'- 6 -'!H18/E18*100)</f>
        <v/>
      </c>
    </row>
    <row r="19" spans="1:9" ht="14.1" customHeight="1" x14ac:dyDescent="0.2">
      <c r="A19" s="331" t="s">
        <v>117</v>
      </c>
      <c r="B19" s="285">
        <v>0</v>
      </c>
      <c r="C19" s="291">
        <f>B19/'- 3 -'!D19*100</f>
        <v>0</v>
      </c>
      <c r="D19" s="332" t="str">
        <f t="shared" si="0"/>
        <v/>
      </c>
      <c r="E19" s="333">
        <f>SUM('- 6 -'!E19:H19)</f>
        <v>0</v>
      </c>
      <c r="F19" s="291" t="str">
        <f>IF(E19=0,"",'- 6 -'!E19/E19*100)</f>
        <v/>
      </c>
      <c r="G19" s="291" t="str">
        <f>IF(E19=0,"",'- 6 -'!F19/E19*100)</f>
        <v/>
      </c>
      <c r="H19" s="291" t="str">
        <f>IF(E19=0,"",'- 6 -'!G19/E19*100)</f>
        <v/>
      </c>
      <c r="I19" s="291" t="str">
        <f>IF(E19=0,"",'- 6 -'!H19/E19*100)</f>
        <v/>
      </c>
    </row>
    <row r="20" spans="1:9" ht="14.1" customHeight="1" x14ac:dyDescent="0.2">
      <c r="A20" s="19" t="s">
        <v>118</v>
      </c>
      <c r="B20" s="20">
        <v>0</v>
      </c>
      <c r="C20" s="70">
        <f>B20/'- 3 -'!D20*100</f>
        <v>0</v>
      </c>
      <c r="D20" s="195" t="str">
        <f t="shared" si="0"/>
        <v/>
      </c>
      <c r="E20" s="196">
        <f>SUM('- 6 -'!E20:H20)</f>
        <v>0</v>
      </c>
      <c r="F20" s="70" t="str">
        <f>IF(E20=0,"",'- 6 -'!E20/E20*100)</f>
        <v/>
      </c>
      <c r="G20" s="70" t="str">
        <f>IF(E20=0,"",'- 6 -'!F20/E20*100)</f>
        <v/>
      </c>
      <c r="H20" s="70" t="str">
        <f>IF(E20=0,"",'- 6 -'!G20/E20*100)</f>
        <v/>
      </c>
      <c r="I20" s="70" t="str">
        <f>IF(E20=0,"",'- 6 -'!H20/E20*100)</f>
        <v/>
      </c>
    </row>
    <row r="21" spans="1:9" ht="14.1" customHeight="1" x14ac:dyDescent="0.2">
      <c r="A21" s="331" t="s">
        <v>119</v>
      </c>
      <c r="B21" s="285">
        <v>4184388</v>
      </c>
      <c r="C21" s="291">
        <f>B21/'- 3 -'!D21*100</f>
        <v>11.233306435674317</v>
      </c>
      <c r="D21" s="332">
        <f t="shared" si="0"/>
        <v>5542.2357615894043</v>
      </c>
      <c r="E21" s="333">
        <f>SUM('- 6 -'!E21:H21)</f>
        <v>755</v>
      </c>
      <c r="F21" s="291">
        <f>IF(E21=0,"",'- 6 -'!E21/E21*100)</f>
        <v>61.324503311258283</v>
      </c>
      <c r="G21" s="291">
        <f>IF(E21=0,"",'- 6 -'!F21/E21*100)</f>
        <v>0</v>
      </c>
      <c r="H21" s="291">
        <f>IF(E21=0,"",'- 6 -'!G21/E21*100)</f>
        <v>38.675496688741724</v>
      </c>
      <c r="I21" s="291">
        <f>IF(E21=0,"",'- 6 -'!H21/E21*100)</f>
        <v>0</v>
      </c>
    </row>
    <row r="22" spans="1:9" ht="14.1" customHeight="1" x14ac:dyDescent="0.2">
      <c r="A22" s="19" t="s">
        <v>120</v>
      </c>
      <c r="B22" s="20">
        <v>4729473</v>
      </c>
      <c r="C22" s="70">
        <f>B22/'- 3 -'!D22*100</f>
        <v>22.550730851449792</v>
      </c>
      <c r="D22" s="195">
        <f t="shared" si="0"/>
        <v>7231.6100917431195</v>
      </c>
      <c r="E22" s="196">
        <f>SUM('- 6 -'!E22:H22)</f>
        <v>654</v>
      </c>
      <c r="F22" s="70">
        <f>IF(E22=0,"",'- 6 -'!E22/E22*100)</f>
        <v>75.840978593272169</v>
      </c>
      <c r="G22" s="70">
        <f>IF(E22=0,"",'- 6 -'!F22/E22*100)</f>
        <v>0</v>
      </c>
      <c r="H22" s="70">
        <f>IF(E22=0,"",'- 6 -'!G22/E22*100)</f>
        <v>24.159021406727827</v>
      </c>
      <c r="I22" s="70">
        <f>IF(E22=0,"",'- 6 -'!H22/E22*100)</f>
        <v>0</v>
      </c>
    </row>
    <row r="23" spans="1:9" ht="14.1" customHeight="1" x14ac:dyDescent="0.2">
      <c r="A23" s="331" t="s">
        <v>121</v>
      </c>
      <c r="B23" s="285">
        <v>0</v>
      </c>
      <c r="C23" s="291">
        <f>B23/'- 3 -'!D23*100</f>
        <v>0</v>
      </c>
      <c r="D23" s="332" t="str">
        <f t="shared" si="0"/>
        <v/>
      </c>
      <c r="E23" s="333">
        <f>SUM('- 6 -'!E23:H23)</f>
        <v>0</v>
      </c>
      <c r="F23" s="291" t="str">
        <f>IF(E23=0,"",'- 6 -'!E23/E23*100)</f>
        <v/>
      </c>
      <c r="G23" s="291" t="str">
        <f>IF(E23=0,"",'- 6 -'!F23/E23*100)</f>
        <v/>
      </c>
      <c r="H23" s="291" t="str">
        <f>IF(E23=0,"",'- 6 -'!G23/E23*100)</f>
        <v/>
      </c>
      <c r="I23" s="291" t="str">
        <f>IF(E23=0,"",'- 6 -'!H23/E23*100)</f>
        <v/>
      </c>
    </row>
    <row r="24" spans="1:9" ht="14.1" customHeight="1" x14ac:dyDescent="0.2">
      <c r="A24" s="19" t="s">
        <v>122</v>
      </c>
      <c r="B24" s="20">
        <v>4601538</v>
      </c>
      <c r="C24" s="70">
        <f>B24/'- 3 -'!D24*100</f>
        <v>7.9464682380655534</v>
      </c>
      <c r="D24" s="195">
        <f t="shared" si="0"/>
        <v>6898.8575712143929</v>
      </c>
      <c r="E24" s="196">
        <f>SUM('- 6 -'!E24:H24)</f>
        <v>667</v>
      </c>
      <c r="F24" s="70">
        <f>IF(E24=0,"",'- 6 -'!E24/E24*100)</f>
        <v>70.989505247376314</v>
      </c>
      <c r="G24" s="70">
        <f>IF(E24=0,"",'- 6 -'!F24/E24*100)</f>
        <v>0</v>
      </c>
      <c r="H24" s="70">
        <f>IF(E24=0,"",'- 6 -'!G24/E24*100)</f>
        <v>16.491754122938531</v>
      </c>
      <c r="I24" s="70">
        <f>IF(E24=0,"",'- 6 -'!H24/E24*100)</f>
        <v>12.518740629685157</v>
      </c>
    </row>
    <row r="25" spans="1:9" ht="14.1" customHeight="1" x14ac:dyDescent="0.2">
      <c r="A25" s="331" t="s">
        <v>123</v>
      </c>
      <c r="B25" s="285">
        <v>3821825</v>
      </c>
      <c r="C25" s="291">
        <f>B25/'- 3 -'!D25*100</f>
        <v>1.9670556111363708</v>
      </c>
      <c r="D25" s="332">
        <f t="shared" si="0"/>
        <v>5645.2363367799117</v>
      </c>
      <c r="E25" s="333">
        <f>SUM('- 6 -'!E25:H25)</f>
        <v>677</v>
      </c>
      <c r="F25" s="291">
        <f>IF(E25=0,"",'- 6 -'!E25/E25*100)</f>
        <v>53.175775480059087</v>
      </c>
      <c r="G25" s="291">
        <f>IF(E25=0,"",'- 6 -'!F25/E25*100)</f>
        <v>0</v>
      </c>
      <c r="H25" s="291">
        <f>IF(E25=0,"",'- 6 -'!G25/E25*100)</f>
        <v>46.824224519940913</v>
      </c>
      <c r="I25" s="291">
        <f>IF(E25=0,"",'- 6 -'!H25/E25*100)</f>
        <v>0</v>
      </c>
    </row>
    <row r="26" spans="1:9" ht="14.1" customHeight="1" x14ac:dyDescent="0.2">
      <c r="A26" s="19" t="s">
        <v>124</v>
      </c>
      <c r="B26" s="20">
        <v>2505362</v>
      </c>
      <c r="C26" s="70">
        <f>B26/'- 3 -'!D26*100</f>
        <v>6.1207152144906649</v>
      </c>
      <c r="D26" s="195">
        <f t="shared" si="0"/>
        <v>4758.5223171889838</v>
      </c>
      <c r="E26" s="196">
        <f>SUM('- 6 -'!E26:H26)</f>
        <v>526.5</v>
      </c>
      <c r="F26" s="70">
        <f>IF(E26=0,"",'- 6 -'!E26/E26*100)</f>
        <v>69.705603038936374</v>
      </c>
      <c r="G26" s="70">
        <f>IF(E26=0,"",'- 6 -'!F26/E26*100)</f>
        <v>0</v>
      </c>
      <c r="H26" s="70">
        <f>IF(E26=0,"",'- 6 -'!G26/E26*100)</f>
        <v>16.334283000949668</v>
      </c>
      <c r="I26" s="70">
        <f>IF(E26=0,"",'- 6 -'!H26/E26*100)</f>
        <v>13.96011396011396</v>
      </c>
    </row>
    <row r="27" spans="1:9" ht="14.1" customHeight="1" x14ac:dyDescent="0.2">
      <c r="A27" s="331" t="s">
        <v>125</v>
      </c>
      <c r="B27" s="285">
        <v>2514692</v>
      </c>
      <c r="C27" s="291">
        <f>B27/'- 3 -'!D27*100</f>
        <v>6.0990908597894906</v>
      </c>
      <c r="D27" s="332">
        <f t="shared" si="0"/>
        <v>7417.9705014749261</v>
      </c>
      <c r="E27" s="333">
        <f>SUM('- 6 -'!E27:H27)</f>
        <v>339</v>
      </c>
      <c r="F27" s="291">
        <f>IF(E27=0,"",'- 6 -'!E27/E27*100)</f>
        <v>29.793510324483773</v>
      </c>
      <c r="G27" s="291">
        <f>IF(E27=0,"",'- 6 -'!F27/E27*100)</f>
        <v>0</v>
      </c>
      <c r="H27" s="291">
        <f>IF(E27=0,"",'- 6 -'!G27/E27*100)</f>
        <v>70.206489675516224</v>
      </c>
      <c r="I27" s="291">
        <f>IF(E27=0,"",'- 6 -'!H27/E27*100)</f>
        <v>0</v>
      </c>
    </row>
    <row r="28" spans="1:9" ht="14.1" customHeight="1" x14ac:dyDescent="0.2">
      <c r="A28" s="19" t="s">
        <v>126</v>
      </c>
      <c r="B28" s="20">
        <v>0</v>
      </c>
      <c r="C28" s="70">
        <f>B28/'- 3 -'!D28*100</f>
        <v>0</v>
      </c>
      <c r="D28" s="195" t="str">
        <f t="shared" si="0"/>
        <v/>
      </c>
      <c r="E28" s="196">
        <f>SUM('- 6 -'!E28:H28)</f>
        <v>0</v>
      </c>
      <c r="F28" s="70" t="str">
        <f>IF(E28=0,"",'- 6 -'!E28/E28*100)</f>
        <v/>
      </c>
      <c r="G28" s="70" t="str">
        <f>IF(E28=0,"",'- 6 -'!F28/E28*100)</f>
        <v/>
      </c>
      <c r="H28" s="70" t="str">
        <f>IF(E28=0,"",'- 6 -'!G28/E28*100)</f>
        <v/>
      </c>
      <c r="I28" s="70" t="str">
        <f>IF(E28=0,"",'- 6 -'!H28/E28*100)</f>
        <v/>
      </c>
    </row>
    <row r="29" spans="1:9" ht="14.1" customHeight="1" x14ac:dyDescent="0.2">
      <c r="A29" s="331" t="s">
        <v>127</v>
      </c>
      <c r="B29" s="285">
        <v>25772062</v>
      </c>
      <c r="C29" s="291">
        <f>B29/'- 3 -'!D29*100</f>
        <v>15.460084054016848</v>
      </c>
      <c r="D29" s="332">
        <f t="shared" si="0"/>
        <v>5795.5119296588637</v>
      </c>
      <c r="E29" s="333">
        <f>SUM('- 6 -'!E29:H29)</f>
        <v>4446.8999999999996</v>
      </c>
      <c r="F29" s="291">
        <f>IF(E29=0,"",'- 6 -'!E29/E29*100)</f>
        <v>59.915896467201875</v>
      </c>
      <c r="G29" s="291">
        <f>IF(E29=0,"",'- 6 -'!F29/E29*100)</f>
        <v>0</v>
      </c>
      <c r="H29" s="291">
        <f>IF(E29=0,"",'- 6 -'!G29/E29*100)</f>
        <v>40.084103532798132</v>
      </c>
      <c r="I29" s="291">
        <f>IF(E29=0,"",'- 6 -'!H29/E29*100)</f>
        <v>0</v>
      </c>
    </row>
    <row r="30" spans="1:9" ht="14.1" customHeight="1" x14ac:dyDescent="0.2">
      <c r="A30" s="19" t="s">
        <v>128</v>
      </c>
      <c r="B30" s="20">
        <v>0</v>
      </c>
      <c r="C30" s="70">
        <f>B30/'- 3 -'!D30*100</f>
        <v>0</v>
      </c>
      <c r="D30" s="195" t="str">
        <f t="shared" si="0"/>
        <v/>
      </c>
      <c r="E30" s="196">
        <f>SUM('- 6 -'!E30:H30)</f>
        <v>0</v>
      </c>
      <c r="F30" s="70" t="str">
        <f>IF(E30=0,"",'- 6 -'!E30/E30*100)</f>
        <v/>
      </c>
      <c r="G30" s="70" t="str">
        <f>IF(E30=0,"",'- 6 -'!F30/E30*100)</f>
        <v/>
      </c>
      <c r="H30" s="70" t="str">
        <f>IF(E30=0,"",'- 6 -'!G30/E30*100)</f>
        <v/>
      </c>
      <c r="I30" s="70" t="str">
        <f>IF(E30=0,"",'- 6 -'!H30/E30*100)</f>
        <v/>
      </c>
    </row>
    <row r="31" spans="1:9" ht="14.1" customHeight="1" x14ac:dyDescent="0.2">
      <c r="A31" s="331" t="s">
        <v>129</v>
      </c>
      <c r="B31" s="285">
        <v>3335382</v>
      </c>
      <c r="C31" s="291">
        <f>B31/'- 3 -'!D31*100</f>
        <v>8.6080478687882174</v>
      </c>
      <c r="D31" s="332">
        <f t="shared" si="0"/>
        <v>4374.2714754098361</v>
      </c>
      <c r="E31" s="333">
        <f>SUM('- 6 -'!E31:H31)</f>
        <v>762.5</v>
      </c>
      <c r="F31" s="291">
        <f>IF(E31=0,"",'- 6 -'!E31/E31*100)</f>
        <v>62.229508196721305</v>
      </c>
      <c r="G31" s="291">
        <f>IF(E31=0,"",'- 6 -'!F31/E31*100)</f>
        <v>0</v>
      </c>
      <c r="H31" s="291">
        <f>IF(E31=0,"",'- 6 -'!G31/E31*100)</f>
        <v>37.770491803278688</v>
      </c>
      <c r="I31" s="291">
        <f>IF(E31=0,"",'- 6 -'!H31/E31*100)</f>
        <v>0</v>
      </c>
    </row>
    <row r="32" spans="1:9" ht="14.1" customHeight="1" x14ac:dyDescent="0.2">
      <c r="A32" s="19" t="s">
        <v>130</v>
      </c>
      <c r="B32" s="20">
        <v>1303675</v>
      </c>
      <c r="C32" s="70">
        <f>B32/'- 3 -'!D32*100</f>
        <v>4.3340850058129119</v>
      </c>
      <c r="D32" s="195">
        <f t="shared" si="0"/>
        <v>7714.0532544378702</v>
      </c>
      <c r="E32" s="196">
        <f>SUM('- 6 -'!E32:H32)</f>
        <v>169</v>
      </c>
      <c r="F32" s="70">
        <f>IF(E32=0,"",'- 6 -'!E32/E32*100)</f>
        <v>66.272189349112438</v>
      </c>
      <c r="G32" s="70">
        <f>IF(E32=0,"",'- 6 -'!F32/E32*100)</f>
        <v>0</v>
      </c>
      <c r="H32" s="70">
        <f>IF(E32=0,"",'- 6 -'!G32/E32*100)</f>
        <v>33.727810650887577</v>
      </c>
      <c r="I32" s="70">
        <f>IF(E32=0,"",'- 6 -'!H32/E32*100)</f>
        <v>0</v>
      </c>
    </row>
    <row r="33" spans="1:10" ht="14.1" customHeight="1" x14ac:dyDescent="0.2">
      <c r="A33" s="331" t="s">
        <v>131</v>
      </c>
      <c r="B33" s="285">
        <v>2784445</v>
      </c>
      <c r="C33" s="291">
        <f>B33/'- 3 -'!D33*100</f>
        <v>9.9358714166862772</v>
      </c>
      <c r="D33" s="332">
        <f t="shared" si="0"/>
        <v>6349.9315849486884</v>
      </c>
      <c r="E33" s="333">
        <f>SUM('- 6 -'!E33:H33)</f>
        <v>438.5</v>
      </c>
      <c r="F33" s="291">
        <f>IF(E33=0,"",'- 6 -'!E33/E33*100)</f>
        <v>49.258836944127708</v>
      </c>
      <c r="G33" s="291">
        <f>IF(E33=0,"",'- 6 -'!F33/E33*100)</f>
        <v>26.681870011402509</v>
      </c>
      <c r="H33" s="291">
        <f>IF(E33=0,"",'- 6 -'!G33/E33*100)</f>
        <v>24.059293044469783</v>
      </c>
      <c r="I33" s="291">
        <f>IF(E33=0,"",'- 6 -'!H33/E33*100)</f>
        <v>0</v>
      </c>
    </row>
    <row r="34" spans="1:10" ht="14.1" customHeight="1" x14ac:dyDescent="0.2">
      <c r="A34" s="19" t="s">
        <v>132</v>
      </c>
      <c r="B34" s="20">
        <v>1687592</v>
      </c>
      <c r="C34" s="70">
        <f>B34/'- 3 -'!D34*100</f>
        <v>5.4859175477897333</v>
      </c>
      <c r="D34" s="195">
        <f t="shared" si="0"/>
        <v>7274.1034482758623</v>
      </c>
      <c r="E34" s="196">
        <f>SUM('- 6 -'!E34:H34)</f>
        <v>232</v>
      </c>
      <c r="F34" s="70">
        <f>IF(E34=0,"",'- 6 -'!E34/E34*100)</f>
        <v>31.681034482758619</v>
      </c>
      <c r="G34" s="70">
        <f>IF(E34=0,"",'- 6 -'!F34/E34*100)</f>
        <v>68.318965517241381</v>
      </c>
      <c r="H34" s="70">
        <f>IF(E34=0,"",'- 6 -'!G34/E34*100)</f>
        <v>0</v>
      </c>
      <c r="I34" s="70">
        <f>IF(E34=0,"",'- 6 -'!H34/E34*100)</f>
        <v>0</v>
      </c>
    </row>
    <row r="35" spans="1:10" ht="14.1" customHeight="1" x14ac:dyDescent="0.2">
      <c r="A35" s="331" t="s">
        <v>133</v>
      </c>
      <c r="B35" s="285">
        <v>27938746</v>
      </c>
      <c r="C35" s="291">
        <f>B35/'- 3 -'!D35*100</f>
        <v>14.48716446766892</v>
      </c>
      <c r="D35" s="332">
        <f t="shared" si="0"/>
        <v>6001.8788399570358</v>
      </c>
      <c r="E35" s="333">
        <f>SUM('- 6 -'!E35:H35)</f>
        <v>4655</v>
      </c>
      <c r="F35" s="291">
        <f>IF(E35=0,"",'- 6 -'!E35/E35*100)</f>
        <v>51.965628356605798</v>
      </c>
      <c r="G35" s="291">
        <f>IF(E35=0,"",'- 6 -'!F35/E35*100)</f>
        <v>0</v>
      </c>
      <c r="H35" s="291">
        <f>IF(E35=0,"",'- 6 -'!G35/E35*100)</f>
        <v>39.989258861439311</v>
      </c>
      <c r="I35" s="291">
        <f>IF(E35=0,"",'- 6 -'!H35/E35*100)</f>
        <v>8.0451127819548862</v>
      </c>
    </row>
    <row r="36" spans="1:10" ht="14.1" customHeight="1" x14ac:dyDescent="0.2">
      <c r="A36" s="19" t="s">
        <v>134</v>
      </c>
      <c r="B36" s="20">
        <v>0</v>
      </c>
      <c r="C36" s="70">
        <f>B36/'- 3 -'!D36*100</f>
        <v>0</v>
      </c>
      <c r="D36" s="195" t="str">
        <f t="shared" si="0"/>
        <v/>
      </c>
      <c r="E36" s="196">
        <f>SUM('- 6 -'!E36:H36)</f>
        <v>0</v>
      </c>
      <c r="F36" s="70" t="str">
        <f>IF(E36=0,"",'- 6 -'!E36/E36*100)</f>
        <v/>
      </c>
      <c r="G36" s="70" t="str">
        <f>IF(E36=0,"",'- 6 -'!F36/E36*100)</f>
        <v/>
      </c>
      <c r="H36" s="70" t="str">
        <f>IF(E36=0,"",'- 6 -'!G36/E36*100)</f>
        <v/>
      </c>
      <c r="I36" s="70" t="str">
        <f>IF(E36=0,"",'- 6 -'!H36/E36*100)</f>
        <v/>
      </c>
    </row>
    <row r="37" spans="1:10" ht="14.1" customHeight="1" x14ac:dyDescent="0.2">
      <c r="A37" s="331" t="s">
        <v>135</v>
      </c>
      <c r="B37" s="285">
        <v>8071811</v>
      </c>
      <c r="C37" s="291">
        <f>B37/'- 3 -'!D37*100</f>
        <v>15.047159838935695</v>
      </c>
      <c r="D37" s="332">
        <f t="shared" si="0"/>
        <v>5780.0293591120662</v>
      </c>
      <c r="E37" s="333">
        <f>SUM('- 6 -'!E37:H37)</f>
        <v>1396.5</v>
      </c>
      <c r="F37" s="291">
        <f>IF(E37=0,"",'- 6 -'!E37/E37*100)</f>
        <v>56.355173648406733</v>
      </c>
      <c r="G37" s="291">
        <f>IF(E37=0,"",'- 6 -'!F37/E37*100)</f>
        <v>0</v>
      </c>
      <c r="H37" s="291">
        <f>IF(E37=0,"",'- 6 -'!G37/E37*100)</f>
        <v>43.644826351593267</v>
      </c>
      <c r="I37" s="291">
        <f>IF(E37=0,"",'- 6 -'!H37/E37*100)</f>
        <v>0</v>
      </c>
    </row>
    <row r="38" spans="1:10" ht="14.1" customHeight="1" x14ac:dyDescent="0.2">
      <c r="A38" s="19" t="s">
        <v>136</v>
      </c>
      <c r="B38" s="20">
        <v>24092397</v>
      </c>
      <c r="C38" s="70">
        <f>B38/'- 3 -'!D38*100</f>
        <v>16.70476010769886</v>
      </c>
      <c r="D38" s="195">
        <f t="shared" si="0"/>
        <v>6173.8966763190938</v>
      </c>
      <c r="E38" s="196">
        <f>SUM('- 6 -'!E38:H38)</f>
        <v>3902.3</v>
      </c>
      <c r="F38" s="70">
        <f>IF(E38=0,"",'- 6 -'!E38/E38*100)</f>
        <v>59.98513697050457</v>
      </c>
      <c r="G38" s="70">
        <f>IF(E38=0,"",'- 6 -'!F38/E38*100)</f>
        <v>0</v>
      </c>
      <c r="H38" s="70">
        <f>IF(E38=0,"",'- 6 -'!G38/E38*100)</f>
        <v>34.184967839479278</v>
      </c>
      <c r="I38" s="70">
        <f>IF(E38=0,"",'- 6 -'!H38/E38*100)</f>
        <v>5.8298951900161438</v>
      </c>
    </row>
    <row r="39" spans="1:10" ht="14.1" customHeight="1" x14ac:dyDescent="0.2">
      <c r="A39" s="331" t="s">
        <v>137</v>
      </c>
      <c r="B39" s="285">
        <v>0</v>
      </c>
      <c r="C39" s="291">
        <f>B39/'- 3 -'!D39*100</f>
        <v>0</v>
      </c>
      <c r="D39" s="332" t="str">
        <f t="shared" si="0"/>
        <v/>
      </c>
      <c r="E39" s="333">
        <f>SUM('- 6 -'!E39:H39)</f>
        <v>0</v>
      </c>
      <c r="F39" s="291" t="str">
        <f>IF(E39=0,"",'- 6 -'!E39/E39*100)</f>
        <v/>
      </c>
      <c r="G39" s="291" t="str">
        <f>IF(E39=0,"",'- 6 -'!F39/E39*100)</f>
        <v/>
      </c>
      <c r="H39" s="291" t="str">
        <f>IF(E39=0,"",'- 6 -'!G39/E39*100)</f>
        <v/>
      </c>
      <c r="I39" s="291" t="str">
        <f>IF(E39=0,"",'- 6 -'!H39/E39*100)</f>
        <v/>
      </c>
    </row>
    <row r="40" spans="1:10" ht="14.1" customHeight="1" x14ac:dyDescent="0.2">
      <c r="A40" s="19" t="s">
        <v>138</v>
      </c>
      <c r="B40" s="20">
        <v>5652737</v>
      </c>
      <c r="C40" s="70">
        <f>B40/'- 3 -'!D40*100</f>
        <v>5.300825479985213</v>
      </c>
      <c r="D40" s="195">
        <f t="shared" si="0"/>
        <v>5609.2095340160358</v>
      </c>
      <c r="E40" s="196">
        <f>SUM('- 6 -'!E40:H40)</f>
        <v>1007.76</v>
      </c>
      <c r="F40" s="70">
        <f>IF(E40=0,"",'- 6 -'!E40/E40*100)</f>
        <v>69.635627530364374</v>
      </c>
      <c r="G40" s="70">
        <f>IF(E40=0,"",'- 6 -'!F40/E40*100)</f>
        <v>0</v>
      </c>
      <c r="H40" s="70">
        <f>IF(E40=0,"",'- 6 -'!G40/E40*100)</f>
        <v>30.364372469635626</v>
      </c>
      <c r="I40" s="70">
        <f>IF(E40=0,"",'- 6 -'!H40/E40*100)</f>
        <v>0</v>
      </c>
    </row>
    <row r="41" spans="1:10" ht="14.1" customHeight="1" x14ac:dyDescent="0.2">
      <c r="A41" s="331" t="s">
        <v>139</v>
      </c>
      <c r="B41" s="285">
        <v>15553375</v>
      </c>
      <c r="C41" s="291">
        <f>B41/'- 3 -'!D41*100</f>
        <v>23.735935847095487</v>
      </c>
      <c r="D41" s="332">
        <f t="shared" si="0"/>
        <v>6496.8149540517961</v>
      </c>
      <c r="E41" s="333">
        <f>SUM('- 6 -'!E41:H41)</f>
        <v>2394</v>
      </c>
      <c r="F41" s="291">
        <f>IF(E41=0,"",'- 6 -'!E41/E41*100)</f>
        <v>67.10526315789474</v>
      </c>
      <c r="G41" s="291">
        <f>IF(E41=0,"",'- 6 -'!F41/E41*100)</f>
        <v>0</v>
      </c>
      <c r="H41" s="291">
        <f>IF(E41=0,"",'- 6 -'!G41/E41*100)</f>
        <v>29.678362573099413</v>
      </c>
      <c r="I41" s="291">
        <f>IF(E41=0,"",'- 6 -'!H41/E41*100)</f>
        <v>3.2163742690058479</v>
      </c>
    </row>
    <row r="42" spans="1:10" ht="14.1" customHeight="1" x14ac:dyDescent="0.2">
      <c r="A42" s="19" t="s">
        <v>140</v>
      </c>
      <c r="B42" s="20">
        <v>1893693</v>
      </c>
      <c r="C42" s="70">
        <f>B42/'- 3 -'!D42*100</f>
        <v>9.0811080652018017</v>
      </c>
      <c r="D42" s="195">
        <f t="shared" si="0"/>
        <v>6974.9281767955799</v>
      </c>
      <c r="E42" s="196">
        <f>SUM('- 6 -'!E42:H42)</f>
        <v>271.5</v>
      </c>
      <c r="F42" s="70">
        <f>IF(E42=0,"",'- 6 -'!E42/E42*100)</f>
        <v>73.038674033149178</v>
      </c>
      <c r="G42" s="70">
        <f>IF(E42=0,"",'- 6 -'!F42/E42*100)</f>
        <v>0</v>
      </c>
      <c r="H42" s="70">
        <f>IF(E42=0,"",'- 6 -'!G42/E42*100)</f>
        <v>26.961325966850829</v>
      </c>
      <c r="I42" s="70">
        <f>IF(E42=0,"",'- 6 -'!H42/E42*100)</f>
        <v>0</v>
      </c>
    </row>
    <row r="43" spans="1:10" ht="14.1" customHeight="1" x14ac:dyDescent="0.2">
      <c r="A43" s="331" t="s">
        <v>141</v>
      </c>
      <c r="B43" s="285">
        <v>0</v>
      </c>
      <c r="C43" s="291">
        <f>B43/'- 3 -'!D43*100</f>
        <v>0</v>
      </c>
      <c r="D43" s="332" t="str">
        <f t="shared" si="0"/>
        <v/>
      </c>
      <c r="E43" s="333">
        <f>SUM('- 6 -'!E43:H43)</f>
        <v>0</v>
      </c>
      <c r="F43" s="291" t="str">
        <f>IF(E43=0,"",'- 6 -'!E43/E43*100)</f>
        <v/>
      </c>
      <c r="G43" s="291" t="str">
        <f>IF(E43=0,"",'- 6 -'!F43/E43*100)</f>
        <v/>
      </c>
      <c r="H43" s="291" t="str">
        <f>IF(E43=0,"",'- 6 -'!G43/E43*100)</f>
        <v/>
      </c>
      <c r="I43" s="291" t="str">
        <f>IF(E43=0,"",'- 6 -'!H43/E43*100)</f>
        <v/>
      </c>
    </row>
    <row r="44" spans="1:10" ht="14.1" customHeight="1" x14ac:dyDescent="0.2">
      <c r="A44" s="19" t="s">
        <v>142</v>
      </c>
      <c r="B44" s="20">
        <v>0</v>
      </c>
      <c r="C44" s="70">
        <f>B44/'- 3 -'!D44*100</f>
        <v>0</v>
      </c>
      <c r="D44" s="195" t="str">
        <f t="shared" si="0"/>
        <v/>
      </c>
      <c r="E44" s="196">
        <f>SUM('- 6 -'!E44:H44)</f>
        <v>0</v>
      </c>
      <c r="F44" s="70" t="str">
        <f>IF(E44=0,"",'- 6 -'!E44/E44*100)</f>
        <v/>
      </c>
      <c r="G44" s="70" t="str">
        <f>IF(E44=0,"",'- 6 -'!F44/E44*100)</f>
        <v/>
      </c>
      <c r="H44" s="70" t="str">
        <f>IF(E44=0,"",'- 6 -'!G44/E44*100)</f>
        <v/>
      </c>
      <c r="I44" s="70" t="str">
        <f>IF(E44=0,"",'- 6 -'!H44/E44*100)</f>
        <v/>
      </c>
    </row>
    <row r="45" spans="1:10" ht="14.1" customHeight="1" x14ac:dyDescent="0.2">
      <c r="A45" s="331" t="s">
        <v>143</v>
      </c>
      <c r="B45" s="285">
        <v>5659682</v>
      </c>
      <c r="C45" s="291">
        <f>B45/'- 3 -'!D45*100</f>
        <v>27.588707064002765</v>
      </c>
      <c r="D45" s="332">
        <f t="shared" si="0"/>
        <v>5645.5680798004987</v>
      </c>
      <c r="E45" s="333">
        <f>SUM('- 6 -'!E45:H45)</f>
        <v>1002.5</v>
      </c>
      <c r="F45" s="291">
        <f>IF(E45=0,"",'- 6 -'!E45/E45*100)</f>
        <v>73.665835411471321</v>
      </c>
      <c r="G45" s="291">
        <f>IF(E45=0,"",'- 6 -'!F45/E45*100)</f>
        <v>0</v>
      </c>
      <c r="H45" s="291">
        <f>IF(E45=0,"",'- 6 -'!G45/E45*100)</f>
        <v>26.334164588528679</v>
      </c>
      <c r="I45" s="291">
        <f>IF(E45=0,"",'- 6 -'!H45/E45*100)</f>
        <v>0</v>
      </c>
    </row>
    <row r="46" spans="1:10" ht="14.1" customHeight="1" x14ac:dyDescent="0.2">
      <c r="A46" s="19" t="s">
        <v>144</v>
      </c>
      <c r="B46" s="20">
        <v>41429243</v>
      </c>
      <c r="C46" s="70">
        <f>B46/'- 3 -'!D46*100</f>
        <v>10.319938023243246</v>
      </c>
      <c r="D46" s="195">
        <f t="shared" si="0"/>
        <v>5298.5347231103724</v>
      </c>
      <c r="E46" s="196">
        <f>SUM('- 6 -'!E46:H46)</f>
        <v>7819</v>
      </c>
      <c r="F46" s="70">
        <f>IF(E46=0,"",'- 6 -'!E46/E46*100)</f>
        <v>59.515283284307451</v>
      </c>
      <c r="G46" s="70">
        <f>IF(E46=0,"",'- 6 -'!F46/E46*100)</f>
        <v>0</v>
      </c>
      <c r="H46" s="70">
        <f>IF(E46=0,"",'- 6 -'!G46/E46*100)</f>
        <v>37.472822611587162</v>
      </c>
      <c r="I46" s="70">
        <f>IF(E46=0,"",'- 6 -'!H46/E46*100)</f>
        <v>3.0118941041053846</v>
      </c>
    </row>
    <row r="47" spans="1:10" ht="5.0999999999999996" customHeight="1" x14ac:dyDescent="0.2">
      <c r="A47"/>
      <c r="B47" s="22"/>
      <c r="C47"/>
      <c r="D47"/>
      <c r="E47"/>
      <c r="F47"/>
      <c r="G47"/>
      <c r="H47"/>
      <c r="I47"/>
      <c r="J47"/>
    </row>
    <row r="48" spans="1:10" ht="14.1" customHeight="1" x14ac:dyDescent="0.2">
      <c r="A48" s="286" t="s">
        <v>145</v>
      </c>
      <c r="B48" s="287">
        <f>SUM(B11:B46)</f>
        <v>201076033</v>
      </c>
      <c r="C48" s="294">
        <f>B48/'- 3 -'!D48*100</f>
        <v>8.3914377018191431</v>
      </c>
      <c r="D48" s="334">
        <f>B48/E48</f>
        <v>5819.4418863374704</v>
      </c>
      <c r="E48" s="335">
        <f>SUM(E11:E46)</f>
        <v>34552.46</v>
      </c>
      <c r="F48" s="294">
        <f>IF(E48=0,"",'- 6 -'!E48/E48*100)</f>
        <v>60.683841324177791</v>
      </c>
      <c r="G48" s="294">
        <f>IF(E48=0,"",'- 6 -'!F48/E48*100)</f>
        <v>0.79733830818413498</v>
      </c>
      <c r="H48" s="294">
        <f>IF(E48=0,"",'- 6 -'!G48/E48*100)</f>
        <v>35.417738708039892</v>
      </c>
      <c r="I48" s="294">
        <f>IF(E48=0,"",'- 6 -'!H48/E48*100)</f>
        <v>3.1010816595981878</v>
      </c>
    </row>
    <row r="49" spans="1:9" ht="5.0999999999999996" customHeight="1" x14ac:dyDescent="0.2">
      <c r="A49" s="21" t="s">
        <v>7</v>
      </c>
      <c r="B49" s="22"/>
      <c r="C49"/>
      <c r="D49" s="22"/>
      <c r="E49" s="197"/>
      <c r="F49"/>
      <c r="G49"/>
      <c r="H49"/>
      <c r="I49"/>
    </row>
    <row r="50" spans="1:9" ht="14.1" customHeight="1" x14ac:dyDescent="0.2">
      <c r="A50" s="19" t="s">
        <v>146</v>
      </c>
      <c r="B50" s="20">
        <v>0</v>
      </c>
      <c r="C50" s="70">
        <f>B50/'- 3 -'!D50*100</f>
        <v>0</v>
      </c>
      <c r="D50" s="195" t="str">
        <f>IF(E50=0,"",B50/E50)</f>
        <v/>
      </c>
      <c r="E50" s="196">
        <f>SUM('- 6 -'!E50:H50)</f>
        <v>0</v>
      </c>
      <c r="F50" s="70" t="str">
        <f>IF(E50=0,"",'- 6 -'!E50/E50*100)</f>
        <v/>
      </c>
      <c r="G50" s="70" t="str">
        <f>IF(E50=0,"",'- 6 -'!F50/E50*100)</f>
        <v/>
      </c>
      <c r="H50" s="70" t="str">
        <f>IF(E50=0,"",'- 6 -'!G50/E50*100)</f>
        <v/>
      </c>
      <c r="I50" s="70" t="str">
        <f>IF(E50=0,"",'- 6 -'!H50/E50*100)</f>
        <v/>
      </c>
    </row>
    <row r="51" spans="1:9" ht="14.1" customHeight="1" x14ac:dyDescent="0.2">
      <c r="A51" s="331" t="s">
        <v>601</v>
      </c>
      <c r="B51" s="285">
        <v>0</v>
      </c>
      <c r="C51" s="291">
        <f>B51/'- 3 -'!D51*100</f>
        <v>0</v>
      </c>
      <c r="D51" s="332" t="str">
        <f>IF(E51=0,"",B51/E51)</f>
        <v/>
      </c>
      <c r="E51" s="333">
        <f>SUM('- 6 -'!E51:H51)</f>
        <v>0</v>
      </c>
      <c r="F51" s="291" t="str">
        <f>IF(E51=0,"",'- 6 -'!E51/E51*100)</f>
        <v/>
      </c>
      <c r="G51" s="291" t="str">
        <f>IF(E51=0,"",'- 6 -'!F51/E51*100)</f>
        <v/>
      </c>
      <c r="H51" s="291" t="str">
        <f>IF(E51=0,"",'- 6 -'!G51/E51*100)</f>
        <v/>
      </c>
      <c r="I51" s="291" t="str">
        <f>IF(E51=0,"",'- 6 -'!H51/E51*100)</f>
        <v/>
      </c>
    </row>
    <row r="52" spans="1:9" ht="50.1" customHeight="1" x14ac:dyDescent="0.2">
      <c r="A52" s="23"/>
      <c r="B52" s="108"/>
      <c r="C52" s="108"/>
      <c r="D52" s="108"/>
      <c r="E52" s="108"/>
      <c r="F52" s="108"/>
      <c r="G52" s="108"/>
      <c r="H52" s="108"/>
      <c r="I52" s="108"/>
    </row>
    <row r="53" spans="1:9" ht="15" customHeight="1" x14ac:dyDescent="0.2">
      <c r="A53" s="85" t="s">
        <v>344</v>
      </c>
      <c r="C53" s="85"/>
      <c r="D53" s="85"/>
      <c r="E53" s="85"/>
      <c r="F53" s="85"/>
      <c r="G53" s="85"/>
      <c r="H53" s="85"/>
      <c r="I53" s="85"/>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I55"/>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4.83203125" style="2" customWidth="1"/>
    <col min="6" max="6" width="7.83203125" style="2" customWidth="1"/>
    <col min="7" max="7" width="9.83203125" style="2" customWidth="1"/>
    <col min="8" max="8" width="15.83203125" style="2"/>
    <col min="9" max="9" width="7.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401</v>
      </c>
    </row>
    <row r="3" spans="1:9" ht="15.95" customHeight="1" x14ac:dyDescent="0.2">
      <c r="A3" s="541"/>
      <c r="B3" s="11" t="str">
        <f>OPYEAR</f>
        <v>OPERATING FUND 2018/2019 ACTUAL</v>
      </c>
      <c r="C3" s="12"/>
      <c r="D3" s="12"/>
      <c r="E3" s="12"/>
      <c r="F3" s="12"/>
      <c r="G3" s="75"/>
      <c r="H3" s="75"/>
      <c r="I3" s="75"/>
    </row>
    <row r="4" spans="1:9" ht="15.95" customHeight="1" x14ac:dyDescent="0.2">
      <c r="B4" s="8"/>
      <c r="C4" s="8"/>
      <c r="D4" s="66"/>
      <c r="E4" s="8"/>
      <c r="F4" s="8"/>
      <c r="G4" s="8"/>
      <c r="H4" s="8"/>
      <c r="I4" s="8"/>
    </row>
    <row r="5" spans="1:9" ht="15.95" customHeight="1" x14ac:dyDescent="0.2">
      <c r="B5" s="393" t="s">
        <v>604</v>
      </c>
      <c r="C5" s="165"/>
      <c r="D5" s="166"/>
      <c r="E5" s="166"/>
      <c r="F5" s="166"/>
      <c r="G5" s="166"/>
      <c r="H5" s="547"/>
      <c r="I5" s="547"/>
    </row>
    <row r="6" spans="1:9" ht="15.95" customHeight="1" x14ac:dyDescent="0.2">
      <c r="B6" s="649" t="s">
        <v>477</v>
      </c>
      <c r="C6" s="657"/>
      <c r="D6" s="650"/>
      <c r="E6" s="653" t="s">
        <v>478</v>
      </c>
      <c r="F6" s="657"/>
      <c r="G6" s="674"/>
      <c r="H6" s="676" t="s">
        <v>479</v>
      </c>
      <c r="I6" s="677"/>
    </row>
    <row r="7" spans="1:9" ht="15.95" customHeight="1" x14ac:dyDescent="0.2">
      <c r="B7" s="651"/>
      <c r="C7" s="658"/>
      <c r="D7" s="652"/>
      <c r="E7" s="651"/>
      <c r="F7" s="658"/>
      <c r="G7" s="675"/>
      <c r="H7" s="678"/>
      <c r="I7" s="679"/>
    </row>
    <row r="8" spans="1:9" ht="15.95" customHeight="1" x14ac:dyDescent="0.2">
      <c r="A8" s="67"/>
      <c r="B8" s="137"/>
      <c r="C8" s="138"/>
      <c r="D8" s="602" t="s">
        <v>473</v>
      </c>
      <c r="E8" s="137"/>
      <c r="F8" s="139"/>
      <c r="G8" s="602" t="s">
        <v>473</v>
      </c>
      <c r="H8" s="137"/>
      <c r="I8" s="139"/>
    </row>
    <row r="9" spans="1:9" ht="15.95" customHeight="1" x14ac:dyDescent="0.2">
      <c r="A9" s="35" t="s">
        <v>42</v>
      </c>
      <c r="B9" s="77" t="s">
        <v>43</v>
      </c>
      <c r="C9" s="77" t="s">
        <v>44</v>
      </c>
      <c r="D9" s="604"/>
      <c r="E9" s="77" t="s">
        <v>43</v>
      </c>
      <c r="F9" s="77" t="s">
        <v>44</v>
      </c>
      <c r="G9" s="604"/>
      <c r="H9" s="77" t="s">
        <v>43</v>
      </c>
      <c r="I9" s="77" t="s">
        <v>44</v>
      </c>
    </row>
    <row r="10" spans="1:9" ht="5.0999999999999996" customHeight="1" x14ac:dyDescent="0.2">
      <c r="A10" s="6"/>
    </row>
    <row r="11" spans="1:9" ht="14.1" customHeight="1" x14ac:dyDescent="0.2">
      <c r="A11" s="284" t="s">
        <v>110</v>
      </c>
      <c r="B11" s="285">
        <v>127510</v>
      </c>
      <c r="C11" s="291">
        <f>B11/'- 3 -'!$D11*100</f>
        <v>0.63467684963554238</v>
      </c>
      <c r="D11" s="285">
        <f>B11/'- 7 -'!$E11</f>
        <v>70.330943188086039</v>
      </c>
      <c r="E11" s="285">
        <v>167192</v>
      </c>
      <c r="F11" s="291">
        <f>E11/'- 3 -'!$D11*100</f>
        <v>0.83219270523304523</v>
      </c>
      <c r="G11" s="285">
        <f>E11/'- 7 -'!$E11</f>
        <v>92.218422504136797</v>
      </c>
      <c r="H11" s="285">
        <v>243172</v>
      </c>
      <c r="I11" s="291">
        <f>H11/'- 3 -'!$D11*100</f>
        <v>1.2103806672384447</v>
      </c>
    </row>
    <row r="12" spans="1:9" ht="14.1" customHeight="1" x14ac:dyDescent="0.2">
      <c r="A12" s="19" t="s">
        <v>111</v>
      </c>
      <c r="B12" s="20">
        <v>205916</v>
      </c>
      <c r="C12" s="70">
        <f>B12/'- 3 -'!$D12*100</f>
        <v>0.60760461214851591</v>
      </c>
      <c r="D12" s="20">
        <f>B12/'- 7 -'!$E12</f>
        <v>96.825553564963059</v>
      </c>
      <c r="E12" s="20">
        <v>772973</v>
      </c>
      <c r="F12" s="70">
        <f>E12/'- 3 -'!$D12*100</f>
        <v>2.2808424788082267</v>
      </c>
      <c r="G12" s="20">
        <f>E12/'- 7 -'!$E12</f>
        <v>363.46635820320029</v>
      </c>
      <c r="H12" s="20">
        <v>0</v>
      </c>
      <c r="I12" s="70">
        <f>H12/'- 3 -'!$D12*100</f>
        <v>0</v>
      </c>
    </row>
    <row r="13" spans="1:9" ht="14.1" customHeight="1" x14ac:dyDescent="0.2">
      <c r="A13" s="284" t="s">
        <v>112</v>
      </c>
      <c r="B13" s="285">
        <v>229546</v>
      </c>
      <c r="C13" s="291">
        <f>B13/'- 3 -'!$D13*100</f>
        <v>0.22747817110467911</v>
      </c>
      <c r="D13" s="285">
        <f>B13/'- 7 -'!$E13</f>
        <v>26.800467016929364</v>
      </c>
      <c r="E13" s="285">
        <v>2752858</v>
      </c>
      <c r="F13" s="291">
        <f>E13/'- 3 -'!$D13*100</f>
        <v>2.7280593133876643</v>
      </c>
      <c r="G13" s="285">
        <f>E13/'- 7 -'!$E13</f>
        <v>321.40782253356684</v>
      </c>
      <c r="H13" s="285">
        <v>1074251</v>
      </c>
      <c r="I13" s="291">
        <f>H13/'- 3 -'!$D13*100</f>
        <v>1.0645737794924444</v>
      </c>
    </row>
    <row r="14" spans="1:9" ht="14.1" customHeight="1" x14ac:dyDescent="0.2">
      <c r="A14" s="19" t="s">
        <v>359</v>
      </c>
      <c r="B14" s="20">
        <v>444042</v>
      </c>
      <c r="C14" s="70">
        <f>B14/'- 3 -'!$D14*100</f>
        <v>0.48637460071354266</v>
      </c>
      <c r="D14" s="20">
        <f>B14/'- 7 -'!$E14</f>
        <v>82.093178036605664</v>
      </c>
      <c r="E14" s="20">
        <v>1077476</v>
      </c>
      <c r="F14" s="70">
        <f>E14/'- 3 -'!$D14*100</f>
        <v>1.1801968266029452</v>
      </c>
      <c r="G14" s="20">
        <f>E14/'- 7 -'!$E14</f>
        <v>199.20059160658161</v>
      </c>
      <c r="H14" s="20">
        <v>760927</v>
      </c>
      <c r="I14" s="70">
        <f>H14/'- 3 -'!$D14*100</f>
        <v>0.83346972988400603</v>
      </c>
    </row>
    <row r="15" spans="1:9" ht="14.1" customHeight="1" x14ac:dyDescent="0.2">
      <c r="A15" s="284" t="s">
        <v>113</v>
      </c>
      <c r="B15" s="285">
        <v>242962</v>
      </c>
      <c r="C15" s="291">
        <f>B15/'- 3 -'!$D15*100</f>
        <v>1.1995463129633817</v>
      </c>
      <c r="D15" s="285">
        <f>B15/'- 7 -'!$E15</f>
        <v>172.02067403001982</v>
      </c>
      <c r="E15" s="285">
        <v>222040</v>
      </c>
      <c r="F15" s="291">
        <f>E15/'- 3 -'!$D15*100</f>
        <v>1.0962507031156694</v>
      </c>
      <c r="G15" s="285">
        <f>E15/'- 7 -'!$E15</f>
        <v>157.20758991787028</v>
      </c>
      <c r="H15" s="285">
        <v>0</v>
      </c>
      <c r="I15" s="291">
        <f>H15/'- 3 -'!$D15*100</f>
        <v>0</v>
      </c>
    </row>
    <row r="16" spans="1:9" ht="14.1" customHeight="1" x14ac:dyDescent="0.2">
      <c r="A16" s="19" t="s">
        <v>114</v>
      </c>
      <c r="B16" s="20">
        <v>164613</v>
      </c>
      <c r="C16" s="70">
        <f>B16/'- 3 -'!$D16*100</f>
        <v>1.0947965754594458</v>
      </c>
      <c r="D16" s="20">
        <f>B16/'- 7 -'!$E16</f>
        <v>182.11417192167275</v>
      </c>
      <c r="E16" s="20">
        <v>254654</v>
      </c>
      <c r="F16" s="70">
        <f>E16/'- 3 -'!$D16*100</f>
        <v>1.6936349323993225</v>
      </c>
      <c r="G16" s="20">
        <f>E16/'- 7 -'!$E16</f>
        <v>281.72806726407788</v>
      </c>
      <c r="H16" s="20">
        <v>117401</v>
      </c>
      <c r="I16" s="70">
        <f>H16/'- 3 -'!$D16*100</f>
        <v>0.78080232275406192</v>
      </c>
    </row>
    <row r="17" spans="1:9" ht="14.1" customHeight="1" x14ac:dyDescent="0.2">
      <c r="A17" s="284" t="s">
        <v>115</v>
      </c>
      <c r="B17" s="285">
        <v>144110</v>
      </c>
      <c r="C17" s="291">
        <f>B17/'- 3 -'!$D17*100</f>
        <v>0.78347673605255375</v>
      </c>
      <c r="D17" s="285">
        <f>B17/'- 7 -'!$E17</f>
        <v>100.60235556929581</v>
      </c>
      <c r="E17" s="285">
        <v>265011</v>
      </c>
      <c r="F17" s="291">
        <f>E17/'- 3 -'!$D17*100</f>
        <v>1.4407740843662711</v>
      </c>
      <c r="G17" s="285">
        <f>E17/'- 7 -'!$E17</f>
        <v>185.0026427851964</v>
      </c>
      <c r="H17" s="285">
        <v>181966</v>
      </c>
      <c r="I17" s="291">
        <f>H17/'- 3 -'!$D17*100</f>
        <v>0.98928684860550264</v>
      </c>
    </row>
    <row r="18" spans="1:9" ht="14.1" customHeight="1" x14ac:dyDescent="0.2">
      <c r="A18" s="19" t="s">
        <v>116</v>
      </c>
      <c r="B18" s="20">
        <v>0</v>
      </c>
      <c r="C18" s="70">
        <f>B18/'- 3 -'!$D18*100</f>
        <v>0</v>
      </c>
      <c r="D18" s="20">
        <f>B18/'- 7 -'!$E18</f>
        <v>0</v>
      </c>
      <c r="E18" s="20">
        <v>1748523</v>
      </c>
      <c r="F18" s="70">
        <f>E18/'- 3 -'!$D18*100</f>
        <v>1.2999229260298051</v>
      </c>
      <c r="G18" s="20">
        <f>E18/'- 7 -'!$E18</f>
        <v>291.56628314157081</v>
      </c>
      <c r="H18" s="20">
        <v>0</v>
      </c>
      <c r="I18" s="70">
        <f>H18/'- 3 -'!$D18*100</f>
        <v>0</v>
      </c>
    </row>
    <row r="19" spans="1:9" ht="14.1" customHeight="1" x14ac:dyDescent="0.2">
      <c r="A19" s="284" t="s">
        <v>117</v>
      </c>
      <c r="B19" s="285">
        <v>167312</v>
      </c>
      <c r="C19" s="291">
        <f>B19/'- 3 -'!$D19*100</f>
        <v>0.33396777336340727</v>
      </c>
      <c r="D19" s="285">
        <f>B19/'- 7 -'!$E19</f>
        <v>37.900554989240007</v>
      </c>
      <c r="E19" s="285">
        <v>1064656</v>
      </c>
      <c r="F19" s="291">
        <f>E19/'- 3 -'!$D19*100</f>
        <v>2.1251362348067788</v>
      </c>
      <c r="G19" s="285">
        <f>E19/'- 7 -'!$E19</f>
        <v>241.17249971684222</v>
      </c>
      <c r="H19" s="285">
        <v>1287268</v>
      </c>
      <c r="I19" s="291">
        <f>H19/'- 3 -'!$D19*100</f>
        <v>2.569487111994158</v>
      </c>
    </row>
    <row r="20" spans="1:9" ht="14.1" customHeight="1" x14ac:dyDescent="0.2">
      <c r="A20" s="19" t="s">
        <v>118</v>
      </c>
      <c r="B20" s="20">
        <v>519349</v>
      </c>
      <c r="C20" s="70">
        <f>B20/'- 3 -'!$D20*100</f>
        <v>0.59409399084925341</v>
      </c>
      <c r="D20" s="20">
        <f>B20/'- 7 -'!$E20</f>
        <v>65.894690097062735</v>
      </c>
      <c r="E20" s="20">
        <v>1889662</v>
      </c>
      <c r="F20" s="70">
        <f>E20/'- 3 -'!$D20*100</f>
        <v>2.1616231839017344</v>
      </c>
      <c r="G20" s="20">
        <f>E20/'- 7 -'!$E20</f>
        <v>239.75918289665674</v>
      </c>
      <c r="H20" s="20">
        <v>726384</v>
      </c>
      <c r="I20" s="70">
        <f>H20/'- 3 -'!$D20*100</f>
        <v>0.83092558077332201</v>
      </c>
    </row>
    <row r="21" spans="1:9" ht="14.1" customHeight="1" x14ac:dyDescent="0.2">
      <c r="A21" s="284" t="s">
        <v>119</v>
      </c>
      <c r="B21" s="285">
        <v>164959</v>
      </c>
      <c r="C21" s="291">
        <f>B21/'- 3 -'!$D21*100</f>
        <v>0.44284492650356505</v>
      </c>
      <c r="D21" s="285">
        <f>B21/'- 7 -'!$E21</f>
        <v>58.047364346540924</v>
      </c>
      <c r="E21" s="285">
        <v>672437</v>
      </c>
      <c r="F21" s="291">
        <f>E21/'- 3 -'!$D21*100</f>
        <v>1.8052080446855145</v>
      </c>
      <c r="G21" s="285">
        <f>E21/'- 7 -'!$E21</f>
        <v>236.62361883313392</v>
      </c>
      <c r="H21" s="285">
        <v>220860</v>
      </c>
      <c r="I21" s="291">
        <f>H21/'- 3 -'!$D21*100</f>
        <v>0.59291539393168846</v>
      </c>
    </row>
    <row r="22" spans="1:9" ht="14.1" customHeight="1" x14ac:dyDescent="0.2">
      <c r="A22" s="19" t="s">
        <v>120</v>
      </c>
      <c r="B22" s="20">
        <v>31879</v>
      </c>
      <c r="C22" s="70">
        <f>B22/'- 3 -'!$D22*100</f>
        <v>0.15200314047957733</v>
      </c>
      <c r="D22" s="20">
        <f>B22/'- 7 -'!$E22</f>
        <v>21.707067955876347</v>
      </c>
      <c r="E22" s="20">
        <v>290797</v>
      </c>
      <c r="F22" s="70">
        <f>E22/'- 3 -'!$D22*100</f>
        <v>1.3865572082574626</v>
      </c>
      <c r="G22" s="20">
        <f>E22/'- 7 -'!$E22</f>
        <v>198.00966907258615</v>
      </c>
      <c r="H22" s="20">
        <v>948766</v>
      </c>
      <c r="I22" s="70">
        <f>H22/'- 3 -'!$D22*100</f>
        <v>4.5238373719453762</v>
      </c>
    </row>
    <row r="23" spans="1:9" ht="14.1" customHeight="1" x14ac:dyDescent="0.2">
      <c r="A23" s="284" t="s">
        <v>121</v>
      </c>
      <c r="B23" s="285">
        <v>148269</v>
      </c>
      <c r="C23" s="291">
        <f>B23/'- 3 -'!$D23*100</f>
        <v>0.92862526896149156</v>
      </c>
      <c r="D23" s="285">
        <f>B23/'- 7 -'!$E23</f>
        <v>154.20592823712948</v>
      </c>
      <c r="E23" s="285">
        <v>385153</v>
      </c>
      <c r="F23" s="291">
        <f>E23/'- 3 -'!$D23*100</f>
        <v>2.4122561574997157</v>
      </c>
      <c r="G23" s="285">
        <f>E23/'- 7 -'!$E23</f>
        <v>400.57514300572024</v>
      </c>
      <c r="H23" s="285">
        <v>0</v>
      </c>
      <c r="I23" s="291">
        <f>H23/'- 3 -'!$D23*100</f>
        <v>0</v>
      </c>
    </row>
    <row r="24" spans="1:9" ht="14.1" customHeight="1" x14ac:dyDescent="0.2">
      <c r="A24" s="19" t="s">
        <v>122</v>
      </c>
      <c r="B24" s="20">
        <v>285933</v>
      </c>
      <c r="C24" s="70">
        <f>B24/'- 3 -'!$D24*100</f>
        <v>0.49378218819768477</v>
      </c>
      <c r="D24" s="20">
        <f>B24/'- 7 -'!$E24</f>
        <v>74.663933570085646</v>
      </c>
      <c r="E24" s="20">
        <v>1753997</v>
      </c>
      <c r="F24" s="70">
        <f>E24/'- 3 -'!$D24*100</f>
        <v>3.0290049653316489</v>
      </c>
      <c r="G24" s="20">
        <f>E24/'- 7 -'!$E24</f>
        <v>458.01049717986211</v>
      </c>
      <c r="H24" s="20">
        <v>399846</v>
      </c>
      <c r="I24" s="70">
        <f>H24/'- 3 -'!$D24*100</f>
        <v>0.69050033686944656</v>
      </c>
    </row>
    <row r="25" spans="1:9" ht="14.1" customHeight="1" x14ac:dyDescent="0.2">
      <c r="A25" s="284" t="s">
        <v>123</v>
      </c>
      <c r="B25" s="285">
        <v>1549268</v>
      </c>
      <c r="C25" s="291">
        <f>B25/'- 3 -'!$D25*100</f>
        <v>0.79739295037162172</v>
      </c>
      <c r="D25" s="285">
        <f>B25/'- 7 -'!$E25</f>
        <v>104.10557933569417</v>
      </c>
      <c r="E25" s="285">
        <v>4114839</v>
      </c>
      <c r="F25" s="291">
        <f>E25/'- 3 -'!$D25*100</f>
        <v>2.1178670252753</v>
      </c>
      <c r="G25" s="285">
        <f>E25/'- 7 -'!$E25</f>
        <v>276.50328927474681</v>
      </c>
      <c r="H25" s="285">
        <v>8856874</v>
      </c>
      <c r="I25" s="291">
        <f>H25/'- 3 -'!$D25*100</f>
        <v>4.5585456421546864</v>
      </c>
    </row>
    <row r="26" spans="1:9" ht="14.1" customHeight="1" x14ac:dyDescent="0.2">
      <c r="A26" s="19" t="s">
        <v>124</v>
      </c>
      <c r="B26" s="20">
        <v>185637</v>
      </c>
      <c r="C26" s="70">
        <f>B26/'- 3 -'!$D26*100</f>
        <v>0.45351977489576495</v>
      </c>
      <c r="D26" s="20">
        <f>B26/'- 7 -'!$E26</f>
        <v>61.858380539820061</v>
      </c>
      <c r="E26" s="20">
        <v>722418</v>
      </c>
      <c r="F26" s="70">
        <f>E26/'- 3 -'!$D26*100</f>
        <v>1.7649005787674266</v>
      </c>
      <c r="G26" s="20">
        <f>E26/'- 7 -'!$E26</f>
        <v>240.72575808063979</v>
      </c>
      <c r="H26" s="20">
        <v>98618</v>
      </c>
      <c r="I26" s="70">
        <f>H26/'- 3 -'!$D26*100</f>
        <v>0.24092833411803977</v>
      </c>
    </row>
    <row r="27" spans="1:9" ht="14.1" customHeight="1" x14ac:dyDescent="0.2">
      <c r="A27" s="284" t="s">
        <v>125</v>
      </c>
      <c r="B27" s="285">
        <v>208578</v>
      </c>
      <c r="C27" s="291">
        <f>B27/'- 3 -'!$D27*100</f>
        <v>0.50588150491319506</v>
      </c>
      <c r="D27" s="285">
        <f>B27/'- 7 -'!$E27</f>
        <v>70.196139141672504</v>
      </c>
      <c r="E27" s="285">
        <v>458436</v>
      </c>
      <c r="F27" s="291">
        <f>E27/'- 3 -'!$D27*100</f>
        <v>1.1118828140378445</v>
      </c>
      <c r="G27" s="285">
        <f>E27/'- 7 -'!$E27</f>
        <v>154.28490657476709</v>
      </c>
      <c r="H27" s="285">
        <v>2390499</v>
      </c>
      <c r="I27" s="291">
        <f>H27/'- 3 -'!$D27*100</f>
        <v>5.7978752870076793</v>
      </c>
    </row>
    <row r="28" spans="1:9" ht="14.1" customHeight="1" x14ac:dyDescent="0.2">
      <c r="A28" s="19" t="s">
        <v>126</v>
      </c>
      <c r="B28" s="20">
        <v>139040</v>
      </c>
      <c r="C28" s="70">
        <f>B28/'- 3 -'!$D28*100</f>
        <v>0.47836343007910304</v>
      </c>
      <c r="D28" s="20">
        <f>B28/'- 7 -'!$E28</f>
        <v>70.578680203045678</v>
      </c>
      <c r="E28" s="20">
        <v>357754</v>
      </c>
      <c r="F28" s="70">
        <f>E28/'- 3 -'!$D28*100</f>
        <v>1.2308431427252549</v>
      </c>
      <c r="G28" s="20">
        <f>E28/'- 7 -'!$E28</f>
        <v>181.60101522842641</v>
      </c>
      <c r="H28" s="20">
        <v>0</v>
      </c>
      <c r="I28" s="70">
        <f>H28/'- 3 -'!$D28*100</f>
        <v>0</v>
      </c>
    </row>
    <row r="29" spans="1:9" ht="14.1" customHeight="1" x14ac:dyDescent="0.2">
      <c r="A29" s="284" t="s">
        <v>127</v>
      </c>
      <c r="B29" s="285">
        <v>614103</v>
      </c>
      <c r="C29" s="291">
        <f>B29/'- 3 -'!$D29*100</f>
        <v>0.3683866660659092</v>
      </c>
      <c r="D29" s="285">
        <f>B29/'- 7 -'!$E29</f>
        <v>44.26765182915841</v>
      </c>
      <c r="E29" s="285">
        <v>2912131</v>
      </c>
      <c r="F29" s="291">
        <f>E29/'- 3 -'!$D29*100</f>
        <v>1.746922308207552</v>
      </c>
      <c r="G29" s="285">
        <f>E29/'- 7 -'!$E29</f>
        <v>209.92113894395388</v>
      </c>
      <c r="H29" s="285">
        <v>708156</v>
      </c>
      <c r="I29" s="291">
        <f>H29/'- 3 -'!$D29*100</f>
        <v>0.42480695892150017</v>
      </c>
    </row>
    <row r="30" spans="1:9" ht="14.1" customHeight="1" x14ac:dyDescent="0.2">
      <c r="A30" s="19" t="s">
        <v>128</v>
      </c>
      <c r="B30" s="20">
        <v>154830</v>
      </c>
      <c r="C30" s="70">
        <f>B30/'- 3 -'!$D30*100</f>
        <v>1.0044802296518309</v>
      </c>
      <c r="D30" s="20">
        <f>B30/'- 7 -'!$E30</f>
        <v>151.27503663898389</v>
      </c>
      <c r="E30" s="20">
        <v>189043</v>
      </c>
      <c r="F30" s="70">
        <f>E30/'- 3 -'!$D30*100</f>
        <v>1.2264416201903445</v>
      </c>
      <c r="G30" s="20">
        <f>E30/'- 7 -'!$E30</f>
        <v>184.70249145090375</v>
      </c>
      <c r="H30" s="20">
        <v>0</v>
      </c>
      <c r="I30" s="70">
        <f>H30/'- 3 -'!$D30*100</f>
        <v>0</v>
      </c>
    </row>
    <row r="31" spans="1:9" ht="14.1" customHeight="1" x14ac:dyDescent="0.2">
      <c r="A31" s="284" t="s">
        <v>129</v>
      </c>
      <c r="B31" s="285">
        <v>178165</v>
      </c>
      <c r="C31" s="291">
        <f>B31/'- 3 -'!$D31*100</f>
        <v>0.45981325333729467</v>
      </c>
      <c r="D31" s="285">
        <f>B31/'- 7 -'!$E31</f>
        <v>53.302916978309646</v>
      </c>
      <c r="E31" s="285">
        <v>582258</v>
      </c>
      <c r="F31" s="291">
        <f>E31/'- 3 -'!$D31*100</f>
        <v>1.5027078565468333</v>
      </c>
      <c r="G31" s="285">
        <f>E31/'- 7 -'!$E31</f>
        <v>174.19835452505609</v>
      </c>
      <c r="H31" s="285">
        <v>1751862</v>
      </c>
      <c r="I31" s="291">
        <f>H31/'- 3 -'!$D31*100</f>
        <v>4.5212548234388343</v>
      </c>
    </row>
    <row r="32" spans="1:9" ht="14.1" customHeight="1" x14ac:dyDescent="0.2">
      <c r="A32" s="19" t="s">
        <v>130</v>
      </c>
      <c r="B32" s="20">
        <v>132673</v>
      </c>
      <c r="C32" s="70">
        <f>B32/'- 3 -'!$D32*100</f>
        <v>0.44107316622334281</v>
      </c>
      <c r="D32" s="20">
        <f>B32/'- 7 -'!$E32</f>
        <v>59.588142825061759</v>
      </c>
      <c r="E32" s="20">
        <v>400132</v>
      </c>
      <c r="F32" s="70">
        <f>E32/'- 3 -'!$D32*100</f>
        <v>1.3302441954827178</v>
      </c>
      <c r="G32" s="20">
        <f>E32/'- 7 -'!$E32</f>
        <v>179.71345160565912</v>
      </c>
      <c r="H32" s="20">
        <v>0</v>
      </c>
      <c r="I32" s="70">
        <f>H32/'- 3 -'!$D32*100</f>
        <v>0</v>
      </c>
    </row>
    <row r="33" spans="1:9" ht="14.1" customHeight="1" x14ac:dyDescent="0.2">
      <c r="A33" s="284" t="s">
        <v>131</v>
      </c>
      <c r="B33" s="285">
        <v>206337</v>
      </c>
      <c r="C33" s="291">
        <f>B33/'- 3 -'!$D33*100</f>
        <v>0.73628241911935643</v>
      </c>
      <c r="D33" s="285">
        <f>B33/'- 7 -'!$E33</f>
        <v>100.7406503271165</v>
      </c>
      <c r="E33" s="285">
        <v>298702</v>
      </c>
      <c r="F33" s="291">
        <f>E33/'- 3 -'!$D33*100</f>
        <v>1.0658729707022494</v>
      </c>
      <c r="G33" s="285">
        <f>E33/'- 7 -'!$E33</f>
        <v>145.83634410702081</v>
      </c>
      <c r="H33" s="285">
        <v>0</v>
      </c>
      <c r="I33" s="291">
        <f>H33/'- 3 -'!$D33*100</f>
        <v>0</v>
      </c>
    </row>
    <row r="34" spans="1:9" ht="14.1" customHeight="1" x14ac:dyDescent="0.2">
      <c r="A34" s="19" t="s">
        <v>132</v>
      </c>
      <c r="B34" s="20">
        <v>233225</v>
      </c>
      <c r="C34" s="70">
        <f>B34/'- 3 -'!$D34*100</f>
        <v>0.75815310814655468</v>
      </c>
      <c r="D34" s="20">
        <f>B34/'- 7 -'!$E34</f>
        <v>106.8868642242367</v>
      </c>
      <c r="E34" s="20">
        <v>492229</v>
      </c>
      <c r="F34" s="70">
        <f>E34/'- 3 -'!$D34*100</f>
        <v>1.6001069622462019</v>
      </c>
      <c r="G34" s="20">
        <f>E34/'- 7 -'!$E34</f>
        <v>225.58822720648217</v>
      </c>
      <c r="H34" s="20">
        <v>940134</v>
      </c>
      <c r="I34" s="70">
        <f>H34/'- 3 -'!$D34*100</f>
        <v>3.0561282631546915</v>
      </c>
    </row>
    <row r="35" spans="1:9" ht="14.1" customHeight="1" x14ac:dyDescent="0.2">
      <c r="A35" s="284" t="s">
        <v>133</v>
      </c>
      <c r="B35" s="285">
        <v>1109574</v>
      </c>
      <c r="C35" s="291">
        <f>B35/'- 3 -'!$D35*100</f>
        <v>0.57535084169666284</v>
      </c>
      <c r="D35" s="285">
        <f>B35/'- 7 -'!$E35</f>
        <v>69.067787114845942</v>
      </c>
      <c r="E35" s="285">
        <v>3572504</v>
      </c>
      <c r="F35" s="291">
        <f>E35/'- 3 -'!$D35*100</f>
        <v>1.8524615603508148</v>
      </c>
      <c r="G35" s="285">
        <f>E35/'- 7 -'!$E35</f>
        <v>222.37808901338312</v>
      </c>
      <c r="H35" s="285">
        <v>2758789</v>
      </c>
      <c r="I35" s="291">
        <f>H35/'- 3 -'!$D35*100</f>
        <v>1.4305234019664259</v>
      </c>
    </row>
    <row r="36" spans="1:9" ht="14.1" customHeight="1" x14ac:dyDescent="0.2">
      <c r="A36" s="19" t="s">
        <v>134</v>
      </c>
      <c r="B36" s="20">
        <v>194890</v>
      </c>
      <c r="C36" s="70">
        <f>B36/'- 3 -'!$D36*100</f>
        <v>0.81142559178610307</v>
      </c>
      <c r="D36" s="20">
        <f>B36/'- 7 -'!$E36</f>
        <v>116.0750446694461</v>
      </c>
      <c r="E36" s="20">
        <v>395488</v>
      </c>
      <c r="F36" s="70">
        <f>E36/'- 3 -'!$D36*100</f>
        <v>1.6466164731094584</v>
      </c>
      <c r="G36" s="20">
        <f>E36/'- 7 -'!$E36</f>
        <v>235.5497319833234</v>
      </c>
      <c r="H36" s="20">
        <v>0</v>
      </c>
      <c r="I36" s="70">
        <f>H36/'- 3 -'!$D36*100</f>
        <v>0</v>
      </c>
    </row>
    <row r="37" spans="1:9" ht="14.1" customHeight="1" x14ac:dyDescent="0.2">
      <c r="A37" s="284" t="s">
        <v>135</v>
      </c>
      <c r="B37" s="285">
        <v>338542</v>
      </c>
      <c r="C37" s="291">
        <f>B37/'- 3 -'!$D37*100</f>
        <v>0.6310969850747209</v>
      </c>
      <c r="D37" s="285">
        <f>B37/'- 7 -'!$E37</f>
        <v>78.059026977173161</v>
      </c>
      <c r="E37" s="285">
        <v>715217</v>
      </c>
      <c r="F37" s="291">
        <f>E37/'- 3 -'!$D37*100</f>
        <v>1.3332800431680165</v>
      </c>
      <c r="G37" s="285">
        <f>E37/'- 7 -'!$E37</f>
        <v>164.91053723772194</v>
      </c>
      <c r="H37" s="285">
        <v>0</v>
      </c>
      <c r="I37" s="291">
        <f>H37/'- 3 -'!$D37*100</f>
        <v>0</v>
      </c>
    </row>
    <row r="38" spans="1:9" ht="14.1" customHeight="1" x14ac:dyDescent="0.2">
      <c r="A38" s="19" t="s">
        <v>136</v>
      </c>
      <c r="B38" s="20">
        <v>543537</v>
      </c>
      <c r="C38" s="70">
        <f>B38/'- 3 -'!$D38*100</f>
        <v>0.37686807147741735</v>
      </c>
      <c r="D38" s="20">
        <f>B38/'- 7 -'!$E38</f>
        <v>48.073817252328354</v>
      </c>
      <c r="E38" s="20">
        <v>2118020</v>
      </c>
      <c r="F38" s="70">
        <f>E38/'- 3 -'!$D38*100</f>
        <v>1.4685552460101143</v>
      </c>
      <c r="G38" s="20">
        <f>E38/'- 7 -'!$E38</f>
        <v>187.33095707702788</v>
      </c>
      <c r="H38" s="20">
        <v>492488</v>
      </c>
      <c r="I38" s="70">
        <f>H38/'- 3 -'!$D38*100</f>
        <v>0.3414726187651812</v>
      </c>
    </row>
    <row r="39" spans="1:9" ht="14.1" customHeight="1" x14ac:dyDescent="0.2">
      <c r="A39" s="284" t="s">
        <v>137</v>
      </c>
      <c r="B39" s="285">
        <v>236377</v>
      </c>
      <c r="C39" s="291">
        <f>B39/'- 3 -'!$D39*100</f>
        <v>1.058729697252226</v>
      </c>
      <c r="D39" s="285">
        <f>B39/'- 7 -'!$E39</f>
        <v>157.27012641383899</v>
      </c>
      <c r="E39" s="285">
        <v>364838</v>
      </c>
      <c r="F39" s="291">
        <f>E39/'- 3 -'!$D39*100</f>
        <v>1.6341049479691665</v>
      </c>
      <c r="G39" s="285">
        <f>E39/'- 7 -'!$E39</f>
        <v>242.73985362608116</v>
      </c>
      <c r="H39" s="285">
        <v>0</v>
      </c>
      <c r="I39" s="291">
        <f>H39/'- 3 -'!$D39*100</f>
        <v>0</v>
      </c>
    </row>
    <row r="40" spans="1:9" ht="14.1" customHeight="1" x14ac:dyDescent="0.2">
      <c r="A40" s="19" t="s">
        <v>138</v>
      </c>
      <c r="B40" s="20">
        <v>487056</v>
      </c>
      <c r="C40" s="70">
        <f>B40/'- 3 -'!$D40*100</f>
        <v>0.45673429614356337</v>
      </c>
      <c r="D40" s="20">
        <f>B40/'- 7 -'!$E40</f>
        <v>59.391641008444353</v>
      </c>
      <c r="E40" s="20">
        <v>2676747</v>
      </c>
      <c r="F40" s="70">
        <f>E40/'- 3 -'!$D40*100</f>
        <v>2.510105936482447</v>
      </c>
      <c r="G40" s="20">
        <f>E40/'- 7 -'!$E40</f>
        <v>326.40270706947535</v>
      </c>
      <c r="H40" s="20">
        <v>375306</v>
      </c>
      <c r="I40" s="70">
        <f>H40/'- 3 -'!$D40*100</f>
        <v>0.35194129986789235</v>
      </c>
    </row>
    <row r="41" spans="1:9" ht="14.1" customHeight="1" x14ac:dyDescent="0.2">
      <c r="A41" s="284" t="s">
        <v>139</v>
      </c>
      <c r="B41" s="285">
        <v>391512</v>
      </c>
      <c r="C41" s="291">
        <f>B41/'- 3 -'!$D41*100</f>
        <v>0.59748470768357653</v>
      </c>
      <c r="D41" s="285">
        <f>B41/'- 7 -'!$E41</f>
        <v>87.930825379000566</v>
      </c>
      <c r="E41" s="285">
        <v>1860494</v>
      </c>
      <c r="F41" s="291">
        <f>E41/'- 3 -'!$D41*100</f>
        <v>2.839291551056029</v>
      </c>
      <c r="G41" s="285">
        <f>E41/'- 7 -'!$E41</f>
        <v>417.85379000561483</v>
      </c>
      <c r="H41" s="285">
        <v>610718</v>
      </c>
      <c r="I41" s="291">
        <f>H41/'- 3 -'!$D41*100</f>
        <v>0.93201400137696544</v>
      </c>
    </row>
    <row r="42" spans="1:9" ht="14.1" customHeight="1" x14ac:dyDescent="0.2">
      <c r="A42" s="19" t="s">
        <v>140</v>
      </c>
      <c r="B42" s="20">
        <v>162171</v>
      </c>
      <c r="C42" s="70">
        <f>B42/'- 3 -'!$D42*100</f>
        <v>0.77768274796487136</v>
      </c>
      <c r="D42" s="20">
        <f>B42/'- 7 -'!$E42</f>
        <v>117.30271247739603</v>
      </c>
      <c r="E42" s="20">
        <v>341279</v>
      </c>
      <c r="F42" s="70">
        <f>E42/'- 3 -'!$D42*100</f>
        <v>1.6365860144088855</v>
      </c>
      <c r="G42" s="20">
        <f>E42/'- 7 -'!$E42</f>
        <v>246.85641952983724</v>
      </c>
      <c r="H42" s="20">
        <v>0</v>
      </c>
      <c r="I42" s="70">
        <f>H42/'- 3 -'!$D42*100</f>
        <v>0</v>
      </c>
    </row>
    <row r="43" spans="1:9" ht="14.1" customHeight="1" x14ac:dyDescent="0.2">
      <c r="A43" s="284" t="s">
        <v>141</v>
      </c>
      <c r="B43" s="285">
        <v>128488</v>
      </c>
      <c r="C43" s="291">
        <f>B43/'- 3 -'!$D43*100</f>
        <v>0.9329619822058457</v>
      </c>
      <c r="D43" s="285">
        <f>B43/'- 7 -'!$E43</f>
        <v>129.58951084215835</v>
      </c>
      <c r="E43" s="285">
        <v>357127</v>
      </c>
      <c r="F43" s="291">
        <f>E43/'- 3 -'!$D43*100</f>
        <v>2.5931286487393925</v>
      </c>
      <c r="G43" s="285">
        <f>E43/'- 7 -'!$E43</f>
        <v>360.18860312657591</v>
      </c>
      <c r="H43" s="285">
        <v>0</v>
      </c>
      <c r="I43" s="291">
        <f>H43/'- 3 -'!$D43*100</f>
        <v>0</v>
      </c>
    </row>
    <row r="44" spans="1:9" ht="14.1" customHeight="1" x14ac:dyDescent="0.2">
      <c r="A44" s="19" t="s">
        <v>142</v>
      </c>
      <c r="B44" s="20">
        <v>86481</v>
      </c>
      <c r="C44" s="70">
        <f>B44/'- 3 -'!$D44*100</f>
        <v>0.77588747608463071</v>
      </c>
      <c r="D44" s="20">
        <f>B44/'- 7 -'!$E44</f>
        <v>121.80422535211268</v>
      </c>
      <c r="E44" s="20">
        <v>187927</v>
      </c>
      <c r="F44" s="70">
        <f>E44/'- 3 -'!$D44*100</f>
        <v>1.6860374616176548</v>
      </c>
      <c r="G44" s="20">
        <f>E44/'- 7 -'!$E44</f>
        <v>264.68591549295775</v>
      </c>
      <c r="H44" s="20">
        <v>0</v>
      </c>
      <c r="I44" s="70">
        <f>H44/'- 3 -'!$D44*100</f>
        <v>0</v>
      </c>
    </row>
    <row r="45" spans="1:9" ht="14.1" customHeight="1" x14ac:dyDescent="0.2">
      <c r="A45" s="284" t="s">
        <v>143</v>
      </c>
      <c r="B45" s="285">
        <v>151879</v>
      </c>
      <c r="C45" s="291">
        <f>B45/'- 3 -'!$D45*100</f>
        <v>0.74034994195321857</v>
      </c>
      <c r="D45" s="285">
        <f>B45/'- 7 -'!$E45</f>
        <v>83.56478679504815</v>
      </c>
      <c r="E45" s="285">
        <v>270379</v>
      </c>
      <c r="F45" s="291">
        <f>E45/'- 3 -'!$D45*100</f>
        <v>1.3179904855534295</v>
      </c>
      <c r="G45" s="285">
        <f>E45/'- 7 -'!$E45</f>
        <v>148.76423658872076</v>
      </c>
      <c r="H45" s="285">
        <v>220947</v>
      </c>
      <c r="I45" s="291">
        <f>H45/'- 3 -'!$D45*100</f>
        <v>1.077029073306631</v>
      </c>
    </row>
    <row r="46" spans="1:9" ht="14.1" customHeight="1" x14ac:dyDescent="0.2">
      <c r="A46" s="19" t="s">
        <v>144</v>
      </c>
      <c r="B46" s="20">
        <v>705805</v>
      </c>
      <c r="C46" s="70">
        <f>B46/'- 3 -'!$D46*100</f>
        <v>0.17581455341810615</v>
      </c>
      <c r="D46" s="20">
        <f>B46/'- 7 -'!$E46</f>
        <v>23.694670583298365</v>
      </c>
      <c r="E46" s="20">
        <v>13626564</v>
      </c>
      <c r="F46" s="70">
        <f>E46/'- 3 -'!$D46*100</f>
        <v>3.3943486717765419</v>
      </c>
      <c r="G46" s="20">
        <f>E46/'- 7 -'!$E46</f>
        <v>457.45913554343264</v>
      </c>
      <c r="H46" s="20">
        <v>32653929</v>
      </c>
      <c r="I46" s="70">
        <f>H46/'- 3 -'!$D46*100</f>
        <v>8.1340256083217675</v>
      </c>
    </row>
    <row r="47" spans="1:9" ht="5.0999999999999996" customHeight="1" x14ac:dyDescent="0.2">
      <c r="A47" s="21"/>
      <c r="B47" s="22"/>
      <c r="C47"/>
      <c r="D47" s="22"/>
      <c r="E47" s="22"/>
      <c r="F47"/>
      <c r="G47" s="22"/>
      <c r="H47"/>
      <c r="I47"/>
    </row>
    <row r="48" spans="1:9" ht="14.1" customHeight="1" x14ac:dyDescent="0.2">
      <c r="A48" s="286" t="s">
        <v>145</v>
      </c>
      <c r="B48" s="287">
        <f>SUM(B11:B46)</f>
        <v>11014568</v>
      </c>
      <c r="C48" s="294">
        <f>B48/'- 3 -'!$D48*100</f>
        <v>0.45966722043124192</v>
      </c>
      <c r="D48" s="287">
        <f>B48/'- 7 -'!$E48</f>
        <v>61.59972117692687</v>
      </c>
      <c r="E48" s="287">
        <f>SUM(E11:E46)</f>
        <v>50331955</v>
      </c>
      <c r="F48" s="294">
        <f>E48/'- 3 -'!$D48*100</f>
        <v>2.1004863607651565</v>
      </c>
      <c r="G48" s="287">
        <f>E48/'- 7 -'!$E48</f>
        <v>281.48488386377295</v>
      </c>
      <c r="H48" s="287">
        <f>SUM(H11:H46)</f>
        <v>57819161</v>
      </c>
      <c r="I48" s="294">
        <f>H48/'- 3 -'!$D48*100</f>
        <v>2.4129473824607981</v>
      </c>
    </row>
    <row r="49" spans="1:9" ht="5.0999999999999996" customHeight="1" x14ac:dyDescent="0.2">
      <c r="A49" s="21" t="s">
        <v>7</v>
      </c>
      <c r="B49" s="22"/>
      <c r="C49"/>
      <c r="D49" s="22"/>
      <c r="E49" s="22"/>
      <c r="F49"/>
      <c r="H49"/>
      <c r="I49"/>
    </row>
    <row r="50" spans="1:9" ht="14.1" customHeight="1" x14ac:dyDescent="0.2">
      <c r="A50" s="19" t="s">
        <v>146</v>
      </c>
      <c r="B50" s="20">
        <v>28226</v>
      </c>
      <c r="C50" s="70">
        <f>B50/'- 3 -'!$D50*100</f>
        <v>0.83085752939247548</v>
      </c>
      <c r="D50" s="20">
        <f>B50/'- 7 -'!$E50</f>
        <v>156.37673130193906</v>
      </c>
      <c r="E50" s="20">
        <v>69882</v>
      </c>
      <c r="F50" s="70">
        <f>E50/'- 3 -'!$D50*100</f>
        <v>2.0570391082337198</v>
      </c>
      <c r="G50" s="20">
        <f>E50/'- 7 -'!$E50</f>
        <v>387.15789473684208</v>
      </c>
      <c r="H50" s="20">
        <v>0</v>
      </c>
      <c r="I50" s="70">
        <f>H50/'- 3 -'!$D50*100</f>
        <v>0</v>
      </c>
    </row>
    <row r="51" spans="1:9" ht="14.1" customHeight="1" x14ac:dyDescent="0.2">
      <c r="A51" s="284" t="s">
        <v>601</v>
      </c>
      <c r="B51" s="285">
        <v>0</v>
      </c>
      <c r="C51" s="291">
        <f>B51/'- 3 -'!$D51*100</f>
        <v>0</v>
      </c>
      <c r="D51" s="285">
        <f>B51/'- 7 -'!$E51</f>
        <v>0</v>
      </c>
      <c r="E51" s="285">
        <v>0</v>
      </c>
      <c r="F51" s="291">
        <f>E51/'- 3 -'!$D51*100</f>
        <v>0</v>
      </c>
      <c r="G51" s="285">
        <f>E51/'- 7 -'!$E51</f>
        <v>0</v>
      </c>
      <c r="H51" s="285">
        <v>0</v>
      </c>
      <c r="I51" s="291">
        <f>H51/'- 3 -'!$D51*100</f>
        <v>0</v>
      </c>
    </row>
    <row r="52" spans="1:9" ht="50.1" customHeight="1" x14ac:dyDescent="0.2">
      <c r="A52" s="23"/>
      <c r="B52" s="23"/>
      <c r="C52" s="23"/>
      <c r="D52" s="23"/>
      <c r="E52" s="23"/>
      <c r="F52" s="23"/>
      <c r="G52" s="23"/>
      <c r="H52" s="23"/>
      <c r="I52" s="23"/>
    </row>
    <row r="53" spans="1:9" ht="15" customHeight="1" x14ac:dyDescent="0.2">
      <c r="A53" s="672" t="s">
        <v>605</v>
      </c>
      <c r="B53" s="672"/>
      <c r="C53" s="672"/>
      <c r="D53" s="672"/>
      <c r="E53" s="672"/>
      <c r="F53" s="672"/>
      <c r="G53" s="672"/>
      <c r="H53" s="672"/>
      <c r="I53" s="672"/>
    </row>
    <row r="54" spans="1:9" x14ac:dyDescent="0.2">
      <c r="A54" s="673"/>
      <c r="B54" s="673"/>
      <c r="C54" s="673"/>
      <c r="D54" s="673"/>
      <c r="E54" s="673"/>
      <c r="F54" s="673"/>
      <c r="G54" s="673"/>
      <c r="H54" s="673"/>
      <c r="I54" s="673"/>
    </row>
    <row r="55" spans="1:9" x14ac:dyDescent="0.2">
      <c r="A55" s="673"/>
      <c r="B55" s="673"/>
      <c r="C55" s="673"/>
      <c r="D55" s="673"/>
      <c r="E55" s="673"/>
      <c r="F55" s="673"/>
      <c r="G55" s="673"/>
      <c r="H55" s="673"/>
      <c r="I55" s="673"/>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54"/>
  <sheetViews>
    <sheetView showGridLines="0" showZeros="0" workbookViewId="0"/>
  </sheetViews>
  <sheetFormatPr defaultColWidth="15.83203125" defaultRowHeight="12" x14ac:dyDescent="0.2"/>
  <cols>
    <col min="1" max="1" width="32.83203125" style="2" customWidth="1"/>
    <col min="2" max="2" width="15.5" style="2" customWidth="1"/>
    <col min="3" max="4" width="8" style="2" customWidth="1"/>
    <col min="5" max="5" width="17.33203125" style="2" customWidth="1"/>
    <col min="6" max="6" width="7.83203125" style="2" customWidth="1"/>
    <col min="7" max="7" width="10" style="2" customWidth="1"/>
    <col min="8" max="8" width="17.1640625" style="2" customWidth="1"/>
    <col min="9" max="9" width="8.5" style="2" customWidth="1"/>
    <col min="10" max="10" width="10" style="2" customWidth="1"/>
    <col min="11" max="16384" width="15.83203125" style="2"/>
  </cols>
  <sheetData>
    <row r="1" spans="1:10" ht="6.95" customHeight="1" x14ac:dyDescent="0.2">
      <c r="A1" s="7"/>
      <c r="B1" s="7"/>
      <c r="C1" s="8"/>
      <c r="D1" s="8"/>
      <c r="E1" s="8"/>
      <c r="F1" s="8"/>
      <c r="G1" s="8"/>
      <c r="H1" s="8"/>
      <c r="I1" s="8"/>
      <c r="J1" s="8"/>
    </row>
    <row r="2" spans="1:10" ht="15.95" customHeight="1" x14ac:dyDescent="0.2">
      <c r="A2" s="134"/>
      <c r="B2" s="134"/>
      <c r="C2" s="9" t="s">
        <v>263</v>
      </c>
      <c r="D2" s="9"/>
      <c r="E2" s="10"/>
      <c r="F2" s="10"/>
      <c r="G2" s="10"/>
      <c r="H2" s="73"/>
      <c r="I2" s="73"/>
      <c r="J2" s="395" t="s">
        <v>402</v>
      </c>
    </row>
    <row r="3" spans="1:10" ht="15.95" customHeight="1" x14ac:dyDescent="0.2">
      <c r="A3" s="541"/>
      <c r="B3" s="136"/>
      <c r="C3" s="11" t="str">
        <f>OPYEAR</f>
        <v>OPERATING FUND 2018/2019 ACTUAL</v>
      </c>
      <c r="D3" s="11"/>
      <c r="E3" s="12"/>
      <c r="F3" s="12"/>
      <c r="G3" s="12"/>
      <c r="H3" s="75"/>
      <c r="I3" s="75"/>
      <c r="J3" s="66"/>
    </row>
    <row r="4" spans="1:10" ht="15.95" customHeight="1" x14ac:dyDescent="0.2">
      <c r="C4" s="8"/>
      <c r="D4" s="8"/>
      <c r="E4" s="8"/>
      <c r="F4" s="8"/>
      <c r="G4" s="8"/>
      <c r="H4" s="8"/>
      <c r="I4" s="8"/>
      <c r="J4" s="8"/>
    </row>
    <row r="5" spans="1:10" ht="15.95" customHeight="1" x14ac:dyDescent="0.2">
      <c r="B5" s="488" t="s">
        <v>248</v>
      </c>
      <c r="C5" s="272"/>
      <c r="D5" s="272"/>
      <c r="E5" s="435"/>
      <c r="F5" s="435"/>
      <c r="G5" s="435"/>
      <c r="H5" s="435"/>
      <c r="I5" s="435"/>
      <c r="J5" s="436"/>
    </row>
    <row r="6" spans="1:10" ht="15.95" customHeight="1" x14ac:dyDescent="0.2">
      <c r="B6" s="676" t="s">
        <v>480</v>
      </c>
      <c r="C6" s="680"/>
      <c r="D6" s="677"/>
      <c r="E6" s="676" t="s">
        <v>481</v>
      </c>
      <c r="F6" s="680"/>
      <c r="G6" s="682"/>
      <c r="H6" s="684" t="s">
        <v>482</v>
      </c>
      <c r="I6" s="685"/>
      <c r="J6" s="686"/>
    </row>
    <row r="7" spans="1:10" ht="15.95" customHeight="1" x14ac:dyDescent="0.2">
      <c r="B7" s="678"/>
      <c r="C7" s="681"/>
      <c r="D7" s="679"/>
      <c r="E7" s="683"/>
      <c r="F7" s="658"/>
      <c r="G7" s="652"/>
      <c r="H7" s="687"/>
      <c r="I7" s="688"/>
      <c r="J7" s="689"/>
    </row>
    <row r="8" spans="1:10" ht="15.95" customHeight="1" x14ac:dyDescent="0.2">
      <c r="A8" s="67"/>
      <c r="B8" s="137"/>
      <c r="C8" s="139"/>
      <c r="D8" s="608" t="s">
        <v>473</v>
      </c>
      <c r="E8" s="137"/>
      <c r="F8" s="139"/>
      <c r="G8" s="602" t="s">
        <v>473</v>
      </c>
      <c r="H8" s="137"/>
      <c r="I8" s="139"/>
      <c r="J8" s="602" t="s">
        <v>473</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764665</v>
      </c>
      <c r="C11" s="291">
        <f>B11/'- 3 -'!$D11*100</f>
        <v>3.8060949982476826</v>
      </c>
      <c r="D11" s="285">
        <f>B11/'- 7 -'!$E11</f>
        <v>421.76778819635962</v>
      </c>
      <c r="E11" s="285">
        <v>988034</v>
      </c>
      <c r="F11" s="291">
        <f>E11/'- 3 -'!$D11*100</f>
        <v>4.9179068814430513</v>
      </c>
      <c r="G11" s="285">
        <f>E11/'- 7 -'!$E11</f>
        <v>544.97186982901269</v>
      </c>
      <c r="H11" s="285">
        <v>349696</v>
      </c>
      <c r="I11" s="291">
        <f>H11/'- 3 -'!$D11*100</f>
        <v>1.7406003890687054</v>
      </c>
      <c r="J11" s="285">
        <f>H11/'- 7 -'!$E11</f>
        <v>192.88251516822945</v>
      </c>
    </row>
    <row r="12" spans="1:10" ht="14.1" customHeight="1" x14ac:dyDescent="0.2">
      <c r="A12" s="19" t="s">
        <v>111</v>
      </c>
      <c r="B12" s="20">
        <v>2474681</v>
      </c>
      <c r="C12" s="70">
        <f>B12/'- 3 -'!$D12*100</f>
        <v>7.3021406262568309</v>
      </c>
      <c r="D12" s="20">
        <f>B12/'- 7 -'!$E12</f>
        <v>1163.6412795591229</v>
      </c>
      <c r="E12" s="20">
        <v>1331675</v>
      </c>
      <c r="F12" s="70">
        <f>E12/'- 3 -'!$D12*100</f>
        <v>3.9294269113758764</v>
      </c>
      <c r="G12" s="20">
        <f>E12/'- 7 -'!$E12</f>
        <v>626.17848561365884</v>
      </c>
      <c r="H12" s="20">
        <v>486452</v>
      </c>
      <c r="I12" s="70">
        <f>H12/'- 3 -'!$D12*100</f>
        <v>1.4353934555297785</v>
      </c>
      <c r="J12" s="20">
        <f>H12/'- 7 -'!$E12</f>
        <v>228.73882642817173</v>
      </c>
    </row>
    <row r="13" spans="1:10" ht="14.1" customHeight="1" x14ac:dyDescent="0.2">
      <c r="A13" s="284" t="s">
        <v>112</v>
      </c>
      <c r="B13" s="285">
        <v>9601021</v>
      </c>
      <c r="C13" s="291">
        <f>B13/'- 3 -'!$D13*100</f>
        <v>9.5145317183380129</v>
      </c>
      <c r="D13" s="285">
        <f>B13/'- 7 -'!$E13</f>
        <v>1120.9598365440747</v>
      </c>
      <c r="E13" s="285">
        <v>4615506</v>
      </c>
      <c r="F13" s="291">
        <f>E13/'- 3 -'!$D13*100</f>
        <v>4.573927942994751</v>
      </c>
      <c r="G13" s="285">
        <f>E13/'- 7 -'!$E13</f>
        <v>538.8798598949212</v>
      </c>
      <c r="H13" s="285">
        <v>2529597</v>
      </c>
      <c r="I13" s="291">
        <f>H13/'- 3 -'!$D13*100</f>
        <v>2.5068095248528963</v>
      </c>
      <c r="J13" s="285">
        <f>H13/'- 7 -'!$E13</f>
        <v>295.34115586690018</v>
      </c>
    </row>
    <row r="14" spans="1:10" ht="14.1" customHeight="1" x14ac:dyDescent="0.2">
      <c r="A14" s="19" t="s">
        <v>359</v>
      </c>
      <c r="B14" s="20">
        <v>3985884</v>
      </c>
      <c r="C14" s="70">
        <f>B14/'- 3 -'!$D14*100</f>
        <v>4.3658769643198125</v>
      </c>
      <c r="D14" s="20">
        <f>B14/'- 7 -'!$E14</f>
        <v>736.89850249584026</v>
      </c>
      <c r="E14" s="20">
        <v>2821618</v>
      </c>
      <c r="F14" s="70">
        <f>E14/'- 3 -'!$D14*100</f>
        <v>3.0906160410865295</v>
      </c>
      <c r="G14" s="20">
        <f>E14/'- 7 -'!$E14</f>
        <v>521.65243113329632</v>
      </c>
      <c r="H14" s="20">
        <v>1731640</v>
      </c>
      <c r="I14" s="70">
        <f>H14/'- 3 -'!$D14*100</f>
        <v>1.8967253403497844</v>
      </c>
      <c r="J14" s="20">
        <f>H14/'- 7 -'!$E14</f>
        <v>320.14050656313549</v>
      </c>
    </row>
    <row r="15" spans="1:10" ht="14.1" customHeight="1" x14ac:dyDescent="0.2">
      <c r="A15" s="284" t="s">
        <v>113</v>
      </c>
      <c r="B15" s="285">
        <v>1213661</v>
      </c>
      <c r="C15" s="291">
        <f>B15/'- 3 -'!$D15*100</f>
        <v>5.992058748847354</v>
      </c>
      <c r="D15" s="285">
        <f>B15/'- 7 -'!$E15</f>
        <v>859.28986122911351</v>
      </c>
      <c r="E15" s="285">
        <v>969057</v>
      </c>
      <c r="F15" s="291">
        <f>E15/'- 3 -'!$D15*100</f>
        <v>4.7844055918265234</v>
      </c>
      <c r="G15" s="285">
        <f>E15/'- 7 -'!$E15</f>
        <v>686.1066270178419</v>
      </c>
      <c r="H15" s="285">
        <v>468406</v>
      </c>
      <c r="I15" s="291">
        <f>H15/'- 3 -'!$D15*100</f>
        <v>2.3126031653918138</v>
      </c>
      <c r="J15" s="285">
        <f>H15/'- 7 -'!$E15</f>
        <v>331.63834607759838</v>
      </c>
    </row>
    <row r="16" spans="1:10" ht="14.1" customHeight="1" x14ac:dyDescent="0.2">
      <c r="A16" s="19" t="s">
        <v>114</v>
      </c>
      <c r="B16" s="20">
        <v>949532</v>
      </c>
      <c r="C16" s="70">
        <f>B16/'- 3 -'!$D16*100</f>
        <v>6.3150807159164728</v>
      </c>
      <c r="D16" s="20">
        <f>B16/'- 7 -'!$E16</f>
        <v>1050.4834605597964</v>
      </c>
      <c r="E16" s="20">
        <v>867624</v>
      </c>
      <c r="F16" s="70">
        <f>E16/'- 3 -'!$D16*100</f>
        <v>5.7703327439900018</v>
      </c>
      <c r="G16" s="20">
        <f>E16/'- 7 -'!$E16</f>
        <v>959.86724195154329</v>
      </c>
      <c r="H16" s="20">
        <v>369162</v>
      </c>
      <c r="I16" s="70">
        <f>H16/'- 3 -'!$D16*100</f>
        <v>2.4551966940020526</v>
      </c>
      <c r="J16" s="20">
        <f>H16/'- 7 -'!$E16</f>
        <v>408.41022236973117</v>
      </c>
    </row>
    <row r="17" spans="1:10" ht="14.1" customHeight="1" x14ac:dyDescent="0.2">
      <c r="A17" s="284" t="s">
        <v>115</v>
      </c>
      <c r="B17" s="285">
        <v>627904</v>
      </c>
      <c r="C17" s="291">
        <f>B17/'- 3 -'!$D17*100</f>
        <v>3.4136990942637064</v>
      </c>
      <c r="D17" s="285">
        <f>B17/'- 7 -'!$E17</f>
        <v>438.3361423314351</v>
      </c>
      <c r="E17" s="285">
        <v>953683</v>
      </c>
      <c r="F17" s="291">
        <f>E17/'- 3 -'!$D17*100</f>
        <v>5.1848479915953618</v>
      </c>
      <c r="G17" s="285">
        <f>E17/'- 7 -'!$E17</f>
        <v>665.76057363397911</v>
      </c>
      <c r="H17" s="285">
        <v>160068</v>
      </c>
      <c r="I17" s="291">
        <f>H17/'- 3 -'!$D17*100</f>
        <v>0.87023491906502104</v>
      </c>
      <c r="J17" s="285">
        <f>H17/'- 7 -'!$E17</f>
        <v>111.74254285799765</v>
      </c>
    </row>
    <row r="18" spans="1:10" ht="14.1" customHeight="1" x14ac:dyDescent="0.2">
      <c r="A18" s="19" t="s">
        <v>116</v>
      </c>
      <c r="B18" s="20">
        <v>10738957</v>
      </c>
      <c r="C18" s="70">
        <f>B18/'- 3 -'!$D18*100</f>
        <v>7.9837762534140282</v>
      </c>
      <c r="D18" s="20">
        <f>B18/'- 7 -'!$E18</f>
        <v>1790.7215274303819</v>
      </c>
      <c r="E18" s="20">
        <v>3816384</v>
      </c>
      <c r="F18" s="70">
        <f>E18/'- 3 -'!$D18*100</f>
        <v>2.8372546750219074</v>
      </c>
      <c r="G18" s="20">
        <f>E18/'- 7 -'!$E18</f>
        <v>636.3821910955478</v>
      </c>
      <c r="H18" s="20">
        <v>5008993</v>
      </c>
      <c r="I18" s="70">
        <f>H18/'- 3 -'!$D18*100</f>
        <v>3.7238885831200457</v>
      </c>
      <c r="J18" s="20">
        <f>H18/'- 7 -'!$E18</f>
        <v>835.24979156244785</v>
      </c>
    </row>
    <row r="19" spans="1:10" ht="14.1" customHeight="1" x14ac:dyDescent="0.2">
      <c r="A19" s="284" t="s">
        <v>117</v>
      </c>
      <c r="B19" s="285">
        <v>2958399</v>
      </c>
      <c r="C19" s="291">
        <f>B19/'- 3 -'!$D19*100</f>
        <v>5.9051946468306564</v>
      </c>
      <c r="D19" s="285">
        <f>B19/'- 7 -'!$E19</f>
        <v>670.15494393476047</v>
      </c>
      <c r="E19" s="285">
        <v>2727971</v>
      </c>
      <c r="F19" s="291">
        <f>E19/'- 3 -'!$D19*100</f>
        <v>5.4452424253487353</v>
      </c>
      <c r="G19" s="285">
        <f>E19/'- 7 -'!$E19</f>
        <v>617.95696001812212</v>
      </c>
      <c r="H19" s="285">
        <v>1071661</v>
      </c>
      <c r="I19" s="291">
        <f>H19/'- 3 -'!$D19*100</f>
        <v>2.1391187599837576</v>
      </c>
      <c r="J19" s="285">
        <f>H19/'- 7 -'!$E19</f>
        <v>242.75931589081435</v>
      </c>
    </row>
    <row r="20" spans="1:10" ht="14.1" customHeight="1" x14ac:dyDescent="0.2">
      <c r="A20" s="19" t="s">
        <v>118</v>
      </c>
      <c r="B20" s="20">
        <v>4172648</v>
      </c>
      <c r="C20" s="70">
        <f>B20/'- 3 -'!$D20*100</f>
        <v>4.7731777720360595</v>
      </c>
      <c r="D20" s="20">
        <f>B20/'- 7 -'!$E20</f>
        <v>529.42307936306543</v>
      </c>
      <c r="E20" s="20">
        <v>3464962</v>
      </c>
      <c r="F20" s="70">
        <f>E20/'- 3 -'!$D20*100</f>
        <v>3.9636412176032123</v>
      </c>
      <c r="G20" s="20">
        <f>E20/'- 7 -'!$E20</f>
        <v>439.63230349552748</v>
      </c>
      <c r="H20" s="20">
        <v>1766735</v>
      </c>
      <c r="I20" s="70">
        <f>H20/'- 3 -'!$D20*100</f>
        <v>2.0210044631318356</v>
      </c>
      <c r="J20" s="20">
        <f>H20/'- 7 -'!$E20</f>
        <v>224.16227875404428</v>
      </c>
    </row>
    <row r="21" spans="1:10" ht="14.1" customHeight="1" x14ac:dyDescent="0.2">
      <c r="A21" s="284" t="s">
        <v>119</v>
      </c>
      <c r="B21" s="285">
        <v>2110455</v>
      </c>
      <c r="C21" s="291">
        <f>B21/'- 3 -'!$D21*100</f>
        <v>5.6656762550941844</v>
      </c>
      <c r="D21" s="285">
        <f>B21/'- 7 -'!$E21</f>
        <v>742.64726581743957</v>
      </c>
      <c r="E21" s="285">
        <v>2263316</v>
      </c>
      <c r="F21" s="291">
        <f>E21/'- 3 -'!$D21*100</f>
        <v>6.0760431845145941</v>
      </c>
      <c r="G21" s="285">
        <f>E21/'- 7 -'!$E21</f>
        <v>796.43746920965577</v>
      </c>
      <c r="H21" s="285">
        <v>1117200</v>
      </c>
      <c r="I21" s="291">
        <f>H21/'- 3 -'!$D21*100</f>
        <v>2.9992079964705343</v>
      </c>
      <c r="J21" s="285">
        <f>H21/'- 7 -'!$E21</f>
        <v>393.13111408262364</v>
      </c>
    </row>
    <row r="22" spans="1:10" ht="14.1" customHeight="1" x14ac:dyDescent="0.2">
      <c r="A22" s="19" t="s">
        <v>120</v>
      </c>
      <c r="B22" s="20">
        <v>882879</v>
      </c>
      <c r="C22" s="70">
        <f>B22/'- 3 -'!$D22*100</f>
        <v>4.2096797472777929</v>
      </c>
      <c r="D22" s="20">
        <f>B22/'- 7 -'!$E22</f>
        <v>601.17050251940623</v>
      </c>
      <c r="E22" s="20">
        <v>1697174</v>
      </c>
      <c r="F22" s="70">
        <f>E22/'- 3 -'!$D22*100</f>
        <v>8.0923422296899581</v>
      </c>
      <c r="G22" s="20">
        <f>E22/'- 7 -'!$E22</f>
        <v>1155.6407462889829</v>
      </c>
      <c r="H22" s="20">
        <v>608710</v>
      </c>
      <c r="I22" s="70">
        <f>H22/'- 3 -'!$D22*100</f>
        <v>2.9024069651282511</v>
      </c>
      <c r="J22" s="20">
        <f>H22/'- 7 -'!$E22</f>
        <v>414.483181261065</v>
      </c>
    </row>
    <row r="23" spans="1:10" ht="14.1" customHeight="1" x14ac:dyDescent="0.2">
      <c r="A23" s="284" t="s">
        <v>121</v>
      </c>
      <c r="B23" s="285">
        <v>1288796</v>
      </c>
      <c r="C23" s="291">
        <f>B23/'- 3 -'!$D23*100</f>
        <v>8.0718729615529501</v>
      </c>
      <c r="D23" s="285">
        <f>B23/'- 7 -'!$E23</f>
        <v>1340.4014560582423</v>
      </c>
      <c r="E23" s="285">
        <v>655679</v>
      </c>
      <c r="F23" s="291">
        <f>E23/'- 3 -'!$D23*100</f>
        <v>4.1065906408446935</v>
      </c>
      <c r="G23" s="285">
        <f>E23/'- 7 -'!$E23</f>
        <v>681.9334373374935</v>
      </c>
      <c r="H23" s="285">
        <v>327563</v>
      </c>
      <c r="I23" s="291">
        <f>H23/'- 3 -'!$D23*100</f>
        <v>2.0515635701113051</v>
      </c>
      <c r="J23" s="285">
        <f>H23/'- 7 -'!$E23</f>
        <v>340.67914716588666</v>
      </c>
    </row>
    <row r="24" spans="1:10" ht="14.1" customHeight="1" x14ac:dyDescent="0.2">
      <c r="A24" s="19" t="s">
        <v>122</v>
      </c>
      <c r="B24" s="20">
        <v>3124936</v>
      </c>
      <c r="C24" s="70">
        <f>B24/'- 3 -'!$D24*100</f>
        <v>5.3965010546446903</v>
      </c>
      <c r="D24" s="20">
        <f>B24/'- 7 -'!$E24</f>
        <v>815.99540421976189</v>
      </c>
      <c r="E24" s="20">
        <v>2739613</v>
      </c>
      <c r="F24" s="70">
        <f>E24/'- 3 -'!$D24*100</f>
        <v>4.7310807145548912</v>
      </c>
      <c r="G24" s="20">
        <f>E24/'- 7 -'!$E24</f>
        <v>715.37836849801545</v>
      </c>
      <c r="H24" s="20">
        <v>1476905</v>
      </c>
      <c r="I24" s="70">
        <f>H24/'- 3 -'!$D24*100</f>
        <v>2.5504904388793932</v>
      </c>
      <c r="J24" s="20">
        <f>H24/'- 7 -'!$E24</f>
        <v>385.65515980781282</v>
      </c>
    </row>
    <row r="25" spans="1:10" ht="14.1" customHeight="1" x14ac:dyDescent="0.2">
      <c r="A25" s="284" t="s">
        <v>123</v>
      </c>
      <c r="B25" s="285">
        <v>12167063</v>
      </c>
      <c r="C25" s="291">
        <f>B25/'- 3 -'!$D25*100</f>
        <v>6.2622672532624408</v>
      </c>
      <c r="D25" s="285">
        <f>B25/'- 7 -'!$E25</f>
        <v>817.58555810156099</v>
      </c>
      <c r="E25" s="285">
        <v>9074955</v>
      </c>
      <c r="F25" s="291">
        <f>E25/'- 3 -'!$D25*100</f>
        <v>4.6707897806833296</v>
      </c>
      <c r="G25" s="285">
        <f>E25/'- 7 -'!$E25</f>
        <v>609.80633932951207</v>
      </c>
      <c r="H25" s="285">
        <v>3997707</v>
      </c>
      <c r="I25" s="291">
        <f>H25/'- 3 -'!$D25*100</f>
        <v>2.0575803408133937</v>
      </c>
      <c r="J25" s="285">
        <f>H25/'- 7 -'!$E25</f>
        <v>268.6324143075052</v>
      </c>
    </row>
    <row r="26" spans="1:10" ht="14.1" customHeight="1" x14ac:dyDescent="0.2">
      <c r="A26" s="19" t="s">
        <v>124</v>
      </c>
      <c r="B26" s="20">
        <v>1900395</v>
      </c>
      <c r="C26" s="70">
        <f>B26/'- 3 -'!$D26*100</f>
        <v>4.6427528596833456</v>
      </c>
      <c r="D26" s="20">
        <f>B26/'- 7 -'!$E26</f>
        <v>633.25391536154621</v>
      </c>
      <c r="E26" s="20">
        <v>1979971</v>
      </c>
      <c r="F26" s="70">
        <f>E26/'- 3 -'!$D26*100</f>
        <v>4.8371607072951122</v>
      </c>
      <c r="G26" s="20">
        <f>E26/'- 7 -'!$E26</f>
        <v>659.77040986337886</v>
      </c>
      <c r="H26" s="20">
        <v>1341457</v>
      </c>
      <c r="I26" s="70">
        <f>H26/'- 3 -'!$D26*100</f>
        <v>3.2772414802671248</v>
      </c>
      <c r="J26" s="20">
        <f>H26/'- 7 -'!$E26</f>
        <v>447.00333222259246</v>
      </c>
    </row>
    <row r="27" spans="1:10" ht="14.1" customHeight="1" x14ac:dyDescent="0.2">
      <c r="A27" s="284" t="s">
        <v>125</v>
      </c>
      <c r="B27" s="285">
        <v>1985195</v>
      </c>
      <c r="C27" s="291">
        <f>B27/'- 3 -'!$D27*100</f>
        <v>4.8148579147664199</v>
      </c>
      <c r="D27" s="285">
        <f>B27/'- 7 -'!$E27</f>
        <v>668.1098890743632</v>
      </c>
      <c r="E27" s="285">
        <v>2359939</v>
      </c>
      <c r="F27" s="291">
        <f>E27/'- 3 -'!$D27*100</f>
        <v>5.7237555869906735</v>
      </c>
      <c r="G27" s="285">
        <f>E27/'- 7 -'!$E27</f>
        <v>794.22856873620162</v>
      </c>
      <c r="H27" s="285">
        <v>1028369</v>
      </c>
      <c r="I27" s="291">
        <f>H27/'- 3 -'!$D27*100</f>
        <v>2.4941885401436275</v>
      </c>
      <c r="J27" s="285">
        <f>H27/'- 7 -'!$E27</f>
        <v>346.0937079317215</v>
      </c>
    </row>
    <row r="28" spans="1:10" ht="14.1" customHeight="1" x14ac:dyDescent="0.2">
      <c r="A28" s="19" t="s">
        <v>126</v>
      </c>
      <c r="B28" s="20">
        <v>1145129</v>
      </c>
      <c r="C28" s="70">
        <f>B28/'- 3 -'!$D28*100</f>
        <v>3.9397859344293238</v>
      </c>
      <c r="D28" s="20">
        <f>B28/'- 7 -'!$E28</f>
        <v>581.28375634517772</v>
      </c>
      <c r="E28" s="20">
        <v>1336114</v>
      </c>
      <c r="F28" s="70">
        <f>E28/'- 3 -'!$D28*100</f>
        <v>4.5968647584631084</v>
      </c>
      <c r="G28" s="20">
        <f>E28/'- 7 -'!$E28</f>
        <v>678.23045685279192</v>
      </c>
      <c r="H28" s="20">
        <v>516971</v>
      </c>
      <c r="I28" s="70">
        <f>H28/'- 3 -'!$D28*100</f>
        <v>1.778625005835903</v>
      </c>
      <c r="J28" s="20">
        <f>H28/'- 7 -'!$E28</f>
        <v>262.4218274111675</v>
      </c>
    </row>
    <row r="29" spans="1:10" ht="14.1" customHeight="1" x14ac:dyDescent="0.2">
      <c r="A29" s="284" t="s">
        <v>127</v>
      </c>
      <c r="B29" s="285">
        <v>12095783</v>
      </c>
      <c r="C29" s="291">
        <f>B29/'- 3 -'!$D29*100</f>
        <v>7.2559899118335212</v>
      </c>
      <c r="D29" s="285">
        <f>B29/'- 7 -'!$E29</f>
        <v>871.925247792395</v>
      </c>
      <c r="E29" s="285">
        <v>11280757</v>
      </c>
      <c r="F29" s="291">
        <f>E29/'- 3 -'!$D29*100</f>
        <v>6.7670740281836563</v>
      </c>
      <c r="G29" s="285">
        <f>E29/'- 7 -'!$E29</f>
        <v>813.17404937826632</v>
      </c>
      <c r="H29" s="285">
        <v>3981771</v>
      </c>
      <c r="I29" s="291">
        <f>H29/'- 3 -'!$D29*100</f>
        <v>2.3885754404846113</v>
      </c>
      <c r="J29" s="285">
        <f>H29/'- 7 -'!$E29</f>
        <v>287.02620291944493</v>
      </c>
    </row>
    <row r="30" spans="1:10" ht="14.1" customHeight="1" x14ac:dyDescent="0.2">
      <c r="A30" s="19" t="s">
        <v>128</v>
      </c>
      <c r="B30" s="20">
        <v>495808</v>
      </c>
      <c r="C30" s="70">
        <f>B30/'- 3 -'!$D30*100</f>
        <v>3.2166203817297352</v>
      </c>
      <c r="D30" s="20">
        <f>B30/'- 7 -'!$E30</f>
        <v>484.4240351734245</v>
      </c>
      <c r="E30" s="20">
        <v>773914</v>
      </c>
      <c r="F30" s="70">
        <f>E30/'- 3 -'!$D30*100</f>
        <v>5.0208700668524644</v>
      </c>
      <c r="G30" s="20">
        <f>E30/'- 7 -'!$E30</f>
        <v>756.14460185637517</v>
      </c>
      <c r="H30" s="20">
        <v>326568</v>
      </c>
      <c r="I30" s="70">
        <f>H30/'- 3 -'!$D30*100</f>
        <v>2.1186533594066979</v>
      </c>
      <c r="J30" s="20">
        <f>H30/'- 7 -'!$E30</f>
        <v>319.06985832926233</v>
      </c>
    </row>
    <row r="31" spans="1:10" ht="14.1" customHeight="1" x14ac:dyDescent="0.2">
      <c r="A31" s="284" t="s">
        <v>129</v>
      </c>
      <c r="B31" s="285">
        <v>2224731</v>
      </c>
      <c r="C31" s="291">
        <f>B31/'- 3 -'!$D31*100</f>
        <v>5.7416484658060396</v>
      </c>
      <c r="D31" s="285">
        <f>B31/'- 7 -'!$E31</f>
        <v>665.58893044128649</v>
      </c>
      <c r="E31" s="285">
        <v>1255877</v>
      </c>
      <c r="F31" s="291">
        <f>E31/'- 3 -'!$D31*100</f>
        <v>3.2412027567787258</v>
      </c>
      <c r="G31" s="285">
        <f>E31/'- 7 -'!$E31</f>
        <v>375.72984293193718</v>
      </c>
      <c r="H31" s="285">
        <v>1173863</v>
      </c>
      <c r="I31" s="291">
        <f>H31/'- 3 -'!$D31*100</f>
        <v>3.029538714126101</v>
      </c>
      <c r="J31" s="285">
        <f>H31/'- 7 -'!$E31</f>
        <v>351.19311892296184</v>
      </c>
    </row>
    <row r="32" spans="1:10" ht="14.1" customHeight="1" x14ac:dyDescent="0.2">
      <c r="A32" s="19" t="s">
        <v>130</v>
      </c>
      <c r="B32" s="20">
        <v>1037412</v>
      </c>
      <c r="C32" s="70">
        <f>B32/'- 3 -'!$D32*100</f>
        <v>3.4488900945790815</v>
      </c>
      <c r="D32" s="20">
        <f>B32/'- 7 -'!$E32</f>
        <v>465.93846844823713</v>
      </c>
      <c r="E32" s="20">
        <v>1914617</v>
      </c>
      <c r="F32" s="70">
        <f>E32/'- 3 -'!$D32*100</f>
        <v>6.3651698709989057</v>
      </c>
      <c r="G32" s="20">
        <f>E32/'- 7 -'!$E32</f>
        <v>859.92229957332131</v>
      </c>
      <c r="H32" s="20">
        <v>703724</v>
      </c>
      <c r="I32" s="70">
        <f>H32/'- 3 -'!$D32*100</f>
        <v>2.3395398673984587</v>
      </c>
      <c r="J32" s="20">
        <f>H32/'- 7 -'!$E32</f>
        <v>316.06737031214914</v>
      </c>
    </row>
    <row r="33" spans="1:10" ht="14.1" customHeight="1" x14ac:dyDescent="0.2">
      <c r="A33" s="284" t="s">
        <v>131</v>
      </c>
      <c r="B33" s="285">
        <v>1595467</v>
      </c>
      <c r="C33" s="291">
        <f>B33/'- 3 -'!$D33*100</f>
        <v>5.6931830083072947</v>
      </c>
      <c r="D33" s="285">
        <f>B33/'- 7 -'!$E33</f>
        <v>778.9605507274681</v>
      </c>
      <c r="E33" s="285">
        <v>1140029</v>
      </c>
      <c r="F33" s="291">
        <f>E33/'- 3 -'!$D33*100</f>
        <v>4.0680212951929171</v>
      </c>
      <c r="G33" s="285">
        <f>E33/'- 7 -'!$E33</f>
        <v>556.60042964554248</v>
      </c>
      <c r="H33" s="285">
        <v>430086</v>
      </c>
      <c r="I33" s="291">
        <f>H33/'- 3 -'!$D33*100</f>
        <v>1.5346969303099665</v>
      </c>
      <c r="J33" s="285">
        <f>H33/'- 7 -'!$E33</f>
        <v>209.98242359144618</v>
      </c>
    </row>
    <row r="34" spans="1:10" ht="14.1" customHeight="1" x14ac:dyDescent="0.2">
      <c r="A34" s="19" t="s">
        <v>132</v>
      </c>
      <c r="B34" s="20">
        <v>1257153</v>
      </c>
      <c r="C34" s="70">
        <f>B34/'- 3 -'!$D34*100</f>
        <v>4.086673617175542</v>
      </c>
      <c r="D34" s="20">
        <f>B34/'- 7 -'!$E34</f>
        <v>576.15239369746746</v>
      </c>
      <c r="E34" s="20">
        <v>1626361</v>
      </c>
      <c r="F34" s="70">
        <f>E34/'- 3 -'!$D34*100</f>
        <v>5.2868716780719849</v>
      </c>
      <c r="G34" s="20">
        <f>E34/'- 7 -'!$E34</f>
        <v>745.36017745350557</v>
      </c>
      <c r="H34" s="20">
        <v>873174</v>
      </c>
      <c r="I34" s="70">
        <f>H34/'- 3 -'!$D34*100</f>
        <v>2.8384589218684089</v>
      </c>
      <c r="J34" s="20">
        <f>H34/'- 7 -'!$E34</f>
        <v>400.17507034894913</v>
      </c>
    </row>
    <row r="35" spans="1:10" ht="14.1" customHeight="1" x14ac:dyDescent="0.2">
      <c r="A35" s="284" t="s">
        <v>133</v>
      </c>
      <c r="B35" s="285">
        <v>16010698</v>
      </c>
      <c r="C35" s="291">
        <f>B35/'- 3 -'!$D35*100</f>
        <v>8.3020768064600272</v>
      </c>
      <c r="D35" s="285">
        <f>B35/'- 7 -'!$E35</f>
        <v>996.61985683162152</v>
      </c>
      <c r="E35" s="285">
        <v>10499828</v>
      </c>
      <c r="F35" s="291">
        <f>E35/'- 3 -'!$D35*100</f>
        <v>5.4445083225365671</v>
      </c>
      <c r="G35" s="285">
        <f>E35/'- 7 -'!$E35</f>
        <v>653.58406473700586</v>
      </c>
      <c r="H35" s="285">
        <v>3500633</v>
      </c>
      <c r="I35" s="291">
        <f>H35/'- 3 -'!$D35*100</f>
        <v>1.8151940681929406</v>
      </c>
      <c r="J35" s="285">
        <f>H35/'- 7 -'!$E35</f>
        <v>217.90432617491442</v>
      </c>
    </row>
    <row r="36" spans="1:10" ht="14.1" customHeight="1" x14ac:dyDescent="0.2">
      <c r="A36" s="19" t="s">
        <v>134</v>
      </c>
      <c r="B36" s="20">
        <v>797239</v>
      </c>
      <c r="C36" s="70">
        <f>B36/'- 3 -'!$D36*100</f>
        <v>3.3193089813225973</v>
      </c>
      <c r="D36" s="20">
        <f>B36/'- 7 -'!$E36</f>
        <v>474.82966051220967</v>
      </c>
      <c r="E36" s="20">
        <v>1169345</v>
      </c>
      <c r="F36" s="70">
        <f>E36/'- 3 -'!$D36*100</f>
        <v>4.8685743682442437</v>
      </c>
      <c r="G36" s="20">
        <f>E36/'- 7 -'!$E36</f>
        <v>696.45324597974979</v>
      </c>
      <c r="H36" s="20">
        <v>463767</v>
      </c>
      <c r="I36" s="70">
        <f>H36/'- 3 -'!$D36*100</f>
        <v>1.9308964668575384</v>
      </c>
      <c r="J36" s="20">
        <f>H36/'- 7 -'!$E36</f>
        <v>276.21620011911853</v>
      </c>
    </row>
    <row r="37" spans="1:10" ht="14.1" customHeight="1" x14ac:dyDescent="0.2">
      <c r="A37" s="284" t="s">
        <v>135</v>
      </c>
      <c r="B37" s="285">
        <v>4124448</v>
      </c>
      <c r="C37" s="291">
        <f>B37/'- 3 -'!$D37*100</f>
        <v>7.6886374449771742</v>
      </c>
      <c r="D37" s="285">
        <f>B37/'- 7 -'!$E37</f>
        <v>950.99100760894623</v>
      </c>
      <c r="E37" s="285">
        <v>2406640</v>
      </c>
      <c r="F37" s="291">
        <f>E37/'- 3 -'!$D37*100</f>
        <v>4.4863657926054268</v>
      </c>
      <c r="G37" s="285">
        <f>E37/'- 7 -'!$E37</f>
        <v>554.90892321881483</v>
      </c>
      <c r="H37" s="285">
        <v>1673333</v>
      </c>
      <c r="I37" s="291">
        <f>H37/'- 3 -'!$D37*100</f>
        <v>3.1193630666978929</v>
      </c>
      <c r="J37" s="285">
        <f>H37/'- 7 -'!$E37</f>
        <v>385.82729997694258</v>
      </c>
    </row>
    <row r="38" spans="1:10" ht="14.1" customHeight="1" x14ac:dyDescent="0.2">
      <c r="A38" s="19" t="s">
        <v>136</v>
      </c>
      <c r="B38" s="20">
        <v>13817069</v>
      </c>
      <c r="C38" s="70">
        <f>B38/'- 3 -'!$D38*100</f>
        <v>9.5802349196106373</v>
      </c>
      <c r="D38" s="20">
        <f>B38/'- 7 -'!$E38</f>
        <v>1222.0681390021493</v>
      </c>
      <c r="E38" s="20">
        <v>5457556</v>
      </c>
      <c r="F38" s="70">
        <f>E38/'- 3 -'!$D38*100</f>
        <v>3.784063651048609</v>
      </c>
      <c r="G38" s="20">
        <f>E38/'- 7 -'!$E38</f>
        <v>482.70044134685975</v>
      </c>
      <c r="H38" s="20">
        <v>4081844</v>
      </c>
      <c r="I38" s="70">
        <f>H38/'- 3 -'!$D38*100</f>
        <v>2.8301967968172672</v>
      </c>
      <c r="J38" s="20">
        <f>H38/'- 7 -'!$E38</f>
        <v>361.0238539575281</v>
      </c>
    </row>
    <row r="39" spans="1:10" ht="14.1" customHeight="1" x14ac:dyDescent="0.2">
      <c r="A39" s="284" t="s">
        <v>137</v>
      </c>
      <c r="B39" s="285">
        <v>1353609</v>
      </c>
      <c r="C39" s="291">
        <f>B39/'- 3 -'!$D39*100</f>
        <v>6.062798185812869</v>
      </c>
      <c r="D39" s="285">
        <f>B39/'- 7 -'!$E39</f>
        <v>900.60479041916165</v>
      </c>
      <c r="E39" s="285">
        <v>631095</v>
      </c>
      <c r="F39" s="291">
        <f>E39/'- 3 -'!$D39*100</f>
        <v>2.826666800439102</v>
      </c>
      <c r="G39" s="285">
        <f>E39/'- 7 -'!$E39</f>
        <v>419.89021956087822</v>
      </c>
      <c r="H39" s="285">
        <v>360410</v>
      </c>
      <c r="I39" s="291">
        <f>H39/'- 3 -'!$D39*100</f>
        <v>1.6142719900272648</v>
      </c>
      <c r="J39" s="285">
        <f>H39/'- 7 -'!$E39</f>
        <v>239.79374584165004</v>
      </c>
    </row>
    <row r="40" spans="1:10" ht="14.1" customHeight="1" x14ac:dyDescent="0.2">
      <c r="A40" s="19" t="s">
        <v>138</v>
      </c>
      <c r="B40" s="20">
        <v>11218781</v>
      </c>
      <c r="C40" s="70">
        <f>B40/'- 3 -'!$D40*100</f>
        <v>10.520355038483833</v>
      </c>
      <c r="D40" s="20">
        <f>B40/'- 7 -'!$E40</f>
        <v>1368.0189007103008</v>
      </c>
      <c r="E40" s="20">
        <v>6303816</v>
      </c>
      <c r="F40" s="70">
        <f>E40/'- 3 -'!$D40*100</f>
        <v>5.9113715132931999</v>
      </c>
      <c r="G40" s="20">
        <f>E40/'- 7 -'!$E40</f>
        <v>768.68774197481935</v>
      </c>
      <c r="H40" s="20">
        <v>2685265</v>
      </c>
      <c r="I40" s="70">
        <f>H40/'- 3 -'!$D40*100</f>
        <v>2.518093647822726</v>
      </c>
      <c r="J40" s="20">
        <f>H40/'- 7 -'!$E40</f>
        <v>327.44139255555893</v>
      </c>
    </row>
    <row r="41" spans="1:10" ht="14.1" customHeight="1" x14ac:dyDescent="0.2">
      <c r="A41" s="284" t="s">
        <v>139</v>
      </c>
      <c r="B41" s="285">
        <v>4586623</v>
      </c>
      <c r="C41" s="291">
        <f>B41/'- 3 -'!$D41*100</f>
        <v>6.9996247941564214</v>
      </c>
      <c r="D41" s="285">
        <f>B41/'- 7 -'!$E41</f>
        <v>1030.123076923077</v>
      </c>
      <c r="E41" s="285">
        <v>4054000</v>
      </c>
      <c r="F41" s="291">
        <f>E41/'- 3 -'!$D41*100</f>
        <v>6.186791222106141</v>
      </c>
      <c r="G41" s="285">
        <f>E41/'- 7 -'!$E41</f>
        <v>910.49971925884336</v>
      </c>
      <c r="H41" s="285">
        <v>1205160</v>
      </c>
      <c r="I41" s="291">
        <f>H41/'- 3 -'!$D41*100</f>
        <v>1.8391892721345429</v>
      </c>
      <c r="J41" s="285">
        <f>H41/'- 7 -'!$E41</f>
        <v>270.67040988208873</v>
      </c>
    </row>
    <row r="42" spans="1:10" ht="14.1" customHeight="1" x14ac:dyDescent="0.2">
      <c r="A42" s="19" t="s">
        <v>140</v>
      </c>
      <c r="B42" s="20">
        <v>1591209</v>
      </c>
      <c r="C42" s="70">
        <f>B42/'- 3 -'!$D42*100</f>
        <v>7.6305614919217071</v>
      </c>
      <c r="D42" s="20">
        <f>B42/'- 7 -'!$E42</f>
        <v>1150.9649186256781</v>
      </c>
      <c r="E42" s="20">
        <v>736253</v>
      </c>
      <c r="F42" s="70">
        <f>E42/'- 3 -'!$D42*100</f>
        <v>3.5306636589610996</v>
      </c>
      <c r="G42" s="20">
        <f>E42/'- 7 -'!$E42</f>
        <v>532.55189873417726</v>
      </c>
      <c r="H42" s="20">
        <v>275922</v>
      </c>
      <c r="I42" s="70">
        <f>H42/'- 3 -'!$D42*100</f>
        <v>1.3231698588771312</v>
      </c>
      <c r="J42" s="20">
        <f>H42/'- 7 -'!$E42</f>
        <v>199.58191681735985</v>
      </c>
    </row>
    <row r="43" spans="1:10" ht="14.1" customHeight="1" x14ac:dyDescent="0.2">
      <c r="A43" s="284" t="s">
        <v>141</v>
      </c>
      <c r="B43" s="285">
        <v>309570</v>
      </c>
      <c r="C43" s="291">
        <f>B43/'- 3 -'!$D43*100</f>
        <v>2.247813343125145</v>
      </c>
      <c r="D43" s="285">
        <f>B43/'- 7 -'!$E43</f>
        <v>312.22390317700456</v>
      </c>
      <c r="E43" s="285">
        <v>1282566</v>
      </c>
      <c r="F43" s="291">
        <f>E43/'- 3 -'!$D43*100</f>
        <v>9.3128176769023003</v>
      </c>
      <c r="G43" s="285">
        <f>E43/'- 7 -'!$E43</f>
        <v>1293.5612708018155</v>
      </c>
      <c r="H43" s="285">
        <v>238411</v>
      </c>
      <c r="I43" s="291">
        <f>H43/'- 3 -'!$D43*100</f>
        <v>1.7311219657841812</v>
      </c>
      <c r="J43" s="285">
        <f>H43/'- 7 -'!$E43</f>
        <v>240.45486636409481</v>
      </c>
    </row>
    <row r="44" spans="1:10" ht="14.1" customHeight="1" x14ac:dyDescent="0.2">
      <c r="A44" s="19" t="s">
        <v>142</v>
      </c>
      <c r="B44" s="20">
        <v>872386</v>
      </c>
      <c r="C44" s="70">
        <f>B44/'- 3 -'!$D44*100</f>
        <v>7.8268448758868026</v>
      </c>
      <c r="D44" s="20">
        <f>B44/'- 7 -'!$E44</f>
        <v>1228.7126760563381</v>
      </c>
      <c r="E44" s="20">
        <v>454667</v>
      </c>
      <c r="F44" s="70">
        <f>E44/'- 3 -'!$D44*100</f>
        <v>4.0791668816152775</v>
      </c>
      <c r="G44" s="20">
        <f>E44/'- 7 -'!$E44</f>
        <v>640.37605633802821</v>
      </c>
      <c r="H44" s="20">
        <v>50796</v>
      </c>
      <c r="I44" s="70">
        <f>H44/'- 3 -'!$D44*100</f>
        <v>0.45572993183699195</v>
      </c>
      <c r="J44" s="20">
        <f>H44/'- 7 -'!$E44</f>
        <v>71.543661971830986</v>
      </c>
    </row>
    <row r="45" spans="1:10" ht="14.1" customHeight="1" x14ac:dyDescent="0.2">
      <c r="A45" s="284" t="s">
        <v>143</v>
      </c>
      <c r="B45" s="285">
        <v>693714</v>
      </c>
      <c r="C45" s="291">
        <f>B45/'- 3 -'!$D45*100</f>
        <v>3.3815808612917859</v>
      </c>
      <c r="D45" s="285">
        <f>B45/'- 7 -'!$E45</f>
        <v>381.68583218707016</v>
      </c>
      <c r="E45" s="285">
        <v>907395</v>
      </c>
      <c r="F45" s="291">
        <f>E45/'- 3 -'!$D45*100</f>
        <v>4.4231910637984244</v>
      </c>
      <c r="G45" s="285">
        <f>E45/'- 7 -'!$E45</f>
        <v>499.25447042640991</v>
      </c>
      <c r="H45" s="285">
        <v>483773</v>
      </c>
      <c r="I45" s="291">
        <f>H45/'- 3 -'!$D45*100</f>
        <v>2.3582016767856944</v>
      </c>
      <c r="J45" s="285">
        <f>H45/'- 7 -'!$E45</f>
        <v>266.17496561210453</v>
      </c>
    </row>
    <row r="46" spans="1:10" ht="14.1" customHeight="1" x14ac:dyDescent="0.2">
      <c r="A46" s="19" t="s">
        <v>144</v>
      </c>
      <c r="B46" s="20">
        <v>18295173</v>
      </c>
      <c r="C46" s="70">
        <f>B46/'- 3 -'!$D46*100</f>
        <v>4.5572894364619021</v>
      </c>
      <c r="D46" s="20">
        <f>B46/'- 7 -'!$E46</f>
        <v>614.18960973562741</v>
      </c>
      <c r="E46" s="20">
        <v>21344094</v>
      </c>
      <c r="F46" s="70">
        <f>E46/'- 3 -'!$D46*100</f>
        <v>5.3167692984947381</v>
      </c>
      <c r="G46" s="20">
        <f>E46/'- 7 -'!$E46</f>
        <v>716.54532941670163</v>
      </c>
      <c r="H46" s="20">
        <v>6659390</v>
      </c>
      <c r="I46" s="70">
        <f>H46/'- 3 -'!$D46*100</f>
        <v>1.6588401596574149</v>
      </c>
      <c r="J46" s="20">
        <f>H46/'- 7 -'!$E46</f>
        <v>223.56323961393201</v>
      </c>
    </row>
    <row r="47" spans="1:10" ht="5.0999999999999996" customHeight="1" x14ac:dyDescent="0.2">
      <c r="A47" s="21"/>
      <c r="B47" s="22"/>
      <c r="C47"/>
      <c r="D47" s="22"/>
      <c r="E47" s="22"/>
      <c r="F47"/>
      <c r="G47" s="22"/>
      <c r="H47"/>
      <c r="I47"/>
      <c r="J47"/>
    </row>
    <row r="48" spans="1:10" ht="14.1" customHeight="1" x14ac:dyDescent="0.2">
      <c r="A48" s="286" t="s">
        <v>145</v>
      </c>
      <c r="B48" s="287">
        <f>SUM(B11:B46)</f>
        <v>154469073</v>
      </c>
      <c r="C48" s="294">
        <f>B48/'- 3 -'!$D48*100</f>
        <v>6.4464052905661484</v>
      </c>
      <c r="D48" s="287">
        <f>B48/'- 7 -'!$E48</f>
        <v>863.87880371326071</v>
      </c>
      <c r="E48" s="287">
        <f>SUM(E11:E46)</f>
        <v>117902085</v>
      </c>
      <c r="F48" s="294">
        <f>E48/'- 3 -'!$D48*100</f>
        <v>4.9203676163239471</v>
      </c>
      <c r="G48" s="287">
        <f>E48/'- 7 -'!$E48</f>
        <v>659.37543462243195</v>
      </c>
      <c r="H48" s="287">
        <f>SUM(H11:H46)</f>
        <v>53525182</v>
      </c>
      <c r="I48" s="294">
        <f>H48/'- 3 -'!$D48*100</f>
        <v>2.2337482171807683</v>
      </c>
      <c r="J48" s="287">
        <f>H48/'- 7 -'!$E48</f>
        <v>299.34322318807824</v>
      </c>
    </row>
    <row r="49" spans="1:10" ht="5.0999999999999996" customHeight="1" x14ac:dyDescent="0.2">
      <c r="A49" s="21" t="s">
        <v>7</v>
      </c>
      <c r="B49" s="22"/>
      <c r="C49"/>
      <c r="E49" s="22"/>
      <c r="F49"/>
      <c r="H49"/>
      <c r="I49"/>
      <c r="J49"/>
    </row>
    <row r="50" spans="1:10" ht="14.1" customHeight="1" x14ac:dyDescent="0.2">
      <c r="A50" s="19" t="s">
        <v>146</v>
      </c>
      <c r="B50" s="20">
        <v>169274</v>
      </c>
      <c r="C50" s="70">
        <f>B50/'- 3 -'!$D50*100</f>
        <v>4.9827314330894179</v>
      </c>
      <c r="D50" s="20">
        <f>B50/'- 7 -'!$E50</f>
        <v>937.80609418282552</v>
      </c>
      <c r="E50" s="20">
        <v>43935</v>
      </c>
      <c r="F50" s="70">
        <f>E50/'- 3 -'!$D50*100</f>
        <v>1.2932659800842632</v>
      </c>
      <c r="G50" s="20">
        <f>E50/'- 7 -'!$E50</f>
        <v>243.40720221606648</v>
      </c>
      <c r="H50" s="20">
        <v>43850</v>
      </c>
      <c r="I50" s="70">
        <f>H50/'- 3 -'!$D50*100</f>
        <v>1.290763929138385</v>
      </c>
      <c r="J50" s="20">
        <f>H50/'- 7 -'!$E50</f>
        <v>242.93628808864267</v>
      </c>
    </row>
    <row r="51" spans="1:10" ht="14.1" customHeight="1" x14ac:dyDescent="0.2">
      <c r="A51" s="284" t="s">
        <v>601</v>
      </c>
      <c r="B51" s="285">
        <v>0</v>
      </c>
      <c r="C51" s="291">
        <f>B51/'- 3 -'!$D51*100</f>
        <v>0</v>
      </c>
      <c r="D51" s="285">
        <f>B51/'- 7 -'!$E51</f>
        <v>0</v>
      </c>
      <c r="E51" s="285">
        <v>0</v>
      </c>
      <c r="F51" s="291">
        <f>E51/'- 3 -'!$D51*100</f>
        <v>0</v>
      </c>
      <c r="G51" s="285">
        <f>E51/'- 7 -'!$E51</f>
        <v>0</v>
      </c>
      <c r="H51" s="285">
        <v>854649</v>
      </c>
      <c r="I51" s="291">
        <f>H51/'- 3 -'!$D51*100</f>
        <v>2.719926690307604</v>
      </c>
      <c r="J51" s="285">
        <f>H51/'- 7 -'!$E51</f>
        <v>712.80150125104251</v>
      </c>
    </row>
    <row r="52" spans="1:10" ht="50.1" customHeight="1" x14ac:dyDescent="0.2">
      <c r="A52" s="23"/>
      <c r="B52" s="23"/>
      <c r="C52" s="23"/>
      <c r="D52" s="23"/>
      <c r="E52" s="23"/>
      <c r="F52" s="23"/>
      <c r="G52" s="23"/>
      <c r="H52" s="23"/>
      <c r="I52" s="23"/>
      <c r="J52" s="23"/>
    </row>
    <row r="53" spans="1:10" x14ac:dyDescent="0.2">
      <c r="A53" s="130" t="s">
        <v>345</v>
      </c>
      <c r="B53" s="130"/>
    </row>
    <row r="54" spans="1:10" x14ac:dyDescent="0.2">
      <c r="A54" s="130" t="s">
        <v>331</v>
      </c>
      <c r="B54" s="130"/>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1">
    <pageSetUpPr fitToPage="1"/>
  </sheetPr>
  <dimension ref="A1:F52"/>
  <sheetViews>
    <sheetView showGridLines="0" showZeros="0" workbookViewId="0"/>
  </sheetViews>
  <sheetFormatPr defaultColWidth="15.83203125" defaultRowHeight="12" x14ac:dyDescent="0.2"/>
  <cols>
    <col min="1" max="1" width="32.83203125" style="2" customWidth="1"/>
    <col min="2" max="2" width="23.83203125" style="2" customWidth="1"/>
    <col min="3" max="3" width="12.83203125" style="2" customWidth="1"/>
    <col min="4" max="4" width="22.83203125" style="2" customWidth="1"/>
    <col min="5" max="5" width="12.83203125" style="2" customWidth="1"/>
    <col min="6" max="6" width="27.83203125" style="2" customWidth="1"/>
    <col min="7" max="16384" width="15.83203125" style="2"/>
  </cols>
  <sheetData>
    <row r="1" spans="1:6" ht="6.95" customHeight="1" x14ac:dyDescent="0.2">
      <c r="A1" s="7"/>
      <c r="B1" s="8"/>
      <c r="C1" s="8"/>
      <c r="D1" s="8"/>
      <c r="E1" s="8"/>
    </row>
    <row r="2" spans="1:6" ht="15.95" customHeight="1" x14ac:dyDescent="0.2">
      <c r="A2" s="134"/>
      <c r="B2" s="9" t="s">
        <v>263</v>
      </c>
      <c r="C2" s="10"/>
      <c r="D2" s="10"/>
      <c r="E2" s="135"/>
      <c r="F2" s="395" t="s">
        <v>403</v>
      </c>
    </row>
    <row r="3" spans="1:6" ht="15.95" customHeight="1" x14ac:dyDescent="0.2">
      <c r="A3" s="541"/>
      <c r="B3" s="11" t="str">
        <f>OPYEAR</f>
        <v>OPERATING FUND 2018/2019 ACTUAL</v>
      </c>
      <c r="C3" s="12"/>
      <c r="D3" s="12"/>
      <c r="E3" s="66"/>
      <c r="F3" s="66"/>
    </row>
    <row r="4" spans="1:6" ht="15.95" customHeight="1" x14ac:dyDescent="0.2">
      <c r="B4" s="8"/>
      <c r="C4" s="8"/>
      <c r="D4" s="8"/>
      <c r="E4" s="8"/>
    </row>
    <row r="5" spans="1:6" ht="15.95" customHeight="1" x14ac:dyDescent="0.2">
      <c r="B5" s="154" t="s">
        <v>189</v>
      </c>
      <c r="C5" s="173"/>
      <c r="D5" s="39"/>
      <c r="E5" s="183"/>
    </row>
    <row r="6" spans="1:6" ht="15.95" customHeight="1" x14ac:dyDescent="0.2">
      <c r="B6" s="649" t="s">
        <v>483</v>
      </c>
      <c r="C6" s="650"/>
      <c r="D6" s="336"/>
      <c r="E6" s="337"/>
    </row>
    <row r="7" spans="1:6" ht="15.95" customHeight="1" x14ac:dyDescent="0.2">
      <c r="B7" s="651"/>
      <c r="C7" s="652"/>
      <c r="D7" s="654" t="s">
        <v>79</v>
      </c>
      <c r="E7" s="655"/>
    </row>
    <row r="8" spans="1:6" ht="15.95" customHeight="1" x14ac:dyDescent="0.2">
      <c r="A8" s="67"/>
      <c r="B8" s="139"/>
      <c r="C8" s="137"/>
      <c r="D8" s="139"/>
      <c r="E8" s="137"/>
    </row>
    <row r="9" spans="1:6" ht="15.95" customHeight="1" x14ac:dyDescent="0.2">
      <c r="A9" s="35" t="s">
        <v>42</v>
      </c>
      <c r="B9" s="77" t="s">
        <v>43</v>
      </c>
      <c r="C9" s="77" t="s">
        <v>44</v>
      </c>
      <c r="D9" s="77" t="s">
        <v>43</v>
      </c>
      <c r="E9" s="77" t="s">
        <v>44</v>
      </c>
    </row>
    <row r="10" spans="1:6" ht="5.0999999999999996" customHeight="1" x14ac:dyDescent="0.2">
      <c r="A10" s="6"/>
    </row>
    <row r="11" spans="1:6" ht="14.1" customHeight="1" x14ac:dyDescent="0.2">
      <c r="A11" s="284" t="s">
        <v>110</v>
      </c>
      <c r="B11" s="285">
        <v>0</v>
      </c>
      <c r="C11" s="291">
        <f>B11/'- 3 -'!$D11*100</f>
        <v>0</v>
      </c>
      <c r="D11" s="285">
        <v>0</v>
      </c>
      <c r="E11" s="291">
        <f>D11/'- 3 -'!$D11*100</f>
        <v>0</v>
      </c>
    </row>
    <row r="12" spans="1:6" ht="14.1" customHeight="1" x14ac:dyDescent="0.2">
      <c r="A12" s="19" t="s">
        <v>111</v>
      </c>
      <c r="B12" s="20">
        <v>134817</v>
      </c>
      <c r="C12" s="70">
        <f>B12/'- 3 -'!$D12*100</f>
        <v>0.39780993704241763</v>
      </c>
      <c r="D12" s="20">
        <v>401917</v>
      </c>
      <c r="E12" s="70">
        <f>D12/'- 3 -'!$D12*100</f>
        <v>1.1859526355450527</v>
      </c>
    </row>
    <row r="13" spans="1:6" ht="14.1" customHeight="1" x14ac:dyDescent="0.2">
      <c r="A13" s="284" t="s">
        <v>112</v>
      </c>
      <c r="B13" s="285">
        <v>0</v>
      </c>
      <c r="C13" s="291">
        <f>B13/'- 3 -'!$D13*100</f>
        <v>0</v>
      </c>
      <c r="D13" s="285">
        <v>0</v>
      </c>
      <c r="E13" s="291">
        <f>D13/'- 3 -'!$D13*100</f>
        <v>0</v>
      </c>
    </row>
    <row r="14" spans="1:6" ht="14.1" customHeight="1" x14ac:dyDescent="0.2">
      <c r="A14" s="19" t="s">
        <v>359</v>
      </c>
      <c r="B14" s="20">
        <v>91500</v>
      </c>
      <c r="C14" s="70">
        <f>B14/'- 3 -'!$D14*100</f>
        <v>0.10022312295974063</v>
      </c>
      <c r="D14" s="20">
        <v>161044</v>
      </c>
      <c r="E14" s="70">
        <f>D14/'- 3 -'!$D14*100</f>
        <v>0.17639707774785213</v>
      </c>
    </row>
    <row r="15" spans="1:6" ht="14.1" customHeight="1" x14ac:dyDescent="0.2">
      <c r="A15" s="284" t="s">
        <v>113</v>
      </c>
      <c r="B15" s="285">
        <v>0</v>
      </c>
      <c r="C15" s="291">
        <f>B15/'- 3 -'!$D15*100</f>
        <v>0</v>
      </c>
      <c r="D15" s="285">
        <v>0</v>
      </c>
      <c r="E15" s="291">
        <f>D15/'- 3 -'!$D15*100</f>
        <v>0</v>
      </c>
    </row>
    <row r="16" spans="1:6" ht="14.1" customHeight="1" x14ac:dyDescent="0.2">
      <c r="A16" s="19" t="s">
        <v>114</v>
      </c>
      <c r="B16" s="20">
        <v>24312</v>
      </c>
      <c r="C16" s="70">
        <f>B16/'- 3 -'!$D16*100</f>
        <v>0.16169254155242929</v>
      </c>
      <c r="D16" s="20">
        <v>72180</v>
      </c>
      <c r="E16" s="70">
        <f>D16/'- 3 -'!$D16*100</f>
        <v>0.48004967297031698</v>
      </c>
    </row>
    <row r="17" spans="1:5" ht="14.1" customHeight="1" x14ac:dyDescent="0.2">
      <c r="A17" s="284" t="s">
        <v>115</v>
      </c>
      <c r="B17" s="285">
        <v>0</v>
      </c>
      <c r="C17" s="291">
        <f>B17/'- 3 -'!$D17*100</f>
        <v>0</v>
      </c>
      <c r="D17" s="285">
        <v>0</v>
      </c>
      <c r="E17" s="291">
        <f>D17/'- 3 -'!$D17*100</f>
        <v>0</v>
      </c>
    </row>
    <row r="18" spans="1:5" ht="14.1" customHeight="1" x14ac:dyDescent="0.2">
      <c r="A18" s="19" t="s">
        <v>116</v>
      </c>
      <c r="B18" s="20">
        <v>143320</v>
      </c>
      <c r="C18" s="70">
        <f>B18/'- 3 -'!$D18*100</f>
        <v>0.1065499016933673</v>
      </c>
      <c r="D18" s="20">
        <v>1875046</v>
      </c>
      <c r="E18" s="70">
        <f>D18/'- 3 -'!$D18*100</f>
        <v>1.3939852565625284</v>
      </c>
    </row>
    <row r="19" spans="1:5" ht="14.1" customHeight="1" x14ac:dyDescent="0.2">
      <c r="A19" s="284" t="s">
        <v>117</v>
      </c>
      <c r="B19" s="285">
        <v>0</v>
      </c>
      <c r="C19" s="291">
        <f>B19/'- 3 -'!$D19*100</f>
        <v>0</v>
      </c>
      <c r="D19" s="285">
        <v>0</v>
      </c>
      <c r="E19" s="291">
        <f>D19/'- 3 -'!$D19*100</f>
        <v>0</v>
      </c>
    </row>
    <row r="20" spans="1:5" ht="14.1" customHeight="1" x14ac:dyDescent="0.2">
      <c r="A20" s="19" t="s">
        <v>118</v>
      </c>
      <c r="B20" s="20">
        <v>0</v>
      </c>
      <c r="C20" s="70">
        <f>B20/'- 3 -'!$D20*100</f>
        <v>0</v>
      </c>
      <c r="D20" s="20">
        <v>0</v>
      </c>
      <c r="E20" s="70">
        <f>D20/'- 3 -'!$D20*100</f>
        <v>0</v>
      </c>
    </row>
    <row r="21" spans="1:5" ht="14.1" customHeight="1" x14ac:dyDescent="0.2">
      <c r="A21" s="284" t="s">
        <v>119</v>
      </c>
      <c r="B21" s="285">
        <v>0</v>
      </c>
      <c r="C21" s="291">
        <f>B21/'- 3 -'!$D21*100</f>
        <v>0</v>
      </c>
      <c r="D21" s="285">
        <v>0</v>
      </c>
      <c r="E21" s="291">
        <f>D21/'- 3 -'!$D21*100</f>
        <v>0</v>
      </c>
    </row>
    <row r="22" spans="1:5" ht="14.1" customHeight="1" x14ac:dyDescent="0.2">
      <c r="A22" s="19" t="s">
        <v>120</v>
      </c>
      <c r="B22" s="20">
        <v>169835</v>
      </c>
      <c r="C22" s="70">
        <f>B22/'- 3 -'!$D22*100</f>
        <v>0.80979495477740882</v>
      </c>
      <c r="D22" s="20">
        <v>452095</v>
      </c>
      <c r="E22" s="70">
        <f>D22/'- 3 -'!$D22*100</f>
        <v>2.1556466575210798</v>
      </c>
    </row>
    <row r="23" spans="1:5" ht="14.1" customHeight="1" x14ac:dyDescent="0.2">
      <c r="A23" s="284" t="s">
        <v>121</v>
      </c>
      <c r="B23" s="285">
        <v>65237</v>
      </c>
      <c r="C23" s="291">
        <f>B23/'- 3 -'!$D23*100</f>
        <v>0.40858660051150836</v>
      </c>
      <c r="D23" s="285">
        <v>202707</v>
      </c>
      <c r="E23" s="291">
        <f>D23/'- 3 -'!$D23*100</f>
        <v>1.2695765291151695</v>
      </c>
    </row>
    <row r="24" spans="1:5" ht="14.1" customHeight="1" x14ac:dyDescent="0.2">
      <c r="A24" s="19" t="s">
        <v>122</v>
      </c>
      <c r="B24" s="20">
        <v>73141</v>
      </c>
      <c r="C24" s="70">
        <f>B24/'- 3 -'!$D24*100</f>
        <v>0.12630834155892065</v>
      </c>
      <c r="D24" s="20">
        <v>258552</v>
      </c>
      <c r="E24" s="70">
        <f>D24/'- 3 -'!$D24*100</f>
        <v>0.44649750928674825</v>
      </c>
    </row>
    <row r="25" spans="1:5" ht="14.1" customHeight="1" x14ac:dyDescent="0.2">
      <c r="A25" s="284" t="s">
        <v>123</v>
      </c>
      <c r="B25" s="285">
        <v>114125</v>
      </c>
      <c r="C25" s="291">
        <f>B25/'- 3 -'!$D25*100</f>
        <v>5.8739011237023762E-2</v>
      </c>
      <c r="D25" s="285">
        <v>962222</v>
      </c>
      <c r="E25" s="291">
        <f>D25/'- 3 -'!$D25*100</f>
        <v>0.49524616754007866</v>
      </c>
    </row>
    <row r="26" spans="1:5" ht="14.1" customHeight="1" x14ac:dyDescent="0.2">
      <c r="A26" s="19" t="s">
        <v>124</v>
      </c>
      <c r="B26" s="20">
        <v>0</v>
      </c>
      <c r="C26" s="70">
        <f>B26/'- 3 -'!$D26*100</f>
        <v>0</v>
      </c>
      <c r="D26" s="20">
        <v>0</v>
      </c>
      <c r="E26" s="70">
        <f>D26/'- 3 -'!$D26*100</f>
        <v>0</v>
      </c>
    </row>
    <row r="27" spans="1:5" ht="14.1" customHeight="1" x14ac:dyDescent="0.2">
      <c r="A27" s="284" t="s">
        <v>125</v>
      </c>
      <c r="B27" s="285">
        <v>0</v>
      </c>
      <c r="C27" s="291">
        <f>B27/'- 3 -'!$D27*100</f>
        <v>0</v>
      </c>
      <c r="D27" s="285">
        <v>0</v>
      </c>
      <c r="E27" s="291">
        <f>D27/'- 3 -'!$D27*100</f>
        <v>0</v>
      </c>
    </row>
    <row r="28" spans="1:5" ht="14.1" customHeight="1" x14ac:dyDescent="0.2">
      <c r="A28" s="19" t="s">
        <v>126</v>
      </c>
      <c r="B28" s="20">
        <v>0</v>
      </c>
      <c r="C28" s="70">
        <f>B28/'- 3 -'!$D28*100</f>
        <v>0</v>
      </c>
      <c r="D28" s="20">
        <v>106569</v>
      </c>
      <c r="E28" s="70">
        <f>D28/'- 3 -'!$D28*100</f>
        <v>0.36664781631257143</v>
      </c>
    </row>
    <row r="29" spans="1:5" ht="14.1" customHeight="1" x14ac:dyDescent="0.2">
      <c r="A29" s="284" t="s">
        <v>127</v>
      </c>
      <c r="B29" s="285">
        <v>0</v>
      </c>
      <c r="C29" s="291">
        <f>B29/'- 3 -'!$D29*100</f>
        <v>0</v>
      </c>
      <c r="D29" s="285">
        <v>0</v>
      </c>
      <c r="E29" s="291">
        <f>D29/'- 3 -'!$D29*100</f>
        <v>0</v>
      </c>
    </row>
    <row r="30" spans="1:5" ht="14.1" customHeight="1" x14ac:dyDescent="0.2">
      <c r="A30" s="19" t="s">
        <v>128</v>
      </c>
      <c r="B30" s="20">
        <v>0</v>
      </c>
      <c r="C30" s="70">
        <f>B30/'- 3 -'!$D30*100</f>
        <v>0</v>
      </c>
      <c r="D30" s="20">
        <v>0</v>
      </c>
      <c r="E30" s="70">
        <f>D30/'- 3 -'!$D30*100</f>
        <v>0</v>
      </c>
    </row>
    <row r="31" spans="1:5" ht="14.1" customHeight="1" x14ac:dyDescent="0.2">
      <c r="A31" s="284" t="s">
        <v>129</v>
      </c>
      <c r="B31" s="285">
        <v>0</v>
      </c>
      <c r="C31" s="291">
        <f>B31/'- 3 -'!$D31*100</f>
        <v>0</v>
      </c>
      <c r="D31" s="285">
        <v>0</v>
      </c>
      <c r="E31" s="291">
        <f>D31/'- 3 -'!$D31*100</f>
        <v>0</v>
      </c>
    </row>
    <row r="32" spans="1:5" ht="14.1" customHeight="1" x14ac:dyDescent="0.2">
      <c r="A32" s="19" t="s">
        <v>130</v>
      </c>
      <c r="B32" s="20">
        <v>64735</v>
      </c>
      <c r="C32" s="70">
        <f>B32/'- 3 -'!$D32*100</f>
        <v>0.21521237490271641</v>
      </c>
      <c r="D32" s="20">
        <v>212956</v>
      </c>
      <c r="E32" s="70">
        <f>D32/'- 3 -'!$D32*100</f>
        <v>0.70797507545814287</v>
      </c>
    </row>
    <row r="33" spans="1:6" ht="14.1" customHeight="1" x14ac:dyDescent="0.2">
      <c r="A33" s="284" t="s">
        <v>131</v>
      </c>
      <c r="B33" s="285">
        <v>0</v>
      </c>
      <c r="C33" s="291">
        <f>B33/'- 3 -'!$D33*100</f>
        <v>0</v>
      </c>
      <c r="D33" s="285">
        <v>0</v>
      </c>
      <c r="E33" s="291">
        <f>D33/'- 3 -'!$D33*100</f>
        <v>0</v>
      </c>
    </row>
    <row r="34" spans="1:6" ht="14.1" customHeight="1" x14ac:dyDescent="0.2">
      <c r="A34" s="19" t="s">
        <v>132</v>
      </c>
      <c r="B34" s="20">
        <v>0</v>
      </c>
      <c r="C34" s="70">
        <f>B34/'- 3 -'!$D34*100</f>
        <v>0</v>
      </c>
      <c r="D34" s="20">
        <v>0</v>
      </c>
      <c r="E34" s="70">
        <f>D34/'- 3 -'!$D34*100</f>
        <v>0</v>
      </c>
    </row>
    <row r="35" spans="1:6" ht="14.1" customHeight="1" x14ac:dyDescent="0.2">
      <c r="A35" s="284" t="s">
        <v>133</v>
      </c>
      <c r="B35" s="285">
        <v>334648</v>
      </c>
      <c r="C35" s="291">
        <f>B35/'- 3 -'!$D35*100</f>
        <v>0.17352606358125267</v>
      </c>
      <c r="D35" s="285">
        <v>1192710</v>
      </c>
      <c r="E35" s="291">
        <f>D35/'- 3 -'!$D35*100</f>
        <v>0.6184596091833684</v>
      </c>
    </row>
    <row r="36" spans="1:6" ht="14.1" customHeight="1" x14ac:dyDescent="0.2">
      <c r="A36" s="19" t="s">
        <v>134</v>
      </c>
      <c r="B36" s="20">
        <v>31990</v>
      </c>
      <c r="C36" s="70">
        <f>B36/'- 3 -'!$D36*100</f>
        <v>0.13319054174784462</v>
      </c>
      <c r="D36" s="20">
        <v>89509</v>
      </c>
      <c r="E36" s="70">
        <f>D36/'- 3 -'!$D36*100</f>
        <v>0.37267121604588382</v>
      </c>
    </row>
    <row r="37" spans="1:6" ht="14.1" customHeight="1" x14ac:dyDescent="0.2">
      <c r="A37" s="284" t="s">
        <v>135</v>
      </c>
      <c r="B37" s="285">
        <v>116408</v>
      </c>
      <c r="C37" s="291">
        <f>B37/'- 3 -'!$D37*100</f>
        <v>0.21700331964299291</v>
      </c>
      <c r="D37" s="285">
        <v>208381</v>
      </c>
      <c r="E37" s="291">
        <f>D37/'- 3 -'!$D37*100</f>
        <v>0.38845585140648847</v>
      </c>
    </row>
    <row r="38" spans="1:6" ht="14.1" customHeight="1" x14ac:dyDescent="0.2">
      <c r="A38" s="19" t="s">
        <v>136</v>
      </c>
      <c r="B38" s="20">
        <v>739463</v>
      </c>
      <c r="C38" s="70">
        <f>B38/'- 3 -'!$D38*100</f>
        <v>0.51271577599851614</v>
      </c>
      <c r="D38" s="20">
        <v>1364327</v>
      </c>
      <c r="E38" s="70">
        <f>D38/'- 3 -'!$D38*100</f>
        <v>0.94597292429875124</v>
      </c>
    </row>
    <row r="39" spans="1:6" ht="14.1" customHeight="1" x14ac:dyDescent="0.2">
      <c r="A39" s="284" t="s">
        <v>137</v>
      </c>
      <c r="B39" s="285">
        <v>0</v>
      </c>
      <c r="C39" s="291">
        <f>B39/'- 3 -'!$D39*100</f>
        <v>0</v>
      </c>
      <c r="D39" s="285">
        <v>0</v>
      </c>
      <c r="E39" s="291">
        <f>D39/'- 3 -'!$D39*100</f>
        <v>0</v>
      </c>
    </row>
    <row r="40" spans="1:6" ht="14.1" customHeight="1" x14ac:dyDescent="0.2">
      <c r="A40" s="19" t="s">
        <v>138</v>
      </c>
      <c r="B40" s="20">
        <v>0</v>
      </c>
      <c r="C40" s="70">
        <f>B40/'- 3 -'!$D40*100</f>
        <v>0</v>
      </c>
      <c r="D40" s="20">
        <v>0</v>
      </c>
      <c r="E40" s="70">
        <f>D40/'- 3 -'!$D40*100</f>
        <v>0</v>
      </c>
    </row>
    <row r="41" spans="1:6" ht="14.1" customHeight="1" x14ac:dyDescent="0.2">
      <c r="A41" s="284" t="s">
        <v>139</v>
      </c>
      <c r="B41" s="285">
        <v>341510</v>
      </c>
      <c r="C41" s="291">
        <f>B41/'- 3 -'!$D41*100</f>
        <v>0.52117687968955806</v>
      </c>
      <c r="D41" s="285">
        <v>618722</v>
      </c>
      <c r="E41" s="291">
        <f>D41/'- 3 -'!$D41*100</f>
        <v>0.94422886988750765</v>
      </c>
    </row>
    <row r="42" spans="1:6" ht="14.1" customHeight="1" x14ac:dyDescent="0.2">
      <c r="A42" s="19" t="s">
        <v>140</v>
      </c>
      <c r="B42" s="20">
        <v>0</v>
      </c>
      <c r="C42" s="70">
        <f>B42/'- 3 -'!$D42*100</f>
        <v>0</v>
      </c>
      <c r="D42" s="20">
        <v>0</v>
      </c>
      <c r="E42" s="70">
        <f>D42/'- 3 -'!$D42*100</f>
        <v>0</v>
      </c>
    </row>
    <row r="43" spans="1:6" ht="14.1" customHeight="1" x14ac:dyDescent="0.2">
      <c r="A43" s="284" t="s">
        <v>141</v>
      </c>
      <c r="B43" s="285">
        <v>0</v>
      </c>
      <c r="C43" s="291">
        <f>B43/'- 3 -'!$D43*100</f>
        <v>0</v>
      </c>
      <c r="D43" s="285">
        <v>210420</v>
      </c>
      <c r="E43" s="291">
        <f>D43/'- 3 -'!$D43*100</f>
        <v>1.5278770024885908</v>
      </c>
    </row>
    <row r="44" spans="1:6" ht="14.1" customHeight="1" x14ac:dyDescent="0.2">
      <c r="A44" s="19" t="s">
        <v>142</v>
      </c>
      <c r="B44" s="20">
        <v>0</v>
      </c>
      <c r="C44" s="70">
        <f>B44/'- 3 -'!$D44*100</f>
        <v>0</v>
      </c>
      <c r="D44" s="20">
        <v>0</v>
      </c>
      <c r="E44" s="70">
        <f>D44/'- 3 -'!$D44*100</f>
        <v>0</v>
      </c>
    </row>
    <row r="45" spans="1:6" ht="14.1" customHeight="1" x14ac:dyDescent="0.2">
      <c r="A45" s="284" t="s">
        <v>143</v>
      </c>
      <c r="B45" s="285">
        <v>169760</v>
      </c>
      <c r="C45" s="291">
        <f>B45/'- 3 -'!$D45*100</f>
        <v>0.82751273149005711</v>
      </c>
      <c r="D45" s="285">
        <v>218564</v>
      </c>
      <c r="E45" s="291">
        <f>D45/'- 3 -'!$D45*100</f>
        <v>1.0654128925859616</v>
      </c>
    </row>
    <row r="46" spans="1:6" ht="14.1" customHeight="1" x14ac:dyDescent="0.2">
      <c r="A46" s="19" t="s">
        <v>144</v>
      </c>
      <c r="B46" s="20">
        <v>96085</v>
      </c>
      <c r="C46" s="70">
        <f>B46/'- 3 -'!$D46*100</f>
        <v>2.3934573097638481E-2</v>
      </c>
      <c r="D46" s="20">
        <v>711845</v>
      </c>
      <c r="E46" s="70">
        <f>D46/'- 3 -'!$D46*100</f>
        <v>0.17731910482061158</v>
      </c>
    </row>
    <row r="47" spans="1:6" ht="5.0999999999999996" customHeight="1" x14ac:dyDescent="0.2">
      <c r="A47"/>
      <c r="B47"/>
      <c r="C47"/>
      <c r="D47"/>
      <c r="E47"/>
      <c r="F47"/>
    </row>
    <row r="48" spans="1:6" ht="14.1" customHeight="1" x14ac:dyDescent="0.2">
      <c r="A48" s="286" t="s">
        <v>145</v>
      </c>
      <c r="B48" s="287">
        <f>SUM(B11:B46)</f>
        <v>2710886</v>
      </c>
      <c r="C48" s="294">
        <f>B48/'- 3 -'!$D48*100</f>
        <v>0.11313248350057557</v>
      </c>
      <c r="D48" s="287">
        <f>SUM(D11:D46)</f>
        <v>9319766</v>
      </c>
      <c r="E48" s="294">
        <f>D48/'- 3 -'!$D48*100</f>
        <v>0.38893862494558062</v>
      </c>
    </row>
    <row r="49" spans="1:5" ht="5.0999999999999996" customHeight="1" x14ac:dyDescent="0.2">
      <c r="A49" s="21" t="s">
        <v>7</v>
      </c>
      <c r="B49"/>
      <c r="C49"/>
      <c r="D49"/>
      <c r="E49"/>
    </row>
    <row r="50" spans="1:5" ht="14.1" customHeight="1" x14ac:dyDescent="0.2">
      <c r="A50" s="19" t="s">
        <v>146</v>
      </c>
      <c r="B50" s="20">
        <v>0</v>
      </c>
      <c r="C50" s="70">
        <f>B50/'- 3 -'!$D50*100</f>
        <v>0</v>
      </c>
      <c r="D50" s="20">
        <v>0</v>
      </c>
      <c r="E50" s="70">
        <f>D50/'- 3 -'!$D50*100</f>
        <v>0</v>
      </c>
    </row>
    <row r="51" spans="1:5" ht="14.1" customHeight="1" x14ac:dyDescent="0.2">
      <c r="A51" s="284" t="s">
        <v>601</v>
      </c>
      <c r="B51" s="285">
        <v>907278</v>
      </c>
      <c r="C51" s="291">
        <f>B51/'- 3 -'!$D51*100</f>
        <v>2.8874188675455095</v>
      </c>
      <c r="D51" s="285">
        <v>1625137</v>
      </c>
      <c r="E51" s="291">
        <f>D51/'- 3 -'!$D51*100</f>
        <v>5.1720103828664499</v>
      </c>
    </row>
    <row r="52" spans="1:5" ht="50.1" customHeight="1" x14ac:dyDescent="0.2"/>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ntry="1" codeName="Sheet1">
    <pageSetUpPr fitToPage="1"/>
  </sheetPr>
  <dimension ref="A1:G58"/>
  <sheetViews>
    <sheetView showGridLines="0" showZeros="0" workbookViewId="0"/>
  </sheetViews>
  <sheetFormatPr defaultColWidth="15.83203125" defaultRowHeight="12" x14ac:dyDescent="0.2"/>
  <cols>
    <col min="1" max="1" width="32.83203125" style="2" customWidth="1"/>
    <col min="2" max="2" width="18.83203125" style="2" customWidth="1"/>
    <col min="3" max="3" width="19.83203125" style="2" customWidth="1"/>
    <col min="4" max="4" width="21.83203125" style="2" customWidth="1"/>
    <col min="5" max="5" width="19.83203125" style="2" customWidth="1"/>
    <col min="6" max="6" width="20.83203125" style="2" customWidth="1"/>
    <col min="7" max="16384" width="15.83203125" style="2"/>
  </cols>
  <sheetData>
    <row r="1" spans="1:6" ht="6.95" customHeight="1" x14ac:dyDescent="0.2">
      <c r="A1" s="7"/>
      <c r="B1" s="8"/>
      <c r="C1" s="8"/>
      <c r="D1" s="8"/>
      <c r="E1" s="8"/>
      <c r="F1" s="8"/>
    </row>
    <row r="2" spans="1:6" ht="15.95" customHeight="1" x14ac:dyDescent="0.2">
      <c r="A2" s="9" t="s">
        <v>251</v>
      </c>
      <c r="B2" s="10"/>
      <c r="C2" s="10"/>
      <c r="D2" s="10"/>
      <c r="E2" s="10"/>
      <c r="F2" s="10"/>
    </row>
    <row r="3" spans="1:6" ht="15.95" customHeight="1" x14ac:dyDescent="0.2">
      <c r="A3" s="11" t="str">
        <f>"OPERATING FUND "&amp;FALLYR&amp;"/"&amp;SPRINGYR&amp;" ACTUAL"</f>
        <v>OPERATING FUND 2018/2019 ACTUAL</v>
      </c>
      <c r="B3" s="12"/>
      <c r="C3" s="13"/>
      <c r="D3" s="12"/>
      <c r="E3" s="12"/>
      <c r="F3" s="12"/>
    </row>
    <row r="4" spans="1:6" ht="15.95" customHeight="1" x14ac:dyDescent="0.2">
      <c r="B4" s="8"/>
      <c r="C4" s="8"/>
      <c r="D4" s="8"/>
      <c r="E4" s="8"/>
      <c r="F4" s="8"/>
    </row>
    <row r="5" spans="1:6" ht="15.95" customHeight="1" x14ac:dyDescent="0.2">
      <c r="B5" s="8"/>
      <c r="C5" s="8"/>
      <c r="D5" s="8"/>
      <c r="E5" s="8"/>
      <c r="F5" s="8"/>
    </row>
    <row r="6" spans="1:6" ht="15.95" customHeight="1" x14ac:dyDescent="0.2">
      <c r="B6" s="14"/>
      <c r="C6" s="602" t="s">
        <v>447</v>
      </c>
      <c r="D6" s="605" t="s">
        <v>448</v>
      </c>
      <c r="E6" s="602" t="s">
        <v>449</v>
      </c>
      <c r="F6" s="602" t="s">
        <v>450</v>
      </c>
    </row>
    <row r="7" spans="1:6" ht="15.95" customHeight="1" x14ac:dyDescent="0.2">
      <c r="B7" s="14"/>
      <c r="C7" s="603"/>
      <c r="D7" s="606"/>
      <c r="E7" s="608"/>
      <c r="F7" s="608"/>
    </row>
    <row r="8" spans="1:6" ht="15.95" customHeight="1" x14ac:dyDescent="0.2">
      <c r="A8" s="16"/>
      <c r="B8" s="600" t="s">
        <v>446</v>
      </c>
      <c r="C8" s="603"/>
      <c r="D8" s="606"/>
      <c r="E8" s="608"/>
      <c r="F8" s="608"/>
    </row>
    <row r="9" spans="1:6" x14ac:dyDescent="0.2">
      <c r="A9" s="17" t="s">
        <v>42</v>
      </c>
      <c r="B9" s="601"/>
      <c r="C9" s="604"/>
      <c r="D9" s="607"/>
      <c r="E9" s="609"/>
      <c r="F9" s="609"/>
    </row>
    <row r="10" spans="1:6" ht="5.0999999999999996" customHeight="1" x14ac:dyDescent="0.2">
      <c r="A10" s="18"/>
    </row>
    <row r="11" spans="1:6" ht="14.1" customHeight="1" x14ac:dyDescent="0.2">
      <c r="A11" s="284" t="s">
        <v>110</v>
      </c>
      <c r="B11" s="285">
        <v>20164916</v>
      </c>
      <c r="C11" s="285">
        <f>-Data!K11</f>
        <v>-74377</v>
      </c>
      <c r="D11" s="285">
        <f>B11+C11</f>
        <v>20090539</v>
      </c>
      <c r="E11" s="285">
        <f>-'- 15 -'!H11-'- 16 -'!B11</f>
        <v>-16302</v>
      </c>
      <c r="F11" s="285">
        <f>D11+E11</f>
        <v>20074237</v>
      </c>
    </row>
    <row r="12" spans="1:6" ht="14.1" customHeight="1" x14ac:dyDescent="0.2">
      <c r="A12" s="19" t="s">
        <v>111</v>
      </c>
      <c r="B12" s="20">
        <v>34421580</v>
      </c>
      <c r="C12" s="20">
        <f>-Data!K12</f>
        <v>-531778</v>
      </c>
      <c r="D12" s="20">
        <f t="shared" ref="D12:D46" si="0">B12+C12</f>
        <v>33889802</v>
      </c>
      <c r="E12" s="20">
        <f>-'- 15 -'!H12-'- 16 -'!B12</f>
        <v>-612810</v>
      </c>
      <c r="F12" s="20">
        <f t="shared" ref="F12:F46" si="1">D12+E12</f>
        <v>33276992</v>
      </c>
    </row>
    <row r="13" spans="1:6" ht="14.1" customHeight="1" x14ac:dyDescent="0.2">
      <c r="A13" s="284" t="s">
        <v>112</v>
      </c>
      <c r="B13" s="285">
        <v>100996773</v>
      </c>
      <c r="C13" s="285">
        <f>-Data!K13</f>
        <v>-87750</v>
      </c>
      <c r="D13" s="285">
        <f t="shared" si="0"/>
        <v>100909023</v>
      </c>
      <c r="E13" s="285">
        <f>-'- 15 -'!H13-'- 16 -'!B13</f>
        <v>-310961</v>
      </c>
      <c r="F13" s="285">
        <f t="shared" si="1"/>
        <v>100598062</v>
      </c>
    </row>
    <row r="14" spans="1:6" ht="14.1" customHeight="1" x14ac:dyDescent="0.2">
      <c r="A14" s="19" t="s">
        <v>359</v>
      </c>
      <c r="B14" s="20">
        <v>92320006</v>
      </c>
      <c r="C14" s="20">
        <f>-Data!K14</f>
        <v>-1023709</v>
      </c>
      <c r="D14" s="20">
        <f t="shared" si="0"/>
        <v>91296297</v>
      </c>
      <c r="E14" s="20">
        <f>-'- 15 -'!H14-'- 16 -'!B14</f>
        <v>-1497760</v>
      </c>
      <c r="F14" s="20">
        <f t="shared" si="1"/>
        <v>89798537</v>
      </c>
    </row>
    <row r="15" spans="1:6" ht="14.1" customHeight="1" x14ac:dyDescent="0.2">
      <c r="A15" s="284" t="s">
        <v>113</v>
      </c>
      <c r="B15" s="285">
        <v>20321941</v>
      </c>
      <c r="C15" s="285">
        <f>-Data!K15</f>
        <v>-67450</v>
      </c>
      <c r="D15" s="285">
        <f t="shared" si="0"/>
        <v>20254491</v>
      </c>
      <c r="E15" s="285">
        <f>-'- 15 -'!H15-'- 16 -'!B15</f>
        <v>-67158</v>
      </c>
      <c r="F15" s="285">
        <f t="shared" si="1"/>
        <v>20187333</v>
      </c>
    </row>
    <row r="16" spans="1:6" ht="14.1" customHeight="1" x14ac:dyDescent="0.2">
      <c r="A16" s="19" t="s">
        <v>114</v>
      </c>
      <c r="B16" s="20">
        <v>15037244</v>
      </c>
      <c r="C16" s="20">
        <f>-Data!K16</f>
        <v>-1300</v>
      </c>
      <c r="D16" s="20">
        <f t="shared" si="0"/>
        <v>15035944</v>
      </c>
      <c r="E16" s="20">
        <f>-'- 15 -'!H16-'- 16 -'!B16</f>
        <v>-105332</v>
      </c>
      <c r="F16" s="20">
        <f t="shared" si="1"/>
        <v>14930612</v>
      </c>
    </row>
    <row r="17" spans="1:6" ht="14.1" customHeight="1" x14ac:dyDescent="0.2">
      <c r="A17" s="284" t="s">
        <v>115</v>
      </c>
      <c r="B17" s="285">
        <v>18480570</v>
      </c>
      <c r="C17" s="285">
        <f>-Data!K17</f>
        <v>-86916</v>
      </c>
      <c r="D17" s="285">
        <f t="shared" si="0"/>
        <v>18393654</v>
      </c>
      <c r="E17" s="285">
        <f>-'- 15 -'!H17-'- 16 -'!B17</f>
        <v>-283796</v>
      </c>
      <c r="F17" s="285">
        <f t="shared" si="1"/>
        <v>18109858</v>
      </c>
    </row>
    <row r="18" spans="1:6" ht="14.1" customHeight="1" x14ac:dyDescent="0.2">
      <c r="A18" s="19" t="s">
        <v>116</v>
      </c>
      <c r="B18" s="20">
        <v>140127959</v>
      </c>
      <c r="C18" s="20">
        <f>-Data!K18</f>
        <v>-5618215</v>
      </c>
      <c r="D18" s="20">
        <f t="shared" si="0"/>
        <v>134509744</v>
      </c>
      <c r="E18" s="20">
        <f>-'- 15 -'!H18-'- 16 -'!B18</f>
        <v>-4498199</v>
      </c>
      <c r="F18" s="20">
        <f t="shared" si="1"/>
        <v>130011545</v>
      </c>
    </row>
    <row r="19" spans="1:6" ht="14.1" customHeight="1" x14ac:dyDescent="0.2">
      <c r="A19" s="284" t="s">
        <v>117</v>
      </c>
      <c r="B19" s="285">
        <v>50661051</v>
      </c>
      <c r="C19" s="285">
        <f>-Data!K19</f>
        <v>-562804</v>
      </c>
      <c r="D19" s="285">
        <f t="shared" si="0"/>
        <v>50098247</v>
      </c>
      <c r="E19" s="285">
        <f>-'- 15 -'!H19-'- 16 -'!B19</f>
        <v>-72642</v>
      </c>
      <c r="F19" s="285">
        <f t="shared" si="1"/>
        <v>50025605</v>
      </c>
    </row>
    <row r="20" spans="1:6" ht="14.1" customHeight="1" x14ac:dyDescent="0.2">
      <c r="A20" s="19" t="s">
        <v>118</v>
      </c>
      <c r="B20" s="20">
        <v>89539584</v>
      </c>
      <c r="C20" s="20">
        <f>-Data!K20</f>
        <v>-2120925</v>
      </c>
      <c r="D20" s="20">
        <f t="shared" si="0"/>
        <v>87418659</v>
      </c>
      <c r="E20" s="20">
        <f>-'- 15 -'!H20-'- 16 -'!B20</f>
        <v>-190777</v>
      </c>
      <c r="F20" s="20">
        <f t="shared" si="1"/>
        <v>87227882</v>
      </c>
    </row>
    <row r="21" spans="1:6" ht="14.1" customHeight="1" x14ac:dyDescent="0.2">
      <c r="A21" s="284" t="s">
        <v>119</v>
      </c>
      <c r="B21" s="285">
        <v>37658204</v>
      </c>
      <c r="C21" s="285">
        <f>-Data!K21</f>
        <v>-408370</v>
      </c>
      <c r="D21" s="285">
        <f t="shared" si="0"/>
        <v>37249834</v>
      </c>
      <c r="E21" s="285">
        <f>-'- 15 -'!H21-'- 16 -'!B21</f>
        <v>-284851</v>
      </c>
      <c r="F21" s="285">
        <f t="shared" si="1"/>
        <v>36964983</v>
      </c>
    </row>
    <row r="22" spans="1:6" ht="14.1" customHeight="1" x14ac:dyDescent="0.2">
      <c r="A22" s="19" t="s">
        <v>120</v>
      </c>
      <c r="B22" s="20">
        <v>20994891</v>
      </c>
      <c r="C22" s="20">
        <f>-Data!K22</f>
        <v>-22298</v>
      </c>
      <c r="D22" s="20">
        <f t="shared" si="0"/>
        <v>20972593</v>
      </c>
      <c r="E22" s="20">
        <f>-'- 15 -'!H22-'- 16 -'!B22</f>
        <v>-682965</v>
      </c>
      <c r="F22" s="20">
        <f t="shared" si="1"/>
        <v>20289628</v>
      </c>
    </row>
    <row r="23" spans="1:6" ht="14.1" customHeight="1" x14ac:dyDescent="0.2">
      <c r="A23" s="284" t="s">
        <v>121</v>
      </c>
      <c r="B23" s="285">
        <v>16048315</v>
      </c>
      <c r="C23" s="285">
        <f>-Data!K23</f>
        <v>-81810</v>
      </c>
      <c r="D23" s="285">
        <f t="shared" si="0"/>
        <v>15966505</v>
      </c>
      <c r="E23" s="285">
        <f>-'- 15 -'!H23-'- 16 -'!B23</f>
        <v>-562129</v>
      </c>
      <c r="F23" s="285">
        <f t="shared" si="1"/>
        <v>15404376</v>
      </c>
    </row>
    <row r="24" spans="1:6" ht="14.1" customHeight="1" x14ac:dyDescent="0.2">
      <c r="A24" s="19" t="s">
        <v>122</v>
      </c>
      <c r="B24" s="20">
        <v>58343946</v>
      </c>
      <c r="C24" s="20">
        <f>-Data!K24</f>
        <v>-437240</v>
      </c>
      <c r="D24" s="20">
        <f t="shared" si="0"/>
        <v>57906706</v>
      </c>
      <c r="E24" s="20">
        <f>-'- 15 -'!H24-'- 16 -'!B24</f>
        <v>-849211</v>
      </c>
      <c r="F24" s="20">
        <f t="shared" si="1"/>
        <v>57057495</v>
      </c>
    </row>
    <row r="25" spans="1:6" ht="14.1" customHeight="1" x14ac:dyDescent="0.2">
      <c r="A25" s="284" t="s">
        <v>123</v>
      </c>
      <c r="B25" s="285">
        <v>195405998</v>
      </c>
      <c r="C25" s="285">
        <f>-Data!K25</f>
        <v>-1114338</v>
      </c>
      <c r="D25" s="285">
        <f t="shared" si="0"/>
        <v>194291660</v>
      </c>
      <c r="E25" s="285">
        <f>-'- 15 -'!H25-'- 16 -'!B25</f>
        <v>-3627242</v>
      </c>
      <c r="F25" s="285">
        <f t="shared" si="1"/>
        <v>190664418</v>
      </c>
    </row>
    <row r="26" spans="1:6" ht="14.1" customHeight="1" x14ac:dyDescent="0.2">
      <c r="A26" s="19" t="s">
        <v>124</v>
      </c>
      <c r="B26" s="20">
        <v>40945539</v>
      </c>
      <c r="C26" s="20">
        <f>-Data!K26</f>
        <v>-13035</v>
      </c>
      <c r="D26" s="20">
        <f t="shared" si="0"/>
        <v>40932504</v>
      </c>
      <c r="E26" s="20">
        <f>-'- 15 -'!H26-'- 16 -'!B26</f>
        <v>-91243</v>
      </c>
      <c r="F26" s="20">
        <f t="shared" si="1"/>
        <v>40841261</v>
      </c>
    </row>
    <row r="27" spans="1:6" ht="14.1" customHeight="1" x14ac:dyDescent="0.2">
      <c r="A27" s="284" t="s">
        <v>125</v>
      </c>
      <c r="B27" s="285">
        <v>41237204</v>
      </c>
      <c r="C27" s="285">
        <f>-Data!K27</f>
        <v>-6600</v>
      </c>
      <c r="D27" s="285">
        <f t="shared" si="0"/>
        <v>41230604</v>
      </c>
      <c r="E27" s="285">
        <f>-'- 15 -'!H27-'- 16 -'!B27</f>
        <v>-1638</v>
      </c>
      <c r="F27" s="285">
        <f t="shared" si="1"/>
        <v>41228966</v>
      </c>
    </row>
    <row r="28" spans="1:6" ht="14.1" customHeight="1" x14ac:dyDescent="0.2">
      <c r="A28" s="19" t="s">
        <v>126</v>
      </c>
      <c r="B28" s="20">
        <v>29201311</v>
      </c>
      <c r="C28" s="20">
        <f>-Data!K28</f>
        <v>-135544</v>
      </c>
      <c r="D28" s="20">
        <f t="shared" si="0"/>
        <v>29065767</v>
      </c>
      <c r="E28" s="20">
        <f>-'- 15 -'!H28-'- 16 -'!B28</f>
        <v>-225626</v>
      </c>
      <c r="F28" s="20">
        <f t="shared" si="1"/>
        <v>28840141</v>
      </c>
    </row>
    <row r="29" spans="1:6" ht="14.1" customHeight="1" x14ac:dyDescent="0.2">
      <c r="A29" s="284" t="s">
        <v>127</v>
      </c>
      <c r="B29" s="285">
        <v>168610545</v>
      </c>
      <c r="C29" s="285">
        <f>-Data!K29</f>
        <v>-1909886</v>
      </c>
      <c r="D29" s="285">
        <f t="shared" si="0"/>
        <v>166700659</v>
      </c>
      <c r="E29" s="285">
        <f>-'- 15 -'!H29-'- 16 -'!B29</f>
        <v>-1093588</v>
      </c>
      <c r="F29" s="285">
        <f t="shared" si="1"/>
        <v>165607071</v>
      </c>
    </row>
    <row r="30" spans="1:6" ht="14.1" customHeight="1" x14ac:dyDescent="0.2">
      <c r="A30" s="19" t="s">
        <v>128</v>
      </c>
      <c r="B30" s="20">
        <v>15449026</v>
      </c>
      <c r="C30" s="20">
        <f>-Data!K30</f>
        <v>-35084</v>
      </c>
      <c r="D30" s="20">
        <f t="shared" si="0"/>
        <v>15413942</v>
      </c>
      <c r="E30" s="20">
        <f>-'- 15 -'!H30-'- 16 -'!B30</f>
        <v>-15953</v>
      </c>
      <c r="F30" s="20">
        <f t="shared" si="1"/>
        <v>15397989</v>
      </c>
    </row>
    <row r="31" spans="1:6" ht="14.1" customHeight="1" x14ac:dyDescent="0.2">
      <c r="A31" s="284" t="s">
        <v>129</v>
      </c>
      <c r="B31" s="285">
        <v>38799902</v>
      </c>
      <c r="C31" s="285">
        <f>-Data!K31</f>
        <v>-52650</v>
      </c>
      <c r="D31" s="285">
        <f t="shared" si="0"/>
        <v>38747252</v>
      </c>
      <c r="E31" s="285">
        <f>-'- 15 -'!H31-'- 16 -'!B31</f>
        <v>-59729</v>
      </c>
      <c r="F31" s="285">
        <f t="shared" si="1"/>
        <v>38687523</v>
      </c>
    </row>
    <row r="32" spans="1:6" ht="14.1" customHeight="1" x14ac:dyDescent="0.2">
      <c r="A32" s="19" t="s">
        <v>130</v>
      </c>
      <c r="B32" s="20">
        <v>30333850</v>
      </c>
      <c r="C32" s="20">
        <f>-Data!K32</f>
        <v>-254260</v>
      </c>
      <c r="D32" s="20">
        <f t="shared" si="0"/>
        <v>30079590</v>
      </c>
      <c r="E32" s="20">
        <f>-'- 15 -'!H32-'- 16 -'!B32</f>
        <v>-312234</v>
      </c>
      <c r="F32" s="20">
        <f t="shared" si="1"/>
        <v>29767356</v>
      </c>
    </row>
    <row r="33" spans="1:7" ht="14.1" customHeight="1" x14ac:dyDescent="0.2">
      <c r="A33" s="284" t="s">
        <v>131</v>
      </c>
      <c r="B33" s="285">
        <v>28117459</v>
      </c>
      <c r="C33" s="285">
        <f>-Data!K33</f>
        <v>-93294</v>
      </c>
      <c r="D33" s="285">
        <f t="shared" si="0"/>
        <v>28024165</v>
      </c>
      <c r="E33" s="285">
        <f>-'- 15 -'!H33-'- 16 -'!B33</f>
        <v>-27887</v>
      </c>
      <c r="F33" s="285">
        <f t="shared" si="1"/>
        <v>27996278</v>
      </c>
    </row>
    <row r="34" spans="1:7" ht="14.1" customHeight="1" x14ac:dyDescent="0.2">
      <c r="A34" s="19" t="s">
        <v>132</v>
      </c>
      <c r="B34" s="20">
        <v>31148185</v>
      </c>
      <c r="C34" s="20">
        <f>-Data!K34</f>
        <v>-385929</v>
      </c>
      <c r="D34" s="20">
        <f t="shared" si="0"/>
        <v>30762256</v>
      </c>
      <c r="E34" s="20">
        <f>-'- 15 -'!H34-'- 16 -'!B34</f>
        <v>-56424</v>
      </c>
      <c r="F34" s="20">
        <f t="shared" si="1"/>
        <v>30705832</v>
      </c>
    </row>
    <row r="35" spans="1:7" ht="14.1" customHeight="1" x14ac:dyDescent="0.2">
      <c r="A35" s="284" t="s">
        <v>133</v>
      </c>
      <c r="B35" s="285">
        <v>193487847</v>
      </c>
      <c r="C35" s="285">
        <f>-Data!K35</f>
        <v>-636126</v>
      </c>
      <c r="D35" s="285">
        <f t="shared" si="0"/>
        <v>192851721</v>
      </c>
      <c r="E35" s="285">
        <f>-'- 15 -'!H35-'- 16 -'!B35</f>
        <v>-2985650</v>
      </c>
      <c r="F35" s="285">
        <f t="shared" si="1"/>
        <v>189866071</v>
      </c>
    </row>
    <row r="36" spans="1:7" ht="14.1" customHeight="1" x14ac:dyDescent="0.2">
      <c r="A36" s="19" t="s">
        <v>134</v>
      </c>
      <c r="B36" s="20">
        <v>24359002</v>
      </c>
      <c r="C36" s="20">
        <f>-Data!K36</f>
        <v>-340780</v>
      </c>
      <c r="D36" s="20">
        <f t="shared" si="0"/>
        <v>24018222</v>
      </c>
      <c r="E36" s="20">
        <f>-'- 15 -'!H36-'- 16 -'!B36</f>
        <v>-150919</v>
      </c>
      <c r="F36" s="20">
        <f t="shared" si="1"/>
        <v>23867303</v>
      </c>
    </row>
    <row r="37" spans="1:7" ht="14.1" customHeight="1" x14ac:dyDescent="0.2">
      <c r="A37" s="284" t="s">
        <v>135</v>
      </c>
      <c r="B37" s="285">
        <v>54289010</v>
      </c>
      <c r="C37" s="285">
        <f>-Data!K37</f>
        <v>-645591</v>
      </c>
      <c r="D37" s="285">
        <f t="shared" si="0"/>
        <v>53643419</v>
      </c>
      <c r="E37" s="285">
        <f>-'- 15 -'!H37-'- 16 -'!B37</f>
        <v>-771105</v>
      </c>
      <c r="F37" s="285">
        <f t="shared" si="1"/>
        <v>52872314</v>
      </c>
    </row>
    <row r="38" spans="1:7" ht="14.1" customHeight="1" x14ac:dyDescent="0.2">
      <c r="A38" s="19" t="s">
        <v>136</v>
      </c>
      <c r="B38" s="20">
        <v>145291779</v>
      </c>
      <c r="C38" s="20">
        <f>-Data!K38</f>
        <v>-1067038</v>
      </c>
      <c r="D38" s="20">
        <f t="shared" si="0"/>
        <v>144224741</v>
      </c>
      <c r="E38" s="20">
        <f>-'- 15 -'!H38-'- 16 -'!B38</f>
        <v>-4373149</v>
      </c>
      <c r="F38" s="20">
        <f t="shared" si="1"/>
        <v>139851592</v>
      </c>
    </row>
    <row r="39" spans="1:7" ht="14.1" customHeight="1" x14ac:dyDescent="0.2">
      <c r="A39" s="284" t="s">
        <v>137</v>
      </c>
      <c r="B39" s="285">
        <v>22587054</v>
      </c>
      <c r="C39" s="285">
        <f>-Data!K39</f>
        <v>-260581</v>
      </c>
      <c r="D39" s="285">
        <f t="shared" si="0"/>
        <v>22326473</v>
      </c>
      <c r="E39" s="285">
        <f>-'- 15 -'!H39-'- 16 -'!B39</f>
        <v>-166421</v>
      </c>
      <c r="F39" s="285">
        <f t="shared" si="1"/>
        <v>22160052</v>
      </c>
    </row>
    <row r="40" spans="1:7" ht="14.1" customHeight="1" x14ac:dyDescent="0.2">
      <c r="A40" s="19" t="s">
        <v>138</v>
      </c>
      <c r="B40" s="20">
        <v>107072120</v>
      </c>
      <c r="C40" s="20">
        <f>-Data!K40</f>
        <v>-433314</v>
      </c>
      <c r="D40" s="20">
        <f t="shared" si="0"/>
        <v>106638806</v>
      </c>
      <c r="E40" s="20">
        <f>-'- 15 -'!H40-'- 16 -'!B40</f>
        <v>-949376</v>
      </c>
      <c r="F40" s="20">
        <f t="shared" si="1"/>
        <v>105689430</v>
      </c>
    </row>
    <row r="41" spans="1:7" ht="14.1" customHeight="1" x14ac:dyDescent="0.2">
      <c r="A41" s="284" t="s">
        <v>139</v>
      </c>
      <c r="B41" s="285">
        <v>66290398</v>
      </c>
      <c r="C41" s="285">
        <f>-Data!K41</f>
        <v>-763700</v>
      </c>
      <c r="D41" s="285">
        <f t="shared" si="0"/>
        <v>65526698</v>
      </c>
      <c r="E41" s="285">
        <f>-'- 15 -'!H41-'- 16 -'!B41</f>
        <v>-1278644</v>
      </c>
      <c r="F41" s="285">
        <f t="shared" si="1"/>
        <v>64248054</v>
      </c>
    </row>
    <row r="42" spans="1:7" ht="14.1" customHeight="1" x14ac:dyDescent="0.2">
      <c r="A42" s="19" t="s">
        <v>140</v>
      </c>
      <c r="B42" s="20">
        <v>20913105</v>
      </c>
      <c r="C42" s="20">
        <f>-Data!K42</f>
        <v>-60000</v>
      </c>
      <c r="D42" s="20">
        <f t="shared" si="0"/>
        <v>20853105</v>
      </c>
      <c r="E42" s="20">
        <f>-'- 15 -'!H42-'- 16 -'!B42</f>
        <v>-38268</v>
      </c>
      <c r="F42" s="20">
        <f t="shared" si="1"/>
        <v>20814837</v>
      </c>
    </row>
    <row r="43" spans="1:7" ht="14.1" customHeight="1" x14ac:dyDescent="0.2">
      <c r="A43" s="284" t="s">
        <v>141</v>
      </c>
      <c r="B43" s="285">
        <v>13801301</v>
      </c>
      <c r="C43" s="285">
        <f>-Data!K43</f>
        <v>-29250</v>
      </c>
      <c r="D43" s="285">
        <f t="shared" si="0"/>
        <v>13772051</v>
      </c>
      <c r="E43" s="285">
        <f>-'- 15 -'!H43-'- 16 -'!B43</f>
        <v>-223012</v>
      </c>
      <c r="F43" s="285">
        <f t="shared" si="1"/>
        <v>13549039</v>
      </c>
    </row>
    <row r="44" spans="1:7" ht="14.1" customHeight="1" x14ac:dyDescent="0.2">
      <c r="A44" s="19" t="s">
        <v>142</v>
      </c>
      <c r="B44" s="20">
        <v>11310238</v>
      </c>
      <c r="C44" s="20">
        <f>-Data!K44</f>
        <v>-164163</v>
      </c>
      <c r="D44" s="20">
        <f t="shared" si="0"/>
        <v>11146075</v>
      </c>
      <c r="E44" s="20">
        <f>-'- 15 -'!H44-'- 16 -'!B44</f>
        <v>-25484</v>
      </c>
      <c r="F44" s="20">
        <f t="shared" si="1"/>
        <v>11120591</v>
      </c>
    </row>
    <row r="45" spans="1:7" ht="14.1" customHeight="1" x14ac:dyDescent="0.2">
      <c r="A45" s="284" t="s">
        <v>143</v>
      </c>
      <c r="B45" s="285">
        <v>20637481</v>
      </c>
      <c r="C45" s="285">
        <f>-Data!K45</f>
        <v>-122993</v>
      </c>
      <c r="D45" s="285">
        <f t="shared" si="0"/>
        <v>20514488</v>
      </c>
      <c r="E45" s="285">
        <f>-'- 15 -'!H45-'- 16 -'!B45</f>
        <v>-442957</v>
      </c>
      <c r="F45" s="285">
        <f t="shared" si="1"/>
        <v>20071531</v>
      </c>
    </row>
    <row r="46" spans="1:7" ht="14.1" customHeight="1" x14ac:dyDescent="0.2">
      <c r="A46" s="19" t="s">
        <v>144</v>
      </c>
      <c r="B46" s="20">
        <v>403745185</v>
      </c>
      <c r="C46" s="20">
        <f>-Data!K46</f>
        <v>-2296621</v>
      </c>
      <c r="D46" s="20">
        <f t="shared" si="0"/>
        <v>401448564</v>
      </c>
      <c r="E46" s="20">
        <f>-'- 15 -'!H46-'- 16 -'!B46</f>
        <v>-10329861</v>
      </c>
      <c r="F46" s="20">
        <f t="shared" si="1"/>
        <v>391118703</v>
      </c>
    </row>
    <row r="47" spans="1:7" ht="5.0999999999999996" customHeight="1" x14ac:dyDescent="0.2">
      <c r="A47"/>
      <c r="B47" s="22"/>
      <c r="C47"/>
      <c r="D47"/>
      <c r="E47"/>
      <c r="F47"/>
      <c r="G47"/>
    </row>
    <row r="48" spans="1:7" ht="14.1" customHeight="1" x14ac:dyDescent="0.2">
      <c r="A48" s="286" t="s">
        <v>145</v>
      </c>
      <c r="B48" s="287">
        <f>SUM(B11:B46)</f>
        <v>2418150519</v>
      </c>
      <c r="C48" s="287">
        <f>SUM(C11:C46)</f>
        <v>-21945719</v>
      </c>
      <c r="D48" s="287">
        <f>SUM(D11:D46)</f>
        <v>2396204800</v>
      </c>
      <c r="E48" s="287">
        <f>SUM(E11:E46)</f>
        <v>-37281303</v>
      </c>
      <c r="F48" s="287">
        <f>SUM(F11:F46)</f>
        <v>2358923497</v>
      </c>
    </row>
    <row r="49" spans="1:6" ht="5.0999999999999996" customHeight="1" x14ac:dyDescent="0.2">
      <c r="A49" s="21" t="s">
        <v>7</v>
      </c>
      <c r="B49" s="22"/>
      <c r="C49" s="22"/>
      <c r="D49" s="22"/>
      <c r="E49" s="22"/>
      <c r="F49" s="22"/>
    </row>
    <row r="50" spans="1:6" ht="14.1" customHeight="1" x14ac:dyDescent="0.2">
      <c r="A50" s="19" t="s">
        <v>146</v>
      </c>
      <c r="B50" s="20">
        <v>3408605</v>
      </c>
      <c r="C50" s="20">
        <f>-Data!K50</f>
        <v>-11392</v>
      </c>
      <c r="D50" s="20">
        <f>B50+C50</f>
        <v>3397213</v>
      </c>
      <c r="E50" s="20">
        <f>-'- 15 -'!H50-'- 16 -'!B50</f>
        <v>-96225</v>
      </c>
      <c r="F50" s="20">
        <f>D50+E50</f>
        <v>3300988</v>
      </c>
    </row>
    <row r="51" spans="1:6" ht="14.1" customHeight="1" x14ac:dyDescent="0.2">
      <c r="A51" s="284" t="s">
        <v>601</v>
      </c>
      <c r="B51" s="285">
        <v>31676875</v>
      </c>
      <c r="C51" s="285">
        <f>-Data!K51</f>
        <v>-255109</v>
      </c>
      <c r="D51" s="285">
        <f>B51+C51</f>
        <v>31421766</v>
      </c>
      <c r="E51" s="285">
        <f>-'- 15 -'!H51-'- 16 -'!B51</f>
        <v>-12203652</v>
      </c>
      <c r="F51" s="285">
        <f>D51+E51</f>
        <v>19218114</v>
      </c>
    </row>
    <row r="52" spans="1:6" ht="50.1" customHeight="1" x14ac:dyDescent="0.2">
      <c r="A52" s="23"/>
      <c r="B52" s="23"/>
      <c r="C52" s="23"/>
      <c r="D52" s="23"/>
      <c r="E52" s="23"/>
      <c r="F52" s="23"/>
    </row>
    <row r="53" spans="1:6" ht="14.45" customHeight="1" x14ac:dyDescent="0.2">
      <c r="A53" s="2" t="s">
        <v>339</v>
      </c>
    </row>
    <row r="54" spans="1:6" ht="12" customHeight="1" x14ac:dyDescent="0.2">
      <c r="A54" s="599" t="s">
        <v>445</v>
      </c>
      <c r="B54" s="599"/>
      <c r="C54" s="599"/>
      <c r="D54" s="599"/>
      <c r="E54" s="599"/>
      <c r="F54" s="599"/>
    </row>
    <row r="55" spans="1:6" ht="12" customHeight="1" x14ac:dyDescent="0.2">
      <c r="A55" s="599"/>
      <c r="B55" s="599"/>
      <c r="C55" s="599"/>
      <c r="D55" s="599"/>
      <c r="E55" s="599"/>
      <c r="F55" s="599"/>
    </row>
    <row r="56" spans="1:6" ht="12" customHeight="1" x14ac:dyDescent="0.2">
      <c r="A56" s="2" t="s">
        <v>340</v>
      </c>
    </row>
    <row r="57" spans="1:6" ht="12" customHeight="1" x14ac:dyDescent="0.2">
      <c r="A57" s="2" t="s">
        <v>341</v>
      </c>
    </row>
    <row r="58" spans="1:6" ht="12" customHeight="1" x14ac:dyDescent="0.2">
      <c r="A58" s="2" t="s">
        <v>342</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J52"/>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14.83203125" style="2" customWidth="1"/>
    <col min="5" max="5" width="10.5" style="2" customWidth="1"/>
    <col min="6" max="6" width="18.83203125" style="2" customWidth="1"/>
    <col min="7" max="7" width="8.83203125" style="2" customWidth="1"/>
    <col min="8" max="8" width="16.83203125" style="2" customWidth="1"/>
    <col min="9" max="9" width="8.83203125" style="2" customWidth="1"/>
    <col min="10" max="16384" width="15.83203125" style="2"/>
  </cols>
  <sheetData>
    <row r="1" spans="1:9" ht="6.95" customHeight="1" x14ac:dyDescent="0.2">
      <c r="A1" s="7"/>
      <c r="B1" s="8"/>
      <c r="C1" s="8"/>
      <c r="D1" s="8"/>
      <c r="E1" s="8"/>
      <c r="F1" s="8"/>
      <c r="G1" s="8"/>
      <c r="H1" s="8"/>
      <c r="I1" s="8"/>
    </row>
    <row r="2" spans="1:9" ht="15.95" customHeight="1" x14ac:dyDescent="0.2">
      <c r="A2" s="134"/>
      <c r="B2" s="9" t="s">
        <v>263</v>
      </c>
      <c r="C2" s="10"/>
      <c r="D2" s="10"/>
      <c r="E2" s="10"/>
      <c r="F2" s="10"/>
      <c r="G2" s="73"/>
      <c r="H2" s="73"/>
      <c r="I2" s="395" t="s">
        <v>404</v>
      </c>
    </row>
    <row r="3" spans="1:9" ht="15.95" customHeight="1" x14ac:dyDescent="0.2">
      <c r="A3" s="541"/>
      <c r="B3" s="11" t="str">
        <f>OPYEAR</f>
        <v>OPERATING FUND 2018/2019 ACTUAL</v>
      </c>
      <c r="C3" s="12"/>
      <c r="D3" s="12"/>
      <c r="E3" s="12"/>
      <c r="F3" s="12"/>
      <c r="G3" s="75"/>
      <c r="H3" s="75"/>
      <c r="I3" s="66"/>
    </row>
    <row r="4" spans="1:9" ht="15.95" customHeight="1" x14ac:dyDescent="0.2">
      <c r="B4" s="8"/>
      <c r="C4" s="8"/>
      <c r="D4" s="8"/>
      <c r="E4" s="8"/>
      <c r="F4" s="8"/>
      <c r="G4" s="8"/>
      <c r="H4" s="8"/>
      <c r="I4" s="8"/>
    </row>
    <row r="5" spans="1:9" ht="15.95" customHeight="1" x14ac:dyDescent="0.2">
      <c r="B5" s="557" t="s">
        <v>14</v>
      </c>
      <c r="C5" s="558"/>
      <c r="D5" s="166"/>
      <c r="E5" s="166"/>
      <c r="F5" s="166"/>
      <c r="G5" s="166"/>
      <c r="H5" s="166"/>
      <c r="I5" s="167"/>
    </row>
    <row r="6" spans="1:9" ht="15.95" customHeight="1" x14ac:dyDescent="0.2">
      <c r="B6" s="319"/>
      <c r="C6" s="320"/>
      <c r="D6" s="657" t="s">
        <v>485</v>
      </c>
      <c r="E6" s="650"/>
      <c r="F6" s="336"/>
      <c r="G6" s="337"/>
      <c r="H6" s="309"/>
      <c r="I6" s="310"/>
    </row>
    <row r="7" spans="1:9" ht="15.95" customHeight="1" x14ac:dyDescent="0.2">
      <c r="B7" s="690" t="s">
        <v>484</v>
      </c>
      <c r="C7" s="691"/>
      <c r="D7" s="692"/>
      <c r="E7" s="693"/>
      <c r="F7" s="694" t="s">
        <v>486</v>
      </c>
      <c r="G7" s="693"/>
      <c r="H7" s="694" t="s">
        <v>487</v>
      </c>
      <c r="I7" s="693"/>
    </row>
    <row r="8" spans="1:9" ht="15.95" customHeight="1" x14ac:dyDescent="0.2">
      <c r="A8" s="403"/>
      <c r="B8" s="678"/>
      <c r="C8" s="679"/>
      <c r="D8" s="658"/>
      <c r="E8" s="652"/>
      <c r="F8" s="651"/>
      <c r="G8" s="652"/>
      <c r="H8" s="651"/>
      <c r="I8" s="652"/>
    </row>
    <row r="9" spans="1:9" ht="15.95" customHeight="1" x14ac:dyDescent="0.2">
      <c r="A9" s="35" t="s">
        <v>42</v>
      </c>
      <c r="B9" s="77" t="s">
        <v>43</v>
      </c>
      <c r="C9" s="77" t="s">
        <v>44</v>
      </c>
      <c r="D9" s="168" t="s">
        <v>43</v>
      </c>
      <c r="E9" s="168" t="s">
        <v>44</v>
      </c>
      <c r="F9" s="168" t="s">
        <v>43</v>
      </c>
      <c r="G9" s="168" t="s">
        <v>44</v>
      </c>
      <c r="H9" s="168" t="s">
        <v>43</v>
      </c>
      <c r="I9" s="168" t="s">
        <v>44</v>
      </c>
    </row>
    <row r="10" spans="1:9" ht="5.0999999999999996" customHeight="1" x14ac:dyDescent="0.2">
      <c r="A10" s="6"/>
    </row>
    <row r="11" spans="1:9" ht="14.1" customHeight="1" x14ac:dyDescent="0.2">
      <c r="A11" s="284" t="s">
        <v>110</v>
      </c>
      <c r="B11" s="285">
        <v>0</v>
      </c>
      <c r="C11" s="291">
        <f>B11/'- 3 -'!$D11*100</f>
        <v>0</v>
      </c>
      <c r="D11" s="285">
        <v>0</v>
      </c>
      <c r="E11" s="291">
        <f>D11/'- 3 -'!$D11*100</f>
        <v>0</v>
      </c>
      <c r="F11" s="285">
        <v>0</v>
      </c>
      <c r="G11" s="291">
        <f>F11/'- 3 -'!$D11*100</f>
        <v>0</v>
      </c>
      <c r="H11" s="285">
        <v>16302</v>
      </c>
      <c r="I11" s="291">
        <f>H11/'- 3 -'!$D11*100</f>
        <v>8.1142671184680507E-2</v>
      </c>
    </row>
    <row r="12" spans="1:9" ht="14.1" customHeight="1" x14ac:dyDescent="0.2">
      <c r="A12" s="19" t="s">
        <v>111</v>
      </c>
      <c r="B12" s="20">
        <v>0</v>
      </c>
      <c r="C12" s="70">
        <f>B12/'- 3 -'!$D12*100</f>
        <v>0</v>
      </c>
      <c r="D12" s="20">
        <v>0</v>
      </c>
      <c r="E12" s="70">
        <f>D12/'- 3 -'!$D12*100</f>
        <v>0</v>
      </c>
      <c r="F12" s="20">
        <v>0</v>
      </c>
      <c r="G12" s="70">
        <f>F12/'- 3 -'!$D12*100</f>
        <v>0</v>
      </c>
      <c r="H12" s="20">
        <v>76076</v>
      </c>
      <c r="I12" s="70">
        <f>H12/'- 3 -'!$D12*100</f>
        <v>0.22448050891533683</v>
      </c>
    </row>
    <row r="13" spans="1:9" ht="14.1" customHeight="1" x14ac:dyDescent="0.2">
      <c r="A13" s="284" t="s">
        <v>112</v>
      </c>
      <c r="B13" s="285">
        <v>0</v>
      </c>
      <c r="C13" s="291">
        <f>B13/'- 3 -'!$D13*100</f>
        <v>0</v>
      </c>
      <c r="D13" s="285">
        <v>0</v>
      </c>
      <c r="E13" s="291">
        <f>D13/'- 3 -'!$D13*100</f>
        <v>0</v>
      </c>
      <c r="F13" s="285">
        <v>134179</v>
      </c>
      <c r="G13" s="291">
        <f>F13/'- 3 -'!$D13*100</f>
        <v>0.13297026966557787</v>
      </c>
      <c r="H13" s="285">
        <v>176782</v>
      </c>
      <c r="I13" s="291">
        <f>H13/'- 3 -'!$D13*100</f>
        <v>0.17518948726715944</v>
      </c>
    </row>
    <row r="14" spans="1:9" ht="14.1" customHeight="1" x14ac:dyDescent="0.2">
      <c r="A14" s="19" t="s">
        <v>359</v>
      </c>
      <c r="B14" s="20">
        <v>0</v>
      </c>
      <c r="C14" s="70">
        <f>B14/'- 3 -'!$D14*100</f>
        <v>0</v>
      </c>
      <c r="D14" s="20">
        <v>0</v>
      </c>
      <c r="E14" s="70">
        <f>D14/'- 3 -'!$D14*100</f>
        <v>0</v>
      </c>
      <c r="F14" s="20">
        <v>0</v>
      </c>
      <c r="G14" s="70">
        <f>F14/'- 3 -'!$D14*100</f>
        <v>0</v>
      </c>
      <c r="H14" s="20">
        <v>1245216</v>
      </c>
      <c r="I14" s="70">
        <f>H14/'- 3 -'!$D14*100</f>
        <v>1.3639282653490317</v>
      </c>
    </row>
    <row r="15" spans="1:9" ht="14.1" customHeight="1" x14ac:dyDescent="0.2">
      <c r="A15" s="284" t="s">
        <v>113</v>
      </c>
      <c r="B15" s="285">
        <v>0</v>
      </c>
      <c r="C15" s="291">
        <f>B15/'- 3 -'!$D15*100</f>
        <v>0</v>
      </c>
      <c r="D15" s="285">
        <v>0</v>
      </c>
      <c r="E15" s="291">
        <f>D15/'- 3 -'!$D15*100</f>
        <v>0</v>
      </c>
      <c r="F15" s="285">
        <v>0</v>
      </c>
      <c r="G15" s="291">
        <f>F15/'- 3 -'!$D15*100</f>
        <v>0</v>
      </c>
      <c r="H15" s="285">
        <v>67158</v>
      </c>
      <c r="I15" s="291">
        <f>H15/'- 3 -'!$D15*100</f>
        <v>0.33157090938498529</v>
      </c>
    </row>
    <row r="16" spans="1:9" ht="14.1" customHeight="1" x14ac:dyDescent="0.2">
      <c r="A16" s="19" t="s">
        <v>114</v>
      </c>
      <c r="B16" s="20">
        <v>0</v>
      </c>
      <c r="C16" s="70">
        <f>B16/'- 3 -'!$D16*100</f>
        <v>0</v>
      </c>
      <c r="D16" s="20">
        <v>0</v>
      </c>
      <c r="E16" s="70">
        <f>D16/'- 3 -'!$D16*100</f>
        <v>0</v>
      </c>
      <c r="F16" s="20">
        <v>0</v>
      </c>
      <c r="G16" s="70">
        <f>F16/'- 3 -'!$D16*100</f>
        <v>0</v>
      </c>
      <c r="H16" s="20">
        <v>8840</v>
      </c>
      <c r="I16" s="70">
        <f>H16/'- 3 -'!$D16*100</f>
        <v>5.8792450942887257E-2</v>
      </c>
    </row>
    <row r="17" spans="1:9" ht="14.1" customHeight="1" x14ac:dyDescent="0.2">
      <c r="A17" s="284" t="s">
        <v>115</v>
      </c>
      <c r="B17" s="285">
        <v>0</v>
      </c>
      <c r="C17" s="291">
        <f>B17/'- 3 -'!$D17*100</f>
        <v>0</v>
      </c>
      <c r="D17" s="285">
        <v>0</v>
      </c>
      <c r="E17" s="291">
        <f>D17/'- 3 -'!$D17*100</f>
        <v>0</v>
      </c>
      <c r="F17" s="285">
        <v>80523</v>
      </c>
      <c r="G17" s="291">
        <f>F17/'- 3 -'!$D17*100</f>
        <v>0.43777598513052385</v>
      </c>
      <c r="H17" s="285">
        <v>203273</v>
      </c>
      <c r="I17" s="291">
        <f>H17/'- 3 -'!$D17*100</f>
        <v>1.1051257134661769</v>
      </c>
    </row>
    <row r="18" spans="1:9" ht="14.1" customHeight="1" x14ac:dyDescent="0.2">
      <c r="A18" s="19" t="s">
        <v>116</v>
      </c>
      <c r="B18" s="20">
        <v>0</v>
      </c>
      <c r="C18" s="70">
        <f>B18/'- 3 -'!$D18*100</f>
        <v>0</v>
      </c>
      <c r="D18" s="20">
        <v>0</v>
      </c>
      <c r="E18" s="70">
        <f>D18/'- 3 -'!$D18*100</f>
        <v>0</v>
      </c>
      <c r="F18" s="20">
        <v>1046117</v>
      </c>
      <c r="G18" s="70">
        <f>F18/'- 3 -'!$D18*100</f>
        <v>0.77772581293441456</v>
      </c>
      <c r="H18" s="20">
        <v>1433716</v>
      </c>
      <c r="I18" s="70">
        <f>H18/'- 3 -'!$D18*100</f>
        <v>1.065882632264916</v>
      </c>
    </row>
    <row r="19" spans="1:9" ht="14.1" customHeight="1" x14ac:dyDescent="0.2">
      <c r="A19" s="284" t="s">
        <v>117</v>
      </c>
      <c r="B19" s="285">
        <v>0</v>
      </c>
      <c r="C19" s="291">
        <f>B19/'- 3 -'!$D19*100</f>
        <v>0</v>
      </c>
      <c r="D19" s="285">
        <v>0</v>
      </c>
      <c r="E19" s="291">
        <f>D19/'- 3 -'!$D19*100</f>
        <v>0</v>
      </c>
      <c r="F19" s="285">
        <v>0</v>
      </c>
      <c r="G19" s="291">
        <f>F19/'- 3 -'!$D19*100</f>
        <v>0</v>
      </c>
      <c r="H19" s="285">
        <v>72642</v>
      </c>
      <c r="I19" s="291">
        <f>H19/'- 3 -'!$D19*100</f>
        <v>0.14499908549694362</v>
      </c>
    </row>
    <row r="20" spans="1:9" ht="14.1" customHeight="1" x14ac:dyDescent="0.2">
      <c r="A20" s="19" t="s">
        <v>118</v>
      </c>
      <c r="B20" s="20">
        <v>0</v>
      </c>
      <c r="C20" s="70">
        <f>B20/'- 3 -'!$D20*100</f>
        <v>0</v>
      </c>
      <c r="D20" s="20">
        <v>0</v>
      </c>
      <c r="E20" s="70">
        <f>D20/'- 3 -'!$D20*100</f>
        <v>0</v>
      </c>
      <c r="F20" s="20">
        <v>0</v>
      </c>
      <c r="G20" s="70">
        <f>F20/'- 3 -'!$D20*100</f>
        <v>0</v>
      </c>
      <c r="H20" s="20">
        <v>190777</v>
      </c>
      <c r="I20" s="70">
        <f>H20/'- 3 -'!$D20*100</f>
        <v>0.21823372971209726</v>
      </c>
    </row>
    <row r="21" spans="1:9" ht="14.1" customHeight="1" x14ac:dyDescent="0.2">
      <c r="A21" s="284" t="s">
        <v>119</v>
      </c>
      <c r="B21" s="285">
        <v>147722</v>
      </c>
      <c r="C21" s="291">
        <f>B21/'- 3 -'!$D21*100</f>
        <v>0.39657089478573249</v>
      </c>
      <c r="D21" s="285">
        <v>0</v>
      </c>
      <c r="E21" s="291">
        <f>D21/'- 3 -'!$D21*100</f>
        <v>0</v>
      </c>
      <c r="F21" s="285">
        <v>0</v>
      </c>
      <c r="G21" s="291">
        <f>F21/'- 3 -'!$D21*100</f>
        <v>0</v>
      </c>
      <c r="H21" s="285">
        <v>137129</v>
      </c>
      <c r="I21" s="291">
        <f>H21/'- 3 -'!$D21*100</f>
        <v>0.36813318416398849</v>
      </c>
    </row>
    <row r="22" spans="1:9" ht="14.1" customHeight="1" x14ac:dyDescent="0.2">
      <c r="A22" s="19" t="s">
        <v>120</v>
      </c>
      <c r="B22" s="20">
        <v>0</v>
      </c>
      <c r="C22" s="70">
        <f>B22/'- 3 -'!$D22*100</f>
        <v>0</v>
      </c>
      <c r="D22" s="20">
        <v>0</v>
      </c>
      <c r="E22" s="70">
        <f>D22/'- 3 -'!$D22*100</f>
        <v>0</v>
      </c>
      <c r="F22" s="20">
        <v>61035</v>
      </c>
      <c r="G22" s="70">
        <f>F22/'- 3 -'!$D22*100</f>
        <v>0.29102266944292488</v>
      </c>
      <c r="H22" s="20">
        <v>0</v>
      </c>
      <c r="I22" s="70">
        <f>H22/'- 3 -'!$D22*100</f>
        <v>0</v>
      </c>
    </row>
    <row r="23" spans="1:9" ht="14.1" customHeight="1" x14ac:dyDescent="0.2">
      <c r="A23" s="284" t="s">
        <v>121</v>
      </c>
      <c r="B23" s="285">
        <v>117047</v>
      </c>
      <c r="C23" s="291">
        <f>B23/'- 3 -'!$D23*100</f>
        <v>0.73307840382099909</v>
      </c>
      <c r="D23" s="285">
        <v>151835</v>
      </c>
      <c r="E23" s="291">
        <f>D23/'- 3 -'!$D23*100</f>
        <v>0.95095952432921282</v>
      </c>
      <c r="F23" s="285">
        <v>0</v>
      </c>
      <c r="G23" s="291">
        <f>F23/'- 3 -'!$D23*100</f>
        <v>0</v>
      </c>
      <c r="H23" s="285">
        <v>25303</v>
      </c>
      <c r="I23" s="291">
        <f>H23/'- 3 -'!$D23*100</f>
        <v>0.15847550857247719</v>
      </c>
    </row>
    <row r="24" spans="1:9" ht="14.1" customHeight="1" x14ac:dyDescent="0.2">
      <c r="A24" s="19" t="s">
        <v>122</v>
      </c>
      <c r="B24" s="20">
        <v>278065</v>
      </c>
      <c r="C24" s="70">
        <f>B24/'- 3 -'!$D24*100</f>
        <v>0.48019481543294829</v>
      </c>
      <c r="D24" s="20">
        <v>0</v>
      </c>
      <c r="E24" s="70">
        <f>D24/'- 3 -'!$D24*100</f>
        <v>0</v>
      </c>
      <c r="F24" s="20">
        <v>239453</v>
      </c>
      <c r="G24" s="70">
        <f>F24/'- 3 -'!$D24*100</f>
        <v>0.41351514624230229</v>
      </c>
      <c r="H24" s="20">
        <v>0</v>
      </c>
      <c r="I24" s="70">
        <f>H24/'- 3 -'!$D24*100</f>
        <v>0</v>
      </c>
    </row>
    <row r="25" spans="1:9" ht="14.1" customHeight="1" x14ac:dyDescent="0.2">
      <c r="A25" s="284" t="s">
        <v>123</v>
      </c>
      <c r="B25" s="285">
        <v>307330</v>
      </c>
      <c r="C25" s="291">
        <f>B25/'- 3 -'!$D25*100</f>
        <v>0.15817971805892234</v>
      </c>
      <c r="D25" s="285">
        <v>206343</v>
      </c>
      <c r="E25" s="291">
        <f>D25/'- 3 -'!$D25*100</f>
        <v>0.10620270576719557</v>
      </c>
      <c r="F25" s="285">
        <v>953199</v>
      </c>
      <c r="G25" s="291">
        <f>F25/'- 3 -'!$D25*100</f>
        <v>0.4906021184851681</v>
      </c>
      <c r="H25" s="285">
        <v>1084023</v>
      </c>
      <c r="I25" s="291">
        <f>H25/'- 3 -'!$D25*100</f>
        <v>0.55793594022512338</v>
      </c>
    </row>
    <row r="26" spans="1:9" ht="14.1" customHeight="1" x14ac:dyDescent="0.2">
      <c r="A26" s="19" t="s">
        <v>124</v>
      </c>
      <c r="B26" s="20">
        <v>0</v>
      </c>
      <c r="C26" s="70">
        <f>B26/'- 3 -'!$D26*100</f>
        <v>0</v>
      </c>
      <c r="D26" s="20">
        <v>0</v>
      </c>
      <c r="E26" s="70">
        <f>D26/'- 3 -'!$D26*100</f>
        <v>0</v>
      </c>
      <c r="F26" s="20">
        <v>0</v>
      </c>
      <c r="G26" s="70">
        <f>F26/'- 3 -'!$D26*100</f>
        <v>0</v>
      </c>
      <c r="H26" s="20">
        <v>91243</v>
      </c>
      <c r="I26" s="70">
        <f>H26/'- 3 -'!$D26*100</f>
        <v>0.2229108680964155</v>
      </c>
    </row>
    <row r="27" spans="1:9" ht="14.1" customHeight="1" x14ac:dyDescent="0.2">
      <c r="A27" s="284" t="s">
        <v>125</v>
      </c>
      <c r="B27" s="285">
        <v>0</v>
      </c>
      <c r="C27" s="291">
        <f>B27/'- 3 -'!$D27*100</f>
        <v>0</v>
      </c>
      <c r="D27" s="285">
        <v>0</v>
      </c>
      <c r="E27" s="291">
        <f>D27/'- 3 -'!$D27*100</f>
        <v>0</v>
      </c>
      <c r="F27" s="285">
        <v>0</v>
      </c>
      <c r="G27" s="291">
        <f>F27/'- 3 -'!$D27*100</f>
        <v>0</v>
      </c>
      <c r="H27" s="285">
        <v>1638</v>
      </c>
      <c r="I27" s="291">
        <f>H27/'- 3 -'!$D27*100</f>
        <v>3.9727771147859007E-3</v>
      </c>
    </row>
    <row r="28" spans="1:9" ht="14.1" customHeight="1" x14ac:dyDescent="0.2">
      <c r="A28" s="19" t="s">
        <v>126</v>
      </c>
      <c r="B28" s="20">
        <v>0</v>
      </c>
      <c r="C28" s="70">
        <f>B28/'- 3 -'!$D28*100</f>
        <v>0</v>
      </c>
      <c r="D28" s="20">
        <v>0</v>
      </c>
      <c r="E28" s="70">
        <f>D28/'- 3 -'!$D28*100</f>
        <v>0</v>
      </c>
      <c r="F28" s="20">
        <v>0</v>
      </c>
      <c r="G28" s="70">
        <f>F28/'- 3 -'!$D28*100</f>
        <v>0</v>
      </c>
      <c r="H28" s="20">
        <v>119057</v>
      </c>
      <c r="I28" s="70">
        <f>H28/'- 3 -'!$D28*100</f>
        <v>0.40961244889907772</v>
      </c>
    </row>
    <row r="29" spans="1:9" ht="14.1" customHeight="1" x14ac:dyDescent="0.2">
      <c r="A29" s="284" t="s">
        <v>127</v>
      </c>
      <c r="B29" s="285">
        <v>0</v>
      </c>
      <c r="C29" s="291">
        <f>B29/'- 3 -'!$D29*100</f>
        <v>0</v>
      </c>
      <c r="D29" s="285">
        <v>0</v>
      </c>
      <c r="E29" s="291">
        <f>D29/'- 3 -'!$D29*100</f>
        <v>0</v>
      </c>
      <c r="F29" s="285">
        <v>741186</v>
      </c>
      <c r="G29" s="291">
        <f>F29/'- 3 -'!$D29*100</f>
        <v>0.44462091778533402</v>
      </c>
      <c r="H29" s="285">
        <v>352402</v>
      </c>
      <c r="I29" s="291">
        <f>H29/'- 3 -'!$D29*100</f>
        <v>0.21139808451507083</v>
      </c>
    </row>
    <row r="30" spans="1:9" ht="14.1" customHeight="1" x14ac:dyDescent="0.2">
      <c r="A30" s="19" t="s">
        <v>128</v>
      </c>
      <c r="B30" s="20">
        <v>0</v>
      </c>
      <c r="C30" s="70">
        <f>B30/'- 3 -'!$D30*100</f>
        <v>0</v>
      </c>
      <c r="D30" s="20">
        <v>0</v>
      </c>
      <c r="E30" s="70">
        <f>D30/'- 3 -'!$D30*100</f>
        <v>0</v>
      </c>
      <c r="F30" s="20">
        <v>0</v>
      </c>
      <c r="G30" s="70">
        <f>F30/'- 3 -'!$D30*100</f>
        <v>0</v>
      </c>
      <c r="H30" s="20">
        <v>15953</v>
      </c>
      <c r="I30" s="70">
        <f>H30/'- 3 -'!$D30*100</f>
        <v>0.10349721051240493</v>
      </c>
    </row>
    <row r="31" spans="1:9" ht="14.1" customHeight="1" x14ac:dyDescent="0.2">
      <c r="A31" s="284" t="s">
        <v>129</v>
      </c>
      <c r="B31" s="285">
        <v>0</v>
      </c>
      <c r="C31" s="291">
        <f>B31/'- 3 -'!$D31*100</f>
        <v>0</v>
      </c>
      <c r="D31" s="285">
        <v>0</v>
      </c>
      <c r="E31" s="291">
        <f>D31/'- 3 -'!$D31*100</f>
        <v>0</v>
      </c>
      <c r="F31" s="285">
        <v>0</v>
      </c>
      <c r="G31" s="291">
        <f>F31/'- 3 -'!$D31*100</f>
        <v>0</v>
      </c>
      <c r="H31" s="285">
        <v>59729</v>
      </c>
      <c r="I31" s="291">
        <f>H31/'- 3 -'!$D31*100</f>
        <v>0.15415028658032318</v>
      </c>
    </row>
    <row r="32" spans="1:9" ht="14.1" customHeight="1" x14ac:dyDescent="0.2">
      <c r="A32" s="19" t="s">
        <v>130</v>
      </c>
      <c r="B32" s="20">
        <v>0</v>
      </c>
      <c r="C32" s="70">
        <f>B32/'- 3 -'!$D32*100</f>
        <v>0</v>
      </c>
      <c r="D32" s="20">
        <v>0</v>
      </c>
      <c r="E32" s="70">
        <f>D32/'- 3 -'!$D32*100</f>
        <v>0</v>
      </c>
      <c r="F32" s="20">
        <v>0</v>
      </c>
      <c r="G32" s="70">
        <f>F32/'- 3 -'!$D32*100</f>
        <v>0</v>
      </c>
      <c r="H32" s="20">
        <v>34543</v>
      </c>
      <c r="I32" s="70">
        <f>H32/'- 3 -'!$D32*100</f>
        <v>0.1148386663515028</v>
      </c>
    </row>
    <row r="33" spans="1:10" ht="14.1" customHeight="1" x14ac:dyDescent="0.2">
      <c r="A33" s="284" t="s">
        <v>131</v>
      </c>
      <c r="B33" s="285">
        <v>0</v>
      </c>
      <c r="C33" s="291">
        <f>B33/'- 3 -'!$D33*100</f>
        <v>0</v>
      </c>
      <c r="D33" s="285">
        <v>0</v>
      </c>
      <c r="E33" s="291">
        <f>D33/'- 3 -'!$D33*100</f>
        <v>0</v>
      </c>
      <c r="F33" s="285">
        <v>0</v>
      </c>
      <c r="G33" s="291">
        <f>F33/'- 3 -'!$D33*100</f>
        <v>0</v>
      </c>
      <c r="H33" s="285">
        <v>27887</v>
      </c>
      <c r="I33" s="291">
        <f>H33/'- 3 -'!$D33*100</f>
        <v>9.951054741506124E-2</v>
      </c>
    </row>
    <row r="34" spans="1:10" ht="14.1" customHeight="1" x14ac:dyDescent="0.2">
      <c r="A34" s="19" t="s">
        <v>132</v>
      </c>
      <c r="B34" s="20">
        <v>0</v>
      </c>
      <c r="C34" s="70">
        <f>B34/'- 3 -'!$D34*100</f>
        <v>0</v>
      </c>
      <c r="D34" s="20">
        <v>0</v>
      </c>
      <c r="E34" s="70">
        <f>D34/'- 3 -'!$D34*100</f>
        <v>0</v>
      </c>
      <c r="F34" s="20">
        <v>0</v>
      </c>
      <c r="G34" s="70">
        <f>F34/'- 3 -'!$D34*100</f>
        <v>0</v>
      </c>
      <c r="H34" s="20">
        <v>56424</v>
      </c>
      <c r="I34" s="70">
        <f>H34/'- 3 -'!$D34*100</f>
        <v>0.18341957754983901</v>
      </c>
    </row>
    <row r="35" spans="1:10" ht="14.1" customHeight="1" x14ac:dyDescent="0.2">
      <c r="A35" s="284" t="s">
        <v>133</v>
      </c>
      <c r="B35" s="285">
        <v>320534</v>
      </c>
      <c r="C35" s="291">
        <f>B35/'- 3 -'!$D35*100</f>
        <v>0.16620748746131231</v>
      </c>
      <c r="D35" s="285">
        <v>156675</v>
      </c>
      <c r="E35" s="291">
        <f>D35/'- 3 -'!$D35*100</f>
        <v>8.1241172849061585E-2</v>
      </c>
      <c r="F35" s="285">
        <v>679969</v>
      </c>
      <c r="G35" s="291">
        <f>F35/'- 3 -'!$D35*100</f>
        <v>0.35258643089837916</v>
      </c>
      <c r="H35" s="285">
        <v>301114</v>
      </c>
      <c r="I35" s="291">
        <f>H35/'- 3 -'!$D35*100</f>
        <v>0.15613757473286952</v>
      </c>
    </row>
    <row r="36" spans="1:10" ht="14.1" customHeight="1" x14ac:dyDescent="0.2">
      <c r="A36" s="19" t="s">
        <v>134</v>
      </c>
      <c r="B36" s="20">
        <v>0</v>
      </c>
      <c r="C36" s="70">
        <f>B36/'- 3 -'!$D36*100</f>
        <v>0</v>
      </c>
      <c r="D36" s="20">
        <v>0</v>
      </c>
      <c r="E36" s="70">
        <f>D36/'- 3 -'!$D36*100</f>
        <v>0</v>
      </c>
      <c r="F36" s="20">
        <v>0</v>
      </c>
      <c r="G36" s="70">
        <f>F36/'- 3 -'!$D36*100</f>
        <v>0</v>
      </c>
      <c r="H36" s="20">
        <v>29420</v>
      </c>
      <c r="I36" s="70">
        <f>H36/'- 3 -'!$D36*100</f>
        <v>0.12249033254834601</v>
      </c>
    </row>
    <row r="37" spans="1:10" ht="14.1" customHeight="1" x14ac:dyDescent="0.2">
      <c r="A37" s="284" t="s">
        <v>135</v>
      </c>
      <c r="B37" s="285">
        <v>0</v>
      </c>
      <c r="C37" s="291">
        <f>B37/'- 3 -'!$D37*100</f>
        <v>0</v>
      </c>
      <c r="D37" s="285">
        <v>0</v>
      </c>
      <c r="E37" s="291">
        <f>D37/'- 3 -'!$D37*100</f>
        <v>0</v>
      </c>
      <c r="F37" s="285">
        <v>0</v>
      </c>
      <c r="G37" s="291">
        <f>F37/'- 3 -'!$D37*100</f>
        <v>0</v>
      </c>
      <c r="H37" s="285">
        <v>446316</v>
      </c>
      <c r="I37" s="291">
        <f>H37/'- 3 -'!$D37*100</f>
        <v>0.8320051337518215</v>
      </c>
    </row>
    <row r="38" spans="1:10" ht="14.1" customHeight="1" x14ac:dyDescent="0.2">
      <c r="A38" s="19" t="s">
        <v>136</v>
      </c>
      <c r="B38" s="20">
        <v>201072</v>
      </c>
      <c r="C38" s="70">
        <f>B38/'- 3 -'!$D38*100</f>
        <v>0.13941574698338338</v>
      </c>
      <c r="D38" s="20">
        <v>438041</v>
      </c>
      <c r="E38" s="70">
        <f>D38/'- 3 -'!$D38*100</f>
        <v>0.30372112091364406</v>
      </c>
      <c r="F38" s="20">
        <v>1092747</v>
      </c>
      <c r="G38" s="70">
        <f>F38/'- 3 -'!$D38*100</f>
        <v>0.75766958735602796</v>
      </c>
      <c r="H38" s="20">
        <v>537499</v>
      </c>
      <c r="I38" s="70">
        <f>H38/'- 3 -'!$D38*100</f>
        <v>0.37268154983200835</v>
      </c>
    </row>
    <row r="39" spans="1:10" ht="14.1" customHeight="1" x14ac:dyDescent="0.2">
      <c r="A39" s="284" t="s">
        <v>137</v>
      </c>
      <c r="B39" s="285">
        <v>0</v>
      </c>
      <c r="C39" s="291">
        <f>B39/'- 3 -'!$D39*100</f>
        <v>0</v>
      </c>
      <c r="D39" s="285">
        <v>0</v>
      </c>
      <c r="E39" s="291">
        <f>D39/'- 3 -'!$D39*100</f>
        <v>0</v>
      </c>
      <c r="F39" s="285">
        <v>0</v>
      </c>
      <c r="G39" s="291">
        <f>F39/'- 3 -'!$D39*100</f>
        <v>0</v>
      </c>
      <c r="H39" s="285">
        <v>166421</v>
      </c>
      <c r="I39" s="291">
        <f>H39/'- 3 -'!$D39*100</f>
        <v>0.74539762729204917</v>
      </c>
    </row>
    <row r="40" spans="1:10" ht="14.1" customHeight="1" x14ac:dyDescent="0.2">
      <c r="A40" s="19" t="s">
        <v>138</v>
      </c>
      <c r="B40" s="20">
        <v>501120</v>
      </c>
      <c r="C40" s="70">
        <f>B40/'- 3 -'!$D40*100</f>
        <v>0.46992274088290154</v>
      </c>
      <c r="D40" s="20">
        <v>0</v>
      </c>
      <c r="E40" s="70">
        <f>D40/'- 3 -'!$D40*100</f>
        <v>0</v>
      </c>
      <c r="F40" s="20">
        <v>345443</v>
      </c>
      <c r="G40" s="70">
        <f>F40/'- 3 -'!$D40*100</f>
        <v>0.32393742293026051</v>
      </c>
      <c r="H40" s="20">
        <v>102813</v>
      </c>
      <c r="I40" s="70">
        <f>H40/'- 3 -'!$D40*100</f>
        <v>9.6412369808416637E-2</v>
      </c>
    </row>
    <row r="41" spans="1:10" ht="14.1" customHeight="1" x14ac:dyDescent="0.2">
      <c r="A41" s="284" t="s">
        <v>139</v>
      </c>
      <c r="B41" s="285">
        <v>0</v>
      </c>
      <c r="C41" s="291">
        <f>B41/'- 3 -'!$D41*100</f>
        <v>0</v>
      </c>
      <c r="D41" s="285">
        <v>0</v>
      </c>
      <c r="E41" s="291">
        <f>D41/'- 3 -'!$D41*100</f>
        <v>0</v>
      </c>
      <c r="F41" s="285">
        <v>0</v>
      </c>
      <c r="G41" s="291">
        <f>F41/'- 3 -'!$D41*100</f>
        <v>0</v>
      </c>
      <c r="H41" s="285">
        <v>318412</v>
      </c>
      <c r="I41" s="291">
        <f>H41/'- 3 -'!$D41*100</f>
        <v>0.48592712545961037</v>
      </c>
    </row>
    <row r="42" spans="1:10" ht="14.1" customHeight="1" x14ac:dyDescent="0.2">
      <c r="A42" s="19" t="s">
        <v>140</v>
      </c>
      <c r="B42" s="20">
        <v>0</v>
      </c>
      <c r="C42" s="70">
        <f>B42/'- 3 -'!$D42*100</f>
        <v>0</v>
      </c>
      <c r="D42" s="20">
        <v>0</v>
      </c>
      <c r="E42" s="70">
        <f>D42/'- 3 -'!$D42*100</f>
        <v>0</v>
      </c>
      <c r="F42" s="20">
        <v>0</v>
      </c>
      <c r="G42" s="70">
        <f>F42/'- 3 -'!$D42*100</f>
        <v>0</v>
      </c>
      <c r="H42" s="20">
        <v>38268</v>
      </c>
      <c r="I42" s="70">
        <f>H42/'- 3 -'!$D42*100</f>
        <v>0.183512239544183</v>
      </c>
    </row>
    <row r="43" spans="1:10" ht="14.1" customHeight="1" x14ac:dyDescent="0.2">
      <c r="A43" s="284" t="s">
        <v>141</v>
      </c>
      <c r="B43" s="285">
        <v>0</v>
      </c>
      <c r="C43" s="291">
        <f>B43/'- 3 -'!$D43*100</f>
        <v>0</v>
      </c>
      <c r="D43" s="285">
        <v>0</v>
      </c>
      <c r="E43" s="291">
        <f>D43/'- 3 -'!$D43*100</f>
        <v>0</v>
      </c>
      <c r="F43" s="285">
        <v>0</v>
      </c>
      <c r="G43" s="291">
        <f>F43/'- 3 -'!$D43*100</f>
        <v>0</v>
      </c>
      <c r="H43" s="285">
        <v>12592</v>
      </c>
      <c r="I43" s="291">
        <f>H43/'- 3 -'!$D43*100</f>
        <v>9.143155220671198E-2</v>
      </c>
    </row>
    <row r="44" spans="1:10" ht="14.1" customHeight="1" x14ac:dyDescent="0.2">
      <c r="A44" s="19" t="s">
        <v>142</v>
      </c>
      <c r="B44" s="20">
        <v>0</v>
      </c>
      <c r="C44" s="70">
        <f>B44/'- 3 -'!$D44*100</f>
        <v>0</v>
      </c>
      <c r="D44" s="20">
        <v>0</v>
      </c>
      <c r="E44" s="70">
        <f>D44/'- 3 -'!$D44*100</f>
        <v>0</v>
      </c>
      <c r="F44" s="20">
        <v>0</v>
      </c>
      <c r="G44" s="70">
        <f>F44/'- 3 -'!$D44*100</f>
        <v>0</v>
      </c>
      <c r="H44" s="20">
        <v>25484</v>
      </c>
      <c r="I44" s="70">
        <f>H44/'- 3 -'!$D44*100</f>
        <v>0.22863653797412989</v>
      </c>
    </row>
    <row r="45" spans="1:10" ht="14.1" customHeight="1" x14ac:dyDescent="0.2">
      <c r="A45" s="284" t="s">
        <v>143</v>
      </c>
      <c r="B45" s="285">
        <v>0</v>
      </c>
      <c r="C45" s="291">
        <f>B45/'- 3 -'!$D45*100</f>
        <v>0</v>
      </c>
      <c r="D45" s="285">
        <v>0</v>
      </c>
      <c r="E45" s="291">
        <f>D45/'- 3 -'!$D45*100</f>
        <v>0</v>
      </c>
      <c r="F45" s="285">
        <v>8975</v>
      </c>
      <c r="G45" s="291">
        <f>F45/'- 3 -'!$D45*100</f>
        <v>4.3749568597568705E-2</v>
      </c>
      <c r="H45" s="285">
        <v>45658</v>
      </c>
      <c r="I45" s="291">
        <f>H45/'- 3 -'!$D45*100</f>
        <v>0.22256465771897405</v>
      </c>
    </row>
    <row r="46" spans="1:10" ht="14.1" customHeight="1" x14ac:dyDescent="0.2">
      <c r="A46" s="19" t="s">
        <v>144</v>
      </c>
      <c r="B46" s="20">
        <v>0</v>
      </c>
      <c r="C46" s="70">
        <f>B46/'- 3 -'!$D46*100</f>
        <v>0</v>
      </c>
      <c r="D46" s="20">
        <v>4262815</v>
      </c>
      <c r="E46" s="70">
        <f>D46/'- 3 -'!$D46*100</f>
        <v>1.0618583256409406</v>
      </c>
      <c r="F46" s="20">
        <v>170240</v>
      </c>
      <c r="G46" s="70">
        <f>F46/'- 3 -'!$D46*100</f>
        <v>4.2406428934193427E-2</v>
      </c>
      <c r="H46" s="20">
        <v>5088876</v>
      </c>
      <c r="I46" s="70">
        <f>H46/'- 3 -'!$D46*100</f>
        <v>1.2676283978437648</v>
      </c>
    </row>
    <row r="47" spans="1:10" ht="5.0999999999999996" customHeight="1" x14ac:dyDescent="0.2">
      <c r="A47"/>
      <c r="B47"/>
      <c r="C47"/>
      <c r="D47"/>
      <c r="E47"/>
      <c r="F47"/>
      <c r="G47"/>
      <c r="H47"/>
      <c r="I47"/>
      <c r="J47"/>
    </row>
    <row r="48" spans="1:10" ht="14.1" customHeight="1" x14ac:dyDescent="0.2">
      <c r="A48" s="286" t="s">
        <v>145</v>
      </c>
      <c r="B48" s="287">
        <f>SUM(B11:B46)</f>
        <v>1872890</v>
      </c>
      <c r="C48" s="294">
        <f>B48/'- 3 -'!$D48*100</f>
        <v>7.8160681424225512E-2</v>
      </c>
      <c r="D48" s="287">
        <f>SUM(D11:D46)</f>
        <v>5215709</v>
      </c>
      <c r="E48" s="294">
        <f>D48/'- 3 -'!$D48*100</f>
        <v>0.21766540990152428</v>
      </c>
      <c r="F48" s="287">
        <f>SUM(F11:F46)</f>
        <v>5553066</v>
      </c>
      <c r="G48" s="294">
        <f>F48/'- 3 -'!$D48*100</f>
        <v>0.23174421485175223</v>
      </c>
      <c r="H48" s="287">
        <f>SUM(H11:H46)</f>
        <v>12608986</v>
      </c>
      <c r="I48" s="294">
        <f>H48/'- 3 -'!$D48*100</f>
        <v>0.52620652458420913</v>
      </c>
    </row>
    <row r="49" spans="1:9" ht="5.0999999999999996" customHeight="1" x14ac:dyDescent="0.2">
      <c r="A49" s="21" t="s">
        <v>7</v>
      </c>
      <c r="B49"/>
      <c r="C49"/>
      <c r="D49"/>
      <c r="E49"/>
      <c r="F49"/>
      <c r="G49"/>
      <c r="H49"/>
      <c r="I49"/>
    </row>
    <row r="50" spans="1:9" ht="14.1" customHeight="1" x14ac:dyDescent="0.2">
      <c r="A50" s="19" t="s">
        <v>146</v>
      </c>
      <c r="B50" s="20">
        <v>0</v>
      </c>
      <c r="C50" s="70">
        <f>B50/'- 3 -'!$D50*100</f>
        <v>0</v>
      </c>
      <c r="D50" s="20">
        <v>0</v>
      </c>
      <c r="E50" s="70">
        <f>D50/'- 3 -'!$D50*100</f>
        <v>0</v>
      </c>
      <c r="F50" s="20">
        <v>13525</v>
      </c>
      <c r="G50" s="70">
        <f>F50/'- 3 -'!$D50*100</f>
        <v>0.39812045932945622</v>
      </c>
      <c r="H50" s="20">
        <v>82700</v>
      </c>
      <c r="I50" s="70">
        <f>H50/'- 3 -'!$D50*100</f>
        <v>2.4343483908721648</v>
      </c>
    </row>
    <row r="51" spans="1:9" ht="14.1" customHeight="1" x14ac:dyDescent="0.2">
      <c r="A51" s="284" t="s">
        <v>601</v>
      </c>
      <c r="B51" s="285">
        <v>0</v>
      </c>
      <c r="C51" s="291">
        <f>B51/'- 3 -'!$D51*100</f>
        <v>0</v>
      </c>
      <c r="D51" s="285">
        <v>2167444</v>
      </c>
      <c r="E51" s="291">
        <f>D51/'- 3 -'!$D51*100</f>
        <v>6.8979063748358378</v>
      </c>
      <c r="F51" s="285">
        <v>7503793</v>
      </c>
      <c r="G51" s="291">
        <f>F51/'- 3 -'!$D51*100</f>
        <v>23.880876078066397</v>
      </c>
      <c r="H51" s="285">
        <v>0</v>
      </c>
      <c r="I51" s="291">
        <f>H51/'- 3 -'!$D51*100</f>
        <v>0</v>
      </c>
    </row>
    <row r="52" spans="1:9" ht="50.1" customHeight="1" x14ac:dyDescent="0.2"/>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J52"/>
  <sheetViews>
    <sheetView showGridLines="0" showZeros="0" workbookViewId="0"/>
  </sheetViews>
  <sheetFormatPr defaultColWidth="15.83203125" defaultRowHeight="12" x14ac:dyDescent="0.2"/>
  <cols>
    <col min="1" max="1" width="32.83203125" style="2" customWidth="1"/>
    <col min="2" max="2" width="14.83203125" style="2" customWidth="1"/>
    <col min="3" max="3" width="7.83203125" style="2" customWidth="1"/>
    <col min="4" max="4" width="9.83203125" style="2" customWidth="1"/>
    <col min="5" max="5" width="16.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73"/>
      <c r="H2" s="73"/>
      <c r="I2" s="153"/>
      <c r="J2" s="395" t="s">
        <v>405</v>
      </c>
    </row>
    <row r="3" spans="1:10" ht="15.95" customHeight="1" x14ac:dyDescent="0.2">
      <c r="A3" s="541"/>
      <c r="B3" s="11" t="str">
        <f>OPYEAR</f>
        <v>OPERATING FUND 2018/2019 ACTUAL</v>
      </c>
      <c r="C3" s="12"/>
      <c r="D3" s="12"/>
      <c r="E3" s="12"/>
      <c r="F3" s="12"/>
      <c r="G3" s="75"/>
      <c r="H3" s="75"/>
      <c r="I3" s="75"/>
      <c r="J3" s="66"/>
    </row>
    <row r="4" spans="1:10" ht="15.95" customHeight="1" x14ac:dyDescent="0.2">
      <c r="B4" s="8"/>
      <c r="C4" s="8"/>
      <c r="D4" s="8"/>
      <c r="E4" s="8"/>
      <c r="F4" s="8"/>
      <c r="G4" s="8"/>
      <c r="H4" s="8"/>
      <c r="I4" s="8"/>
      <c r="J4" s="8"/>
    </row>
    <row r="5" spans="1:10" ht="15.95" customHeight="1" x14ac:dyDescent="0.2">
      <c r="B5" s="164" t="s">
        <v>94</v>
      </c>
      <c r="C5" s="165"/>
      <c r="D5" s="166"/>
      <c r="E5" s="166"/>
      <c r="F5" s="166"/>
      <c r="G5" s="166"/>
      <c r="H5" s="166"/>
      <c r="I5" s="166"/>
      <c r="J5" s="167"/>
    </row>
    <row r="6" spans="1:10" ht="15.95" customHeight="1" x14ac:dyDescent="0.2">
      <c r="B6" s="309"/>
      <c r="C6" s="312"/>
      <c r="D6" s="310"/>
      <c r="E6" s="649" t="s">
        <v>488</v>
      </c>
      <c r="F6" s="657"/>
      <c r="G6" s="650"/>
      <c r="H6" s="649" t="s">
        <v>489</v>
      </c>
      <c r="I6" s="657"/>
      <c r="J6" s="650"/>
    </row>
    <row r="7" spans="1:10" ht="15.95" customHeight="1" x14ac:dyDescent="0.2">
      <c r="B7" s="654" t="s">
        <v>23</v>
      </c>
      <c r="C7" s="656"/>
      <c r="D7" s="655"/>
      <c r="E7" s="651"/>
      <c r="F7" s="658"/>
      <c r="G7" s="652"/>
      <c r="H7" s="651"/>
      <c r="I7" s="658"/>
      <c r="J7" s="652"/>
    </row>
    <row r="8" spans="1:10" ht="15.95" customHeight="1" x14ac:dyDescent="0.2">
      <c r="A8" s="67"/>
      <c r="B8" s="137"/>
      <c r="C8" s="138"/>
      <c r="D8" s="602" t="s">
        <v>473</v>
      </c>
      <c r="E8" s="137"/>
      <c r="F8" s="139"/>
      <c r="G8" s="602" t="s">
        <v>473</v>
      </c>
      <c r="H8" s="137"/>
      <c r="I8" s="139"/>
      <c r="J8" s="602" t="s">
        <v>473</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121901</v>
      </c>
      <c r="C11" s="291">
        <f>B11/'- 3 -'!$D11*100</f>
        <v>0.60675823580442512</v>
      </c>
      <c r="D11" s="285">
        <f>B11/'- 7 -'!$E11</f>
        <v>67.237175951461666</v>
      </c>
      <c r="E11" s="285">
        <v>165544</v>
      </c>
      <c r="F11" s="291">
        <f>E11/'- 3 -'!$D11*100</f>
        <v>0.82398983919744517</v>
      </c>
      <c r="G11" s="285">
        <f>E11/'- 7 -'!$E11</f>
        <v>91.309431880860458</v>
      </c>
      <c r="H11" s="285">
        <v>346640</v>
      </c>
      <c r="I11" s="291">
        <f>H11/'- 3 -'!$D11*100</f>
        <v>1.7253892491386118</v>
      </c>
      <c r="J11" s="285">
        <f>H11/'- 7 -'!$E11</f>
        <v>191.1969111969112</v>
      </c>
    </row>
    <row r="12" spans="1:10" ht="14.1" customHeight="1" x14ac:dyDescent="0.2">
      <c r="A12" s="19" t="s">
        <v>111</v>
      </c>
      <c r="B12" s="20">
        <v>179199</v>
      </c>
      <c r="C12" s="70">
        <f>B12/'- 3 -'!$D12*100</f>
        <v>0.52876968711708616</v>
      </c>
      <c r="D12" s="20">
        <f>B12/'- 7 -'!$E12</f>
        <v>84.262720591347033</v>
      </c>
      <c r="E12" s="20">
        <v>185477</v>
      </c>
      <c r="F12" s="70">
        <f>E12/'- 3 -'!$D12*100</f>
        <v>0.54729443388308974</v>
      </c>
      <c r="G12" s="20">
        <f>E12/'- 7 -'!$E12</f>
        <v>87.214753581890932</v>
      </c>
      <c r="H12" s="20">
        <v>717275</v>
      </c>
      <c r="I12" s="70">
        <f>H12/'- 3 -'!$D12*100</f>
        <v>2.1164921530081529</v>
      </c>
      <c r="J12" s="20">
        <f>H12/'- 7 -'!$E12</f>
        <v>337.27611712207346</v>
      </c>
    </row>
    <row r="13" spans="1:10" ht="14.1" customHeight="1" x14ac:dyDescent="0.2">
      <c r="A13" s="284" t="s">
        <v>112</v>
      </c>
      <c r="B13" s="285">
        <v>339375</v>
      </c>
      <c r="C13" s="291">
        <f>B13/'- 3 -'!$D13*100</f>
        <v>0.33631779390035316</v>
      </c>
      <c r="D13" s="285">
        <f>B13/'- 7 -'!$E13</f>
        <v>39.623467600700522</v>
      </c>
      <c r="E13" s="285">
        <v>718108</v>
      </c>
      <c r="F13" s="291">
        <f>E13/'- 3 -'!$D13*100</f>
        <v>0.71163903747239721</v>
      </c>
      <c r="G13" s="285">
        <f>E13/'- 7 -'!$E13</f>
        <v>83.842148277875069</v>
      </c>
      <c r="H13" s="285">
        <v>1754636</v>
      </c>
      <c r="I13" s="291">
        <f>H13/'- 3 -'!$D13*100</f>
        <v>1.7388296386538198</v>
      </c>
      <c r="J13" s="285">
        <f>H13/'- 7 -'!$E13</f>
        <v>204.86117921774664</v>
      </c>
    </row>
    <row r="14" spans="1:10" ht="14.1" customHeight="1" x14ac:dyDescent="0.2">
      <c r="A14" s="19" t="s">
        <v>359</v>
      </c>
      <c r="B14" s="20">
        <v>708226</v>
      </c>
      <c r="C14" s="70">
        <f>B14/'- 3 -'!$D14*100</f>
        <v>0.77574449706322701</v>
      </c>
      <c r="D14" s="20">
        <f>B14/'- 7 -'!$E14</f>
        <v>130.9347383989647</v>
      </c>
      <c r="E14" s="20">
        <v>1421818</v>
      </c>
      <c r="F14" s="70">
        <f>E14/'- 3 -'!$D14*100</f>
        <v>1.5573665600040711</v>
      </c>
      <c r="G14" s="20">
        <f>E14/'- 7 -'!$E14</f>
        <v>262.86152708448884</v>
      </c>
      <c r="H14" s="20">
        <v>1093836</v>
      </c>
      <c r="I14" s="70">
        <f>H14/'- 3 -'!$D14*100</f>
        <v>1.1981165019212114</v>
      </c>
      <c r="J14" s="20">
        <f>H14/'- 7 -'!$E14</f>
        <v>202.22518025513034</v>
      </c>
    </row>
    <row r="15" spans="1:10" ht="14.1" customHeight="1" x14ac:dyDescent="0.2">
      <c r="A15" s="284" t="s">
        <v>113</v>
      </c>
      <c r="B15" s="285">
        <v>187650</v>
      </c>
      <c r="C15" s="291">
        <f>B15/'- 3 -'!$D15*100</f>
        <v>0.9264611981609413</v>
      </c>
      <c r="D15" s="285">
        <f>B15/'- 7 -'!$E15</f>
        <v>132.85896346644009</v>
      </c>
      <c r="E15" s="285">
        <v>213535</v>
      </c>
      <c r="F15" s="291">
        <f>E15/'- 3 -'!$D15*100</f>
        <v>1.0542600157170081</v>
      </c>
      <c r="G15" s="285">
        <f>E15/'- 7 -'!$E15</f>
        <v>151.18592466723308</v>
      </c>
      <c r="H15" s="285">
        <v>383069</v>
      </c>
      <c r="I15" s="291">
        <f>H15/'- 3 -'!$D15*100</f>
        <v>1.8912793217069734</v>
      </c>
      <c r="J15" s="285">
        <f>H15/'- 7 -'!$E15</f>
        <v>271.21849334466157</v>
      </c>
    </row>
    <row r="16" spans="1:10" ht="14.1" customHeight="1" x14ac:dyDescent="0.2">
      <c r="A16" s="19" t="s">
        <v>114</v>
      </c>
      <c r="B16" s="20">
        <v>109341</v>
      </c>
      <c r="C16" s="70">
        <f>B16/'- 3 -'!$D16*100</f>
        <v>0.72719744101201766</v>
      </c>
      <c r="D16" s="20">
        <f>B16/'- 7 -'!$E16</f>
        <v>120.9658148025224</v>
      </c>
      <c r="E16" s="20">
        <v>182455</v>
      </c>
      <c r="F16" s="70">
        <f>E16/'- 3 -'!$D16*100</f>
        <v>1.2134588955638568</v>
      </c>
      <c r="G16" s="20">
        <f>E16/'- 7 -'!$E16</f>
        <v>201.85308109304128</v>
      </c>
      <c r="H16" s="20">
        <v>333390</v>
      </c>
      <c r="I16" s="70">
        <f>H16/'- 3 -'!$D16*100</f>
        <v>2.2172867895756996</v>
      </c>
      <c r="J16" s="20">
        <f>H16/'- 7 -'!$E16</f>
        <v>368.83504812479259</v>
      </c>
    </row>
    <row r="17" spans="1:10" ht="14.1" customHeight="1" x14ac:dyDescent="0.2">
      <c r="A17" s="284" t="s">
        <v>115</v>
      </c>
      <c r="B17" s="285">
        <v>139609</v>
      </c>
      <c r="C17" s="291">
        <f>B17/'- 3 -'!$D17*100</f>
        <v>0.75900633990396904</v>
      </c>
      <c r="D17" s="285">
        <f>B17/'- 7 -'!$E17</f>
        <v>97.460233562374711</v>
      </c>
      <c r="E17" s="285">
        <v>173180</v>
      </c>
      <c r="F17" s="291">
        <f>E17/'- 3 -'!$D17*100</f>
        <v>0.94152037436389735</v>
      </c>
      <c r="G17" s="285">
        <f>E17/'- 7 -'!$E17</f>
        <v>120.89595404545589</v>
      </c>
      <c r="H17" s="285">
        <v>298513</v>
      </c>
      <c r="I17" s="291">
        <f>H17/'- 3 -'!$D17*100</f>
        <v>1.6229129894473386</v>
      </c>
      <c r="J17" s="285">
        <f>H17/'- 7 -'!$E17</f>
        <v>208.39019476828256</v>
      </c>
    </row>
    <row r="18" spans="1:10" ht="14.1" customHeight="1" x14ac:dyDescent="0.2">
      <c r="A18" s="19" t="s">
        <v>116</v>
      </c>
      <c r="B18" s="20">
        <v>1190307</v>
      </c>
      <c r="C18" s="70">
        <f>B18/'- 3 -'!$D18*100</f>
        <v>0.88492250791883142</v>
      </c>
      <c r="D18" s="20">
        <f>B18/'- 7 -'!$E18</f>
        <v>198.48374187093546</v>
      </c>
      <c r="E18" s="20">
        <v>2345032</v>
      </c>
      <c r="F18" s="70">
        <f>E18/'- 3 -'!$D18*100</f>
        <v>1.7433919136742984</v>
      </c>
      <c r="G18" s="20">
        <f>E18/'- 7 -'!$E18</f>
        <v>391.03418375854596</v>
      </c>
      <c r="H18" s="20">
        <v>2907734</v>
      </c>
      <c r="I18" s="70">
        <f>H18/'- 3 -'!$D18*100</f>
        <v>2.161727406157282</v>
      </c>
      <c r="J18" s="20">
        <f>H18/'- 7 -'!$E18</f>
        <v>484.86476571619141</v>
      </c>
    </row>
    <row r="19" spans="1:10" ht="14.1" customHeight="1" x14ac:dyDescent="0.2">
      <c r="A19" s="284" t="s">
        <v>117</v>
      </c>
      <c r="B19" s="285">
        <v>208733</v>
      </c>
      <c r="C19" s="291">
        <f>B19/'- 3 -'!$D19*100</f>
        <v>0.41664731302873731</v>
      </c>
      <c r="D19" s="285">
        <f>B19/'- 7 -'!$E19</f>
        <v>47.283497564843131</v>
      </c>
      <c r="E19" s="285">
        <v>357391</v>
      </c>
      <c r="F19" s="291">
        <f>E19/'- 3 -'!$D19*100</f>
        <v>0.7133802506103657</v>
      </c>
      <c r="G19" s="285">
        <f>E19/'- 7 -'!$E19</f>
        <v>80.958432438554766</v>
      </c>
      <c r="H19" s="285">
        <v>690612</v>
      </c>
      <c r="I19" s="291">
        <f>H19/'- 3 -'!$D19*100</f>
        <v>1.3785153001461308</v>
      </c>
      <c r="J19" s="285">
        <f>H19/'- 7 -'!$E19</f>
        <v>156.44172612979952</v>
      </c>
    </row>
    <row r="20" spans="1:10" ht="14.1" customHeight="1" x14ac:dyDescent="0.2">
      <c r="A20" s="19" t="s">
        <v>118</v>
      </c>
      <c r="B20" s="20">
        <v>311629</v>
      </c>
      <c r="C20" s="70">
        <f>B20/'- 3 -'!$D20*100</f>
        <v>0.35647881535222359</v>
      </c>
      <c r="D20" s="20">
        <f>B20/'- 7 -'!$E20</f>
        <v>39.539300894499775</v>
      </c>
      <c r="E20" s="20">
        <v>659591</v>
      </c>
      <c r="F20" s="70">
        <f>E20/'- 3 -'!$D20*100</f>
        <v>0.75451969584662693</v>
      </c>
      <c r="G20" s="20">
        <f>E20/'- 7 -'!$E20</f>
        <v>83.688511070227747</v>
      </c>
      <c r="H20" s="20">
        <v>1279222</v>
      </c>
      <c r="I20" s="70">
        <f>H20/'- 3 -'!$D20*100</f>
        <v>1.4633283267362862</v>
      </c>
      <c r="J20" s="20">
        <f>H20/'- 7 -'!$E20</f>
        <v>162.30692127133159</v>
      </c>
    </row>
    <row r="21" spans="1:10" ht="14.1" customHeight="1" x14ac:dyDescent="0.2">
      <c r="A21" s="284" t="s">
        <v>119</v>
      </c>
      <c r="B21" s="285">
        <v>168879</v>
      </c>
      <c r="C21" s="291">
        <f>B21/'- 3 -'!$D21*100</f>
        <v>0.45336846333328623</v>
      </c>
      <c r="D21" s="285">
        <f>B21/'- 7 -'!$E21</f>
        <v>59.426771764374685</v>
      </c>
      <c r="E21" s="285">
        <v>403499</v>
      </c>
      <c r="F21" s="291">
        <f>E21/'- 3 -'!$D21*100</f>
        <v>1.0832236191978735</v>
      </c>
      <c r="G21" s="285">
        <f>E21/'- 7 -'!$E21</f>
        <v>141.9871208389049</v>
      </c>
      <c r="H21" s="285">
        <v>655431</v>
      </c>
      <c r="I21" s="291">
        <f>H21/'- 3 -'!$D21*100</f>
        <v>1.7595541499594334</v>
      </c>
      <c r="J21" s="285">
        <f>H21/'- 7 -'!$E21</f>
        <v>230.63938348933772</v>
      </c>
    </row>
    <row r="22" spans="1:10" ht="14.1" customHeight="1" x14ac:dyDescent="0.2">
      <c r="A22" s="19" t="s">
        <v>120</v>
      </c>
      <c r="B22" s="20">
        <v>103992</v>
      </c>
      <c r="C22" s="70">
        <f>B22/'- 3 -'!$D22*100</f>
        <v>0.49584712772521744</v>
      </c>
      <c r="D22" s="20">
        <f>B22/'- 7 -'!$E22</f>
        <v>70.810295519542422</v>
      </c>
      <c r="E22" s="20">
        <v>133082</v>
      </c>
      <c r="F22" s="70">
        <f>E22/'- 3 -'!$D22*100</f>
        <v>0.634551960265476</v>
      </c>
      <c r="G22" s="20">
        <f>E22/'- 7 -'!$E22</f>
        <v>90.618275909029009</v>
      </c>
      <c r="H22" s="20">
        <v>535687</v>
      </c>
      <c r="I22" s="70">
        <f>H22/'- 3 -'!$D22*100</f>
        <v>2.5542239817460817</v>
      </c>
      <c r="J22" s="20">
        <f>H22/'- 7 -'!$E22</f>
        <v>364.76031594716056</v>
      </c>
    </row>
    <row r="23" spans="1:10" ht="14.1" customHeight="1" x14ac:dyDescent="0.2">
      <c r="A23" s="284" t="s">
        <v>121</v>
      </c>
      <c r="B23" s="285">
        <v>109680</v>
      </c>
      <c r="C23" s="291">
        <f>B23/'- 3 -'!$D23*100</f>
        <v>0.68693806189895656</v>
      </c>
      <c r="D23" s="285">
        <f>B23/'- 7 -'!$E23</f>
        <v>114.07176287051482</v>
      </c>
      <c r="E23" s="285">
        <v>170190</v>
      </c>
      <c r="F23" s="291">
        <f>E23/'- 3 -'!$D23*100</f>
        <v>1.0659189346697979</v>
      </c>
      <c r="G23" s="285">
        <f>E23/'- 7 -'!$E23</f>
        <v>177.0046801872075</v>
      </c>
      <c r="H23" s="285">
        <v>332727</v>
      </c>
      <c r="I23" s="291">
        <f>H23/'- 3 -'!$D23*100</f>
        <v>2.083906277547904</v>
      </c>
      <c r="J23" s="285">
        <f>H23/'- 7 -'!$E23</f>
        <v>346.0499219968799</v>
      </c>
    </row>
    <row r="24" spans="1:10" ht="14.1" customHeight="1" x14ac:dyDescent="0.2">
      <c r="A24" s="19" t="s">
        <v>122</v>
      </c>
      <c r="B24" s="20">
        <v>328870</v>
      </c>
      <c r="C24" s="70">
        <f>B24/'- 3 -'!$D24*100</f>
        <v>0.56793076781124452</v>
      </c>
      <c r="D24" s="20">
        <f>B24/'- 7 -'!$E24</f>
        <v>85.875809484019214</v>
      </c>
      <c r="E24" s="20">
        <v>335229</v>
      </c>
      <c r="F24" s="70">
        <f>E24/'- 3 -'!$D24*100</f>
        <v>0.57891222477755855</v>
      </c>
      <c r="G24" s="20">
        <f>E24/'- 7 -'!$E24</f>
        <v>87.536296218926267</v>
      </c>
      <c r="H24" s="20">
        <v>1099556</v>
      </c>
      <c r="I24" s="70">
        <f>H24/'- 3 -'!$D24*100</f>
        <v>1.8988405246190312</v>
      </c>
      <c r="J24" s="20">
        <f>H24/'- 7 -'!$E24</f>
        <v>287.12032588259871</v>
      </c>
    </row>
    <row r="25" spans="1:10" ht="14.1" customHeight="1" x14ac:dyDescent="0.2">
      <c r="A25" s="284" t="s">
        <v>123</v>
      </c>
      <c r="B25" s="285">
        <v>658856</v>
      </c>
      <c r="C25" s="291">
        <f>B25/'- 3 -'!$D25*100</f>
        <v>0.33910668116171327</v>
      </c>
      <c r="D25" s="285">
        <f>B25/'- 7 -'!$E25</f>
        <v>44.272898929557776</v>
      </c>
      <c r="E25" s="285">
        <v>933062</v>
      </c>
      <c r="F25" s="291">
        <f>E25/'- 3 -'!$D25*100</f>
        <v>0.48023780331075455</v>
      </c>
      <c r="G25" s="285">
        <f>E25/'- 7 -'!$E25</f>
        <v>62.698616421510977</v>
      </c>
      <c r="H25" s="285">
        <v>6140636</v>
      </c>
      <c r="I25" s="291">
        <f>H25/'- 3 -'!$D25*100</f>
        <v>3.1605247492352473</v>
      </c>
      <c r="J25" s="285">
        <f>H25/'- 7 -'!$E25</f>
        <v>412.6300086683645</v>
      </c>
    </row>
    <row r="26" spans="1:10" ht="14.1" customHeight="1" x14ac:dyDescent="0.2">
      <c r="A26" s="19" t="s">
        <v>124</v>
      </c>
      <c r="B26" s="20">
        <v>222014</v>
      </c>
      <c r="C26" s="70">
        <f>B26/'- 3 -'!$D26*100</f>
        <v>0.54239046797625667</v>
      </c>
      <c r="D26" s="20">
        <f>B26/'- 7 -'!$E26</f>
        <v>73.980006664445185</v>
      </c>
      <c r="E26" s="20">
        <v>419924</v>
      </c>
      <c r="F26" s="70">
        <f>E26/'- 3 -'!$D26*100</f>
        <v>1.0258937493782447</v>
      </c>
      <c r="G26" s="20">
        <f>E26/'- 7 -'!$E26</f>
        <v>139.92802399200266</v>
      </c>
      <c r="H26" s="20">
        <v>740266</v>
      </c>
      <c r="I26" s="70">
        <f>H26/'- 3 -'!$D26*100</f>
        <v>1.8085040680628772</v>
      </c>
      <c r="J26" s="20">
        <f>H26/'- 7 -'!$E26</f>
        <v>246.67310896367877</v>
      </c>
    </row>
    <row r="27" spans="1:10" ht="14.1" customHeight="1" x14ac:dyDescent="0.2">
      <c r="A27" s="284" t="s">
        <v>125</v>
      </c>
      <c r="B27" s="285">
        <v>189303</v>
      </c>
      <c r="C27" s="291">
        <f>B27/'- 3 -'!$D27*100</f>
        <v>0.45913225040312294</v>
      </c>
      <c r="D27" s="285">
        <f>B27/'- 7 -'!$E27</f>
        <v>63.709210597167626</v>
      </c>
      <c r="E27" s="285">
        <v>473486</v>
      </c>
      <c r="F27" s="291">
        <f>E27/'- 3 -'!$D27*100</f>
        <v>1.148384825989937</v>
      </c>
      <c r="G27" s="285">
        <f>E27/'- 7 -'!$E27</f>
        <v>159.34992730601473</v>
      </c>
      <c r="H27" s="285">
        <v>841508</v>
      </c>
      <c r="I27" s="291">
        <f>H27/'- 3 -'!$D27*100</f>
        <v>2.0409790746698739</v>
      </c>
      <c r="J27" s="285">
        <f>H27/'- 7 -'!$E27</f>
        <v>283.20634322330517</v>
      </c>
    </row>
    <row r="28" spans="1:10" ht="14.1" customHeight="1" x14ac:dyDescent="0.2">
      <c r="A28" s="19" t="s">
        <v>126</v>
      </c>
      <c r="B28" s="20">
        <v>144340</v>
      </c>
      <c r="C28" s="70">
        <f>B28/'- 3 -'!$D28*100</f>
        <v>0.49659793942475355</v>
      </c>
      <c r="D28" s="20">
        <f>B28/'- 7 -'!$E28</f>
        <v>73.26903553299492</v>
      </c>
      <c r="E28" s="20">
        <v>416212</v>
      </c>
      <c r="F28" s="70">
        <f>E28/'- 3 -'!$D28*100</f>
        <v>1.4319663403343184</v>
      </c>
      <c r="G28" s="20">
        <f>E28/'- 7 -'!$E28</f>
        <v>211.27512690355329</v>
      </c>
      <c r="H28" s="20">
        <v>501619</v>
      </c>
      <c r="I28" s="70">
        <f>H28/'- 3 -'!$D28*100</f>
        <v>1.7258068572558227</v>
      </c>
      <c r="J28" s="20">
        <f>H28/'- 7 -'!$E28</f>
        <v>254.62893401015228</v>
      </c>
    </row>
    <row r="29" spans="1:10" ht="14.1" customHeight="1" x14ac:dyDescent="0.2">
      <c r="A29" s="284" t="s">
        <v>127</v>
      </c>
      <c r="B29" s="285">
        <v>610390</v>
      </c>
      <c r="C29" s="291">
        <f>B29/'- 3 -'!$D29*100</f>
        <v>0.36615932034197896</v>
      </c>
      <c r="D29" s="285">
        <f>B29/'- 7 -'!$E29</f>
        <v>44</v>
      </c>
      <c r="E29" s="285">
        <v>2082634</v>
      </c>
      <c r="F29" s="291">
        <f>E29/'- 3 -'!$D29*100</f>
        <v>1.2493255950475877</v>
      </c>
      <c r="G29" s="285">
        <f>E29/'- 7 -'!$E29</f>
        <v>150.12679762119302</v>
      </c>
      <c r="H29" s="285">
        <v>1756283</v>
      </c>
      <c r="I29" s="291">
        <f>H29/'- 3 -'!$D29*100</f>
        <v>1.0535549232591817</v>
      </c>
      <c r="J29" s="285">
        <f>H29/'- 7 -'!$E29</f>
        <v>126.6017660839791</v>
      </c>
    </row>
    <row r="30" spans="1:10" ht="14.1" customHeight="1" x14ac:dyDescent="0.2">
      <c r="A30" s="19" t="s">
        <v>128</v>
      </c>
      <c r="B30" s="20">
        <v>122953</v>
      </c>
      <c r="C30" s="70">
        <f>B30/'- 3 -'!$D30*100</f>
        <v>0.79767394998631747</v>
      </c>
      <c r="D30" s="20">
        <f>B30/'- 7 -'!$E30</f>
        <v>120.12994626282365</v>
      </c>
      <c r="E30" s="20">
        <v>101090</v>
      </c>
      <c r="F30" s="70">
        <f>E30/'- 3 -'!$D30*100</f>
        <v>0.65583482797586756</v>
      </c>
      <c r="G30" s="20">
        <f>E30/'- 7 -'!$E30</f>
        <v>98.768930141670737</v>
      </c>
      <c r="H30" s="20">
        <v>317944</v>
      </c>
      <c r="I30" s="70">
        <f>H30/'- 3 -'!$D30*100</f>
        <v>2.0627040117317166</v>
      </c>
      <c r="J30" s="20">
        <f>H30/'- 7 -'!$E30</f>
        <v>310.64386907669763</v>
      </c>
    </row>
    <row r="31" spans="1:10" ht="14.1" customHeight="1" x14ac:dyDescent="0.2">
      <c r="A31" s="284" t="s">
        <v>129</v>
      </c>
      <c r="B31" s="285">
        <v>189063</v>
      </c>
      <c r="C31" s="291">
        <f>B31/'- 3 -'!$D31*100</f>
        <v>0.48793911888254687</v>
      </c>
      <c r="D31" s="285">
        <f>B31/'- 7 -'!$E31</f>
        <v>56.563350785340312</v>
      </c>
      <c r="E31" s="285">
        <v>354654</v>
      </c>
      <c r="F31" s="291">
        <f>E31/'- 3 -'!$D31*100</f>
        <v>0.9153010386388174</v>
      </c>
      <c r="G31" s="285">
        <f>E31/'- 7 -'!$E31</f>
        <v>106.10441286462229</v>
      </c>
      <c r="H31" s="285">
        <v>729539</v>
      </c>
      <c r="I31" s="291">
        <f>H31/'- 3 -'!$D31*100</f>
        <v>1.8828148122607506</v>
      </c>
      <c r="J31" s="285">
        <f>H31/'- 7 -'!$E31</f>
        <v>218.26148092744953</v>
      </c>
    </row>
    <row r="32" spans="1:10" ht="14.1" customHeight="1" x14ac:dyDescent="0.2">
      <c r="A32" s="19" t="s">
        <v>130</v>
      </c>
      <c r="B32" s="20">
        <v>221430</v>
      </c>
      <c r="C32" s="70">
        <f>B32/'- 3 -'!$D32*100</f>
        <v>0.73614700200368421</v>
      </c>
      <c r="D32" s="20">
        <f>B32/'- 7 -'!$E32</f>
        <v>99.452054794520549</v>
      </c>
      <c r="E32" s="20">
        <v>180223</v>
      </c>
      <c r="F32" s="70">
        <f>E32/'- 3 -'!$D32*100</f>
        <v>0.59915377835934602</v>
      </c>
      <c r="G32" s="20">
        <f>E32/'- 7 -'!$E32</f>
        <v>80.944531776330564</v>
      </c>
      <c r="H32" s="20">
        <v>665547</v>
      </c>
      <c r="I32" s="70">
        <f>H32/'- 3 -'!$D32*100</f>
        <v>2.212619919353954</v>
      </c>
      <c r="J32" s="20">
        <f>H32/'- 7 -'!$E32</f>
        <v>298.92072759937122</v>
      </c>
    </row>
    <row r="33" spans="1:10" ht="14.1" customHeight="1" x14ac:dyDescent="0.2">
      <c r="A33" s="284" t="s">
        <v>131</v>
      </c>
      <c r="B33" s="285">
        <v>230046</v>
      </c>
      <c r="C33" s="291">
        <f>B33/'- 3 -'!$D33*100</f>
        <v>0.82088440458440071</v>
      </c>
      <c r="D33" s="285">
        <f>B33/'- 7 -'!$E33</f>
        <v>112.31618006054097</v>
      </c>
      <c r="E33" s="285">
        <v>231715</v>
      </c>
      <c r="F33" s="291">
        <f>E33/'- 3 -'!$D33*100</f>
        <v>0.82683997899669803</v>
      </c>
      <c r="G33" s="285">
        <f>E33/'- 7 -'!$E33</f>
        <v>113.1310418904404</v>
      </c>
      <c r="H33" s="285">
        <v>392429</v>
      </c>
      <c r="I33" s="291">
        <f>H33/'- 3 -'!$D33*100</f>
        <v>1.4003236135670769</v>
      </c>
      <c r="J33" s="285">
        <f>H33/'- 7 -'!$E33</f>
        <v>191.59701201054585</v>
      </c>
    </row>
    <row r="34" spans="1:10" ht="14.1" customHeight="1" x14ac:dyDescent="0.2">
      <c r="A34" s="19" t="s">
        <v>132</v>
      </c>
      <c r="B34" s="20">
        <v>158427</v>
      </c>
      <c r="C34" s="70">
        <f>B34/'- 3 -'!$D34*100</f>
        <v>0.51500449121806935</v>
      </c>
      <c r="D34" s="20">
        <f>B34/'- 7 -'!$E34</f>
        <v>72.606989981576362</v>
      </c>
      <c r="E34" s="20">
        <v>306979</v>
      </c>
      <c r="F34" s="70">
        <f>E34/'- 3 -'!$D34*100</f>
        <v>0.99790795577541525</v>
      </c>
      <c r="G34" s="20">
        <f>E34/'- 7 -'!$E34</f>
        <v>140.68827395301514</v>
      </c>
      <c r="H34" s="20">
        <v>586217</v>
      </c>
      <c r="I34" s="70">
        <f>H34/'- 3 -'!$D34*100</f>
        <v>1.9056372198449947</v>
      </c>
      <c r="J34" s="20">
        <f>H34/'- 7 -'!$E34</f>
        <v>268.6628658374504</v>
      </c>
    </row>
    <row r="35" spans="1:10" ht="14.1" customHeight="1" x14ac:dyDescent="0.2">
      <c r="A35" s="284" t="s">
        <v>133</v>
      </c>
      <c r="B35" s="285">
        <v>648607</v>
      </c>
      <c r="C35" s="291">
        <f>B35/'- 3 -'!$D35*100</f>
        <v>0.33632419593496909</v>
      </c>
      <c r="D35" s="285">
        <f>B35/'- 7 -'!$E35</f>
        <v>40.373918456271397</v>
      </c>
      <c r="E35" s="285">
        <v>1712290</v>
      </c>
      <c r="F35" s="291">
        <f>E35/'- 3 -'!$D35*100</f>
        <v>0.88787903531335355</v>
      </c>
      <c r="G35" s="285">
        <f>E35/'- 7 -'!$E35</f>
        <v>106.58512293806412</v>
      </c>
      <c r="H35" s="285">
        <v>2450709</v>
      </c>
      <c r="I35" s="291">
        <f>H35/'- 3 -'!$D35*100</f>
        <v>1.2707737256853413</v>
      </c>
      <c r="J35" s="285">
        <f>H35/'- 7 -'!$E35</f>
        <v>152.54957983193276</v>
      </c>
    </row>
    <row r="36" spans="1:10" ht="14.1" customHeight="1" x14ac:dyDescent="0.2">
      <c r="A36" s="19" t="s">
        <v>134</v>
      </c>
      <c r="B36" s="20">
        <v>177117</v>
      </c>
      <c r="C36" s="70">
        <f>B36/'- 3 -'!$D36*100</f>
        <v>0.73742760808855867</v>
      </c>
      <c r="D36" s="20">
        <f>B36/'- 7 -'!$E36</f>
        <v>105.4895771292436</v>
      </c>
      <c r="E36" s="20">
        <v>180147</v>
      </c>
      <c r="F36" s="70">
        <f>E36/'- 3 -'!$D36*100</f>
        <v>0.75004302982960191</v>
      </c>
      <c r="G36" s="20">
        <f>E36/'- 7 -'!$E36</f>
        <v>107.29422275163788</v>
      </c>
      <c r="H36" s="20">
        <v>493191</v>
      </c>
      <c r="I36" s="70">
        <f>H36/'- 3 -'!$D36*100</f>
        <v>2.0534034534279848</v>
      </c>
      <c r="J36" s="20">
        <f>H36/'- 7 -'!$E36</f>
        <v>293.74091721262658</v>
      </c>
    </row>
    <row r="37" spans="1:10" ht="14.1" customHeight="1" x14ac:dyDescent="0.2">
      <c r="A37" s="284" t="s">
        <v>135</v>
      </c>
      <c r="B37" s="285">
        <v>243538</v>
      </c>
      <c r="C37" s="291">
        <f>B37/'- 3 -'!$D37*100</f>
        <v>0.45399417960290711</v>
      </c>
      <c r="D37" s="285">
        <f>B37/'- 7 -'!$E37</f>
        <v>56.153562370302055</v>
      </c>
      <c r="E37" s="285">
        <v>419720</v>
      </c>
      <c r="F37" s="291">
        <f>E37/'- 3 -'!$D37*100</f>
        <v>0.78242589272693452</v>
      </c>
      <c r="G37" s="285">
        <f>E37/'- 7 -'!$E37</f>
        <v>96.776573668434395</v>
      </c>
      <c r="H37" s="285">
        <v>795192</v>
      </c>
      <c r="I37" s="291">
        <f>H37/'- 3 -'!$D37*100</f>
        <v>1.4823663644556289</v>
      </c>
      <c r="J37" s="285">
        <f>H37/'- 7 -'!$E37</f>
        <v>183.35070325109524</v>
      </c>
    </row>
    <row r="38" spans="1:10" ht="14.1" customHeight="1" x14ac:dyDescent="0.2">
      <c r="A38" s="19" t="s">
        <v>136</v>
      </c>
      <c r="B38" s="20">
        <v>513929</v>
      </c>
      <c r="C38" s="70">
        <f>B38/'- 3 -'!$D38*100</f>
        <v>0.35633900011649178</v>
      </c>
      <c r="D38" s="20">
        <f>B38/'- 7 -'!$E38</f>
        <v>45.455100253840783</v>
      </c>
      <c r="E38" s="20">
        <v>1494319</v>
      </c>
      <c r="F38" s="70">
        <f>E38/'- 3 -'!$D38*100</f>
        <v>1.0361044780798045</v>
      </c>
      <c r="G38" s="20">
        <f>E38/'- 7 -'!$E38</f>
        <v>132.16693347956451</v>
      </c>
      <c r="H38" s="20">
        <v>1705140</v>
      </c>
      <c r="I38" s="70">
        <f>H38/'- 3 -'!$D38*100</f>
        <v>1.1822798142518418</v>
      </c>
      <c r="J38" s="20">
        <f>H38/'- 7 -'!$E38</f>
        <v>150.81326340182022</v>
      </c>
    </row>
    <row r="39" spans="1:10" ht="14.1" customHeight="1" x14ac:dyDescent="0.2">
      <c r="A39" s="284" t="s">
        <v>137</v>
      </c>
      <c r="B39" s="285">
        <v>139237</v>
      </c>
      <c r="C39" s="291">
        <f>B39/'- 3 -'!$D39*100</f>
        <v>0.62364082316091751</v>
      </c>
      <c r="D39" s="285">
        <f>B39/'- 7 -'!$E39</f>
        <v>92.63938789088489</v>
      </c>
      <c r="E39" s="285">
        <v>253760</v>
      </c>
      <c r="F39" s="291">
        <f>E39/'- 3 -'!$D39*100</f>
        <v>1.1365879420363441</v>
      </c>
      <c r="G39" s="285">
        <f>E39/'- 7 -'!$E39</f>
        <v>168.83566200931472</v>
      </c>
      <c r="H39" s="285">
        <v>411647</v>
      </c>
      <c r="I39" s="291">
        <f>H39/'- 3 -'!$D39*100</f>
        <v>1.843761887513536</v>
      </c>
      <c r="J39" s="285">
        <f>H39/'- 7 -'!$E39</f>
        <v>273.88356620093145</v>
      </c>
    </row>
    <row r="40" spans="1:10" ht="14.1" customHeight="1" x14ac:dyDescent="0.2">
      <c r="A40" s="19" t="s">
        <v>138</v>
      </c>
      <c r="B40" s="20">
        <v>502249</v>
      </c>
      <c r="C40" s="70">
        <f>B40/'- 3 -'!$D40*100</f>
        <v>0.47098145491238902</v>
      </c>
      <c r="D40" s="20">
        <f>B40/'- 7 -'!$E40</f>
        <v>61.244276438130662</v>
      </c>
      <c r="E40" s="20">
        <v>1027777</v>
      </c>
      <c r="F40" s="70">
        <f>E40/'- 3 -'!$D40*100</f>
        <v>0.96379267412277669</v>
      </c>
      <c r="G40" s="20">
        <f>E40/'- 7 -'!$E40</f>
        <v>125.32719568332165</v>
      </c>
      <c r="H40" s="20">
        <v>1480042</v>
      </c>
      <c r="I40" s="70">
        <f>H40/'- 3 -'!$D40*100</f>
        <v>1.3879018862983143</v>
      </c>
      <c r="J40" s="20">
        <f>H40/'- 7 -'!$E40</f>
        <v>180.4764198396488</v>
      </c>
    </row>
    <row r="41" spans="1:10" ht="14.1" customHeight="1" x14ac:dyDescent="0.2">
      <c r="A41" s="284" t="s">
        <v>139</v>
      </c>
      <c r="B41" s="285">
        <v>273653</v>
      </c>
      <c r="C41" s="291">
        <f>B41/'- 3 -'!$D41*100</f>
        <v>0.41762061625629293</v>
      </c>
      <c r="D41" s="285">
        <f>B41/'- 7 -'!$E41</f>
        <v>61.46052779337451</v>
      </c>
      <c r="E41" s="285">
        <v>529308</v>
      </c>
      <c r="F41" s="291">
        <f>E41/'- 3 -'!$D41*100</f>
        <v>0.80777456541454296</v>
      </c>
      <c r="G41" s="285">
        <f>E41/'- 7 -'!$E41</f>
        <v>118.87883211678832</v>
      </c>
      <c r="H41" s="285">
        <v>1264289</v>
      </c>
      <c r="I41" s="291">
        <f>H41/'- 3 -'!$D41*100</f>
        <v>1.9294257739036387</v>
      </c>
      <c r="J41" s="285">
        <f>H41/'- 7 -'!$E41</f>
        <v>283.95036496350366</v>
      </c>
    </row>
    <row r="42" spans="1:10" ht="14.1" customHeight="1" x14ac:dyDescent="0.2">
      <c r="A42" s="19" t="s">
        <v>140</v>
      </c>
      <c r="B42" s="20">
        <v>211044</v>
      </c>
      <c r="C42" s="70">
        <f>B42/'- 3 -'!$D42*100</f>
        <v>1.0120507233814822</v>
      </c>
      <c r="D42" s="20">
        <f>B42/'- 7 -'!$E42</f>
        <v>152.65388788426762</v>
      </c>
      <c r="E42" s="20">
        <v>187360</v>
      </c>
      <c r="F42" s="70">
        <f>E42/'- 3 -'!$D42*100</f>
        <v>0.8984753109908572</v>
      </c>
      <c r="G42" s="20">
        <f>E42/'- 7 -'!$E42</f>
        <v>135.52260397830017</v>
      </c>
      <c r="H42" s="20">
        <v>315453</v>
      </c>
      <c r="I42" s="70">
        <f>H42/'- 3 -'!$D42*100</f>
        <v>1.5127387504163048</v>
      </c>
      <c r="J42" s="20">
        <f>H42/'- 7 -'!$E42</f>
        <v>228.17576853526219</v>
      </c>
    </row>
    <row r="43" spans="1:10" ht="14.1" customHeight="1" x14ac:dyDescent="0.2">
      <c r="A43" s="284" t="s">
        <v>141</v>
      </c>
      <c r="B43" s="285">
        <v>99695</v>
      </c>
      <c r="C43" s="291">
        <f>B43/'- 3 -'!$D43*100</f>
        <v>0.72389363065820767</v>
      </c>
      <c r="D43" s="285">
        <f>B43/'- 7 -'!$E43</f>
        <v>100.54967221381744</v>
      </c>
      <c r="E43" s="285">
        <v>136566</v>
      </c>
      <c r="F43" s="291">
        <f>E43/'- 3 -'!$D43*100</f>
        <v>0.99161700751761661</v>
      </c>
      <c r="G43" s="285">
        <f>E43/'- 7 -'!$E43</f>
        <v>137.73676248108927</v>
      </c>
      <c r="H43" s="285">
        <v>258228</v>
      </c>
      <c r="I43" s="291">
        <f>H43/'- 3 -'!$D43*100</f>
        <v>1.8750148398375812</v>
      </c>
      <c r="J43" s="285">
        <f>H43/'- 7 -'!$E43</f>
        <v>260.44175491679272</v>
      </c>
    </row>
    <row r="44" spans="1:10" ht="14.1" customHeight="1" x14ac:dyDescent="0.2">
      <c r="A44" s="19" t="s">
        <v>142</v>
      </c>
      <c r="B44" s="20">
        <v>94977</v>
      </c>
      <c r="C44" s="70">
        <f>B44/'- 3 -'!$D44*100</f>
        <v>0.85211161776679245</v>
      </c>
      <c r="D44" s="20">
        <f>B44/'- 7 -'!$E44</f>
        <v>133.77042253521128</v>
      </c>
      <c r="E44" s="20">
        <v>49627</v>
      </c>
      <c r="F44" s="70">
        <f>E44/'- 3 -'!$D44*100</f>
        <v>0.44524193494122372</v>
      </c>
      <c r="G44" s="20">
        <f>E44/'- 7 -'!$E44</f>
        <v>69.897183098591555</v>
      </c>
      <c r="H44" s="20">
        <v>225427</v>
      </c>
      <c r="I44" s="70">
        <f>H44/'- 3 -'!$D44*100</f>
        <v>2.0224787649464049</v>
      </c>
      <c r="J44" s="20">
        <f>H44/'- 7 -'!$E44</f>
        <v>317.50281690140844</v>
      </c>
    </row>
    <row r="45" spans="1:10" ht="14.1" customHeight="1" x14ac:dyDescent="0.2">
      <c r="A45" s="284" t="s">
        <v>143</v>
      </c>
      <c r="B45" s="285">
        <v>132868</v>
      </c>
      <c r="C45" s="291">
        <f>B45/'- 3 -'!$D45*100</f>
        <v>0.64767885018626836</v>
      </c>
      <c r="D45" s="285">
        <f>B45/'- 7 -'!$E45</f>
        <v>73.104814305364513</v>
      </c>
      <c r="E45" s="285">
        <v>168377</v>
      </c>
      <c r="F45" s="291">
        <f>E45/'- 3 -'!$D45*100</f>
        <v>0.82077115451284954</v>
      </c>
      <c r="G45" s="285">
        <f>E45/'- 7 -'!$E45</f>
        <v>92.642090784044015</v>
      </c>
      <c r="H45" s="285">
        <v>382797</v>
      </c>
      <c r="I45" s="291">
        <f>H45/'- 3 -'!$D45*100</f>
        <v>1.8659836891859061</v>
      </c>
      <c r="J45" s="285">
        <f>H45/'- 7 -'!$E45</f>
        <v>210.61733149931223</v>
      </c>
    </row>
    <row r="46" spans="1:10" ht="14.1" customHeight="1" x14ac:dyDescent="0.2">
      <c r="A46" s="19" t="s">
        <v>144</v>
      </c>
      <c r="B46" s="20">
        <v>1147597</v>
      </c>
      <c r="C46" s="70">
        <f>B46/'- 3 -'!$D46*100</f>
        <v>0.28586401918229304</v>
      </c>
      <c r="D46" s="20">
        <f>B46/'- 7 -'!$E46</f>
        <v>38.526126731011331</v>
      </c>
      <c r="E46" s="20">
        <v>3199212</v>
      </c>
      <c r="F46" s="70">
        <f>E46/'- 3 -'!$D46*100</f>
        <v>0.79691703667421754</v>
      </c>
      <c r="G46" s="20">
        <f>E46/'- 7 -'!$E46</f>
        <v>107.4011582039446</v>
      </c>
      <c r="H46" s="20">
        <v>5718689</v>
      </c>
      <c r="I46" s="70">
        <f>H46/'- 3 -'!$D46*100</f>
        <v>1.4245135025567062</v>
      </c>
      <c r="J46" s="20">
        <f>H46/'- 7 -'!$E46</f>
        <v>191.98284515316828</v>
      </c>
    </row>
    <row r="47" spans="1:10" ht="5.0999999999999996" customHeight="1" x14ac:dyDescent="0.2">
      <c r="A47" s="21"/>
      <c r="B47" s="22"/>
      <c r="C47"/>
      <c r="D47" s="22"/>
      <c r="E47" s="552"/>
      <c r="F47"/>
      <c r="G47" s="22"/>
      <c r="H47"/>
      <c r="I47"/>
      <c r="J47"/>
    </row>
    <row r="48" spans="1:10" ht="14.1" customHeight="1" x14ac:dyDescent="0.2">
      <c r="A48" s="286" t="s">
        <v>145</v>
      </c>
      <c r="B48" s="287">
        <f>SUM(B11:B46)</f>
        <v>11138724</v>
      </c>
      <c r="C48" s="294">
        <f>B48/'- 3 -'!$D48*100</f>
        <v>0.46484858055538492</v>
      </c>
      <c r="D48" s="287">
        <f>B48/'- 7 -'!$E48</f>
        <v>62.294072056819985</v>
      </c>
      <c r="E48" s="287">
        <f>SUM(E11:E46)</f>
        <v>22322573</v>
      </c>
      <c r="F48" s="294">
        <f>E48/'- 3 -'!$D48*100</f>
        <v>0.93158034738933837</v>
      </c>
      <c r="G48" s="287">
        <f>E48/'- 7 -'!$E48</f>
        <v>124.84050874728777</v>
      </c>
      <c r="H48" s="287">
        <f>SUM(H11:H46)</f>
        <v>40601120</v>
      </c>
      <c r="I48" s="294">
        <f>H48/'- 3 -'!$D48*100</f>
        <v>1.6943927330418502</v>
      </c>
      <c r="J48" s="287">
        <f>H48/'- 7 -'!$E48</f>
        <v>227.06452685851582</v>
      </c>
    </row>
    <row r="49" spans="1:10" ht="5.0999999999999996" customHeight="1" x14ac:dyDescent="0.2">
      <c r="A49" s="21" t="s">
        <v>7</v>
      </c>
      <c r="B49" s="22"/>
      <c r="C49"/>
      <c r="D49" s="22"/>
      <c r="E49" s="552"/>
      <c r="F49"/>
      <c r="H49"/>
      <c r="I49"/>
      <c r="J49"/>
    </row>
    <row r="50" spans="1:10" ht="14.1" customHeight="1" x14ac:dyDescent="0.2">
      <c r="A50" s="19" t="s">
        <v>146</v>
      </c>
      <c r="B50" s="20">
        <v>53478</v>
      </c>
      <c r="C50" s="70">
        <f>B50/'- 3 -'!$D50*100</f>
        <v>1.5741727115726922</v>
      </c>
      <c r="D50" s="20">
        <f>B50/'- 7 -'!$E50</f>
        <v>296.2770083102493</v>
      </c>
      <c r="E50" s="20">
        <v>24647</v>
      </c>
      <c r="F50" s="70">
        <f>E50/'- 3 -'!$D50*100</f>
        <v>0.72550646662425933</v>
      </c>
      <c r="G50" s="20">
        <f>E50/'- 7 -'!$E50</f>
        <v>136.54847645429362</v>
      </c>
      <c r="H50" s="20">
        <v>124320</v>
      </c>
      <c r="I50" s="70">
        <f>H50/'- 3 -'!$D50*100</f>
        <v>3.6594702775480958</v>
      </c>
      <c r="J50" s="20">
        <f>H50/'- 7 -'!$E50</f>
        <v>688.75346260387812</v>
      </c>
    </row>
    <row r="51" spans="1:10" ht="14.1" customHeight="1" x14ac:dyDescent="0.2">
      <c r="A51" s="284" t="s">
        <v>601</v>
      </c>
      <c r="B51" s="285">
        <v>62854</v>
      </c>
      <c r="C51" s="291">
        <f>B51/'- 3 -'!$D51*100</f>
        <v>0.20003331448652503</v>
      </c>
      <c r="D51" s="285">
        <f>B51/'- 7 -'!$E51</f>
        <v>52.422018348623851</v>
      </c>
      <c r="E51" s="285">
        <v>424088</v>
      </c>
      <c r="F51" s="291">
        <f>E51/'- 3 -'!$D51*100</f>
        <v>1.3496631602437623</v>
      </c>
      <c r="G51" s="285">
        <f>E51/'- 7 -'!$E51</f>
        <v>353.70141784820686</v>
      </c>
      <c r="H51" s="285">
        <v>3519669</v>
      </c>
      <c r="I51" s="291">
        <f>H51/'- 3 -'!$D51*100</f>
        <v>11.201372322612293</v>
      </c>
      <c r="J51" s="285">
        <f>H51/'- 7 -'!$E51</f>
        <v>2935.5037531276062</v>
      </c>
    </row>
    <row r="52" spans="1:10" ht="50.1" customHeight="1" x14ac:dyDescent="0.2"/>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52"/>
  <sheetViews>
    <sheetView showGridLines="0" showZeros="0" workbookViewId="0"/>
  </sheetViews>
  <sheetFormatPr defaultColWidth="15.83203125" defaultRowHeight="12" x14ac:dyDescent="0.2"/>
  <cols>
    <col min="1" max="1" width="35.83203125" style="2" customWidth="1"/>
    <col min="2" max="2" width="20.83203125" style="2" customWidth="1"/>
    <col min="3" max="4" width="15.83203125" style="2" customWidth="1"/>
    <col min="5" max="5" width="44.83203125" style="2" customWidth="1"/>
    <col min="6" max="16384" width="15.83203125" style="2"/>
  </cols>
  <sheetData>
    <row r="1" spans="1:5" ht="6.95" customHeight="1" x14ac:dyDescent="0.2">
      <c r="A1" s="7"/>
      <c r="B1" s="8"/>
      <c r="C1" s="8"/>
      <c r="D1" s="8"/>
      <c r="E1" s="8"/>
    </row>
    <row r="2" spans="1:5" ht="15.95" customHeight="1" x14ac:dyDescent="0.2">
      <c r="A2" s="134"/>
      <c r="B2" s="9" t="s">
        <v>263</v>
      </c>
      <c r="C2" s="10"/>
      <c r="D2" s="10"/>
      <c r="E2" s="395" t="s">
        <v>406</v>
      </c>
    </row>
    <row r="3" spans="1:5" ht="15.95" customHeight="1" x14ac:dyDescent="0.2">
      <c r="A3" s="541"/>
      <c r="B3" s="11" t="str">
        <f>OPYEAR</f>
        <v>OPERATING FUND 2018/2019 ACTUAL</v>
      </c>
      <c r="C3" s="12"/>
      <c r="D3" s="12"/>
      <c r="E3" s="66"/>
    </row>
    <row r="4" spans="1:5" ht="15.95" customHeight="1" x14ac:dyDescent="0.2">
      <c r="B4" s="8"/>
      <c r="C4" s="8"/>
      <c r="D4" s="8"/>
      <c r="E4" s="8"/>
    </row>
    <row r="5" spans="1:5" ht="15.95" customHeight="1" x14ac:dyDescent="0.2">
      <c r="B5" s="164" t="s">
        <v>94</v>
      </c>
      <c r="C5" s="155"/>
      <c r="D5" s="157"/>
      <c r="E5" s="43"/>
    </row>
    <row r="6" spans="1:5" ht="15.95" customHeight="1" x14ac:dyDescent="0.2">
      <c r="B6" s="649" t="s">
        <v>490</v>
      </c>
      <c r="C6" s="657"/>
      <c r="D6" s="650"/>
      <c r="E6" s="69"/>
    </row>
    <row r="7" spans="1:5" ht="15.95" customHeight="1" x14ac:dyDescent="0.2">
      <c r="B7" s="651"/>
      <c r="C7" s="658"/>
      <c r="D7" s="652"/>
      <c r="E7" s="69"/>
    </row>
    <row r="8" spans="1:5" ht="15.95" customHeight="1" x14ac:dyDescent="0.2">
      <c r="A8" s="67"/>
      <c r="B8" s="139"/>
      <c r="C8" s="68"/>
      <c r="D8" s="602" t="s">
        <v>473</v>
      </c>
      <c r="E8" s="69"/>
    </row>
    <row r="9" spans="1:5" ht="15.95" customHeight="1" x14ac:dyDescent="0.2">
      <c r="A9" s="35" t="s">
        <v>42</v>
      </c>
      <c r="B9" s="77" t="s">
        <v>43</v>
      </c>
      <c r="C9" s="77" t="s">
        <v>44</v>
      </c>
      <c r="D9" s="604"/>
    </row>
    <row r="10" spans="1:5" ht="5.0999999999999996" customHeight="1" x14ac:dyDescent="0.2">
      <c r="A10" s="6"/>
    </row>
    <row r="11" spans="1:5" ht="14.1" customHeight="1" x14ac:dyDescent="0.2">
      <c r="A11" s="284" t="s">
        <v>110</v>
      </c>
      <c r="B11" s="285">
        <v>11947</v>
      </c>
      <c r="C11" s="291">
        <f>B11/'- 3 -'!$D11*100</f>
        <v>5.9465801290846401E-2</v>
      </c>
      <c r="D11" s="285">
        <f>B11/'- 7 -'!$E11</f>
        <v>6.5896304467733042</v>
      </c>
    </row>
    <row r="12" spans="1:5" ht="14.1" customHeight="1" x14ac:dyDescent="0.2">
      <c r="A12" s="19" t="s">
        <v>111</v>
      </c>
      <c r="B12" s="20">
        <v>83405</v>
      </c>
      <c r="C12" s="70">
        <f>B12/'- 3 -'!$D12*100</f>
        <v>0.24610648359645182</v>
      </c>
      <c r="D12" s="20">
        <f>B12/'- 7 -'!$E12</f>
        <v>39.218590566472464</v>
      </c>
    </row>
    <row r="13" spans="1:5" ht="14.1" customHeight="1" x14ac:dyDescent="0.2">
      <c r="A13" s="284" t="s">
        <v>112</v>
      </c>
      <c r="B13" s="285">
        <v>352736</v>
      </c>
      <c r="C13" s="291">
        <f>B13/'- 3 -'!$D13*100</f>
        <v>0.34955843344157639</v>
      </c>
      <c r="D13" s="285">
        <f>B13/'- 7 -'!$E13</f>
        <v>41.183420899007587</v>
      </c>
    </row>
    <row r="14" spans="1:5" ht="14.1" customHeight="1" x14ac:dyDescent="0.2">
      <c r="A14" s="19" t="s">
        <v>359</v>
      </c>
      <c r="B14" s="20">
        <v>114240</v>
      </c>
      <c r="C14" s="70">
        <f>B14/'- 3 -'!$D14*100</f>
        <v>0.1251310335182598</v>
      </c>
      <c r="D14" s="20">
        <f>B14/'- 7 -'!$E14</f>
        <v>21.120354963948973</v>
      </c>
    </row>
    <row r="15" spans="1:5" ht="14.1" customHeight="1" x14ac:dyDescent="0.2">
      <c r="A15" s="284" t="s">
        <v>113</v>
      </c>
      <c r="B15" s="285">
        <v>40794</v>
      </c>
      <c r="C15" s="291">
        <f>B15/'- 3 -'!$D15*100</f>
        <v>0.20140718421410836</v>
      </c>
      <c r="D15" s="285">
        <f>B15/'- 7 -'!$E15</f>
        <v>28.882752761257432</v>
      </c>
    </row>
    <row r="16" spans="1:5" ht="14.1" customHeight="1" x14ac:dyDescent="0.2">
      <c r="A16" s="19" t="s">
        <v>114</v>
      </c>
      <c r="B16" s="20">
        <v>35578</v>
      </c>
      <c r="C16" s="70">
        <f>B16/'- 3 -'!$D16*100</f>
        <v>0.2366196628558872</v>
      </c>
      <c r="D16" s="20">
        <f>B16/'- 7 -'!$E16</f>
        <v>39.360548733266953</v>
      </c>
    </row>
    <row r="17" spans="1:4" ht="14.1" customHeight="1" x14ac:dyDescent="0.2">
      <c r="A17" s="284" t="s">
        <v>115</v>
      </c>
      <c r="B17" s="285">
        <v>94460</v>
      </c>
      <c r="C17" s="291">
        <f>B17/'- 3 -'!$D17*100</f>
        <v>0.51354668300273554</v>
      </c>
      <c r="D17" s="285">
        <f>B17/'- 7 -'!$E17</f>
        <v>65.941978398970804</v>
      </c>
    </row>
    <row r="18" spans="1:4" ht="14.1" customHeight="1" x14ac:dyDescent="0.2">
      <c r="A18" s="19" t="s">
        <v>116</v>
      </c>
      <c r="B18" s="20">
        <v>749632</v>
      </c>
      <c r="C18" s="70">
        <f>B18/'- 3 -'!$D18*100</f>
        <v>0.55730683719091756</v>
      </c>
      <c r="D18" s="20">
        <f>B18/'- 7 -'!$E18</f>
        <v>125.00116725029181</v>
      </c>
    </row>
    <row r="19" spans="1:4" ht="14.1" customHeight="1" x14ac:dyDescent="0.2">
      <c r="A19" s="284" t="s">
        <v>117</v>
      </c>
      <c r="B19" s="285">
        <v>141147</v>
      </c>
      <c r="C19" s="291">
        <f>B19/'- 3 -'!$D19*100</f>
        <v>0.28174039702427112</v>
      </c>
      <c r="D19" s="285">
        <f>B19/'- 7 -'!$E19</f>
        <v>31.973496432212027</v>
      </c>
    </row>
    <row r="20" spans="1:4" ht="14.1" customHeight="1" x14ac:dyDescent="0.2">
      <c r="A20" s="19" t="s">
        <v>118</v>
      </c>
      <c r="B20" s="20">
        <v>102437</v>
      </c>
      <c r="C20" s="70">
        <f>B20/'- 3 -'!$D20*100</f>
        <v>0.11717978881373597</v>
      </c>
      <c r="D20" s="20">
        <f>B20/'- 7 -'!$E20</f>
        <v>12.997145213474592</v>
      </c>
    </row>
    <row r="21" spans="1:4" ht="14.1" customHeight="1" x14ac:dyDescent="0.2">
      <c r="A21" s="284" t="s">
        <v>119</v>
      </c>
      <c r="B21" s="285">
        <v>37707</v>
      </c>
      <c r="C21" s="291">
        <f>B21/'- 3 -'!$D21*100</f>
        <v>0.10122729674446333</v>
      </c>
      <c r="D21" s="285">
        <f>B21/'- 7 -'!$E21</f>
        <v>13.268702934759659</v>
      </c>
    </row>
    <row r="22" spans="1:4" ht="14.1" customHeight="1" x14ac:dyDescent="0.2">
      <c r="A22" s="19" t="s">
        <v>120</v>
      </c>
      <c r="B22" s="20">
        <v>22663</v>
      </c>
      <c r="C22" s="70">
        <f>B22/'- 3 -'!$D22*100</f>
        <v>0.10806007631006809</v>
      </c>
      <c r="D22" s="20">
        <f>B22/'- 7 -'!$E22</f>
        <v>15.431703663352854</v>
      </c>
    </row>
    <row r="23" spans="1:4" ht="14.1" customHeight="1" x14ac:dyDescent="0.2">
      <c r="A23" s="284" t="s">
        <v>121</v>
      </c>
      <c r="B23" s="285">
        <v>47195</v>
      </c>
      <c r="C23" s="291">
        <f>B23/'- 3 -'!$D23*100</f>
        <v>0.29558754404924559</v>
      </c>
      <c r="D23" s="285">
        <f>B23/'- 7 -'!$E23</f>
        <v>49.08476339053562</v>
      </c>
    </row>
    <row r="24" spans="1:4" ht="14.1" customHeight="1" x14ac:dyDescent="0.2">
      <c r="A24" s="19" t="s">
        <v>122</v>
      </c>
      <c r="B24" s="20">
        <v>169058</v>
      </c>
      <c r="C24" s="70">
        <f>B24/'- 3 -'!$D24*100</f>
        <v>0.29194891520854249</v>
      </c>
      <c r="D24" s="20">
        <f>B24/'- 7 -'!$E24</f>
        <v>44.145080426154166</v>
      </c>
    </row>
    <row r="25" spans="1:4" ht="14.1" customHeight="1" x14ac:dyDescent="0.2">
      <c r="A25" s="284" t="s">
        <v>123</v>
      </c>
      <c r="B25" s="285">
        <v>937103</v>
      </c>
      <c r="C25" s="291">
        <f>B25/'- 3 -'!$D25*100</f>
        <v>0.48231766613142329</v>
      </c>
      <c r="D25" s="285">
        <f>B25/'- 7 -'!$E25</f>
        <v>62.970157979263121</v>
      </c>
    </row>
    <row r="26" spans="1:4" ht="14.1" customHeight="1" x14ac:dyDescent="0.2">
      <c r="A26" s="19" t="s">
        <v>124</v>
      </c>
      <c r="B26" s="20">
        <v>24864</v>
      </c>
      <c r="C26" s="70">
        <f>B26/'- 3 -'!$D26*100</f>
        <v>6.0743901716836093E-2</v>
      </c>
      <c r="D26" s="20">
        <f>B26/'- 7 -'!$E26</f>
        <v>8.2852382539153613</v>
      </c>
    </row>
    <row r="27" spans="1:4" ht="14.1" customHeight="1" x14ac:dyDescent="0.2">
      <c r="A27" s="284" t="s">
        <v>125</v>
      </c>
      <c r="B27" s="285">
        <v>198597</v>
      </c>
      <c r="C27" s="291">
        <f>B27/'- 3 -'!$D27*100</f>
        <v>0.4816737586478238</v>
      </c>
      <c r="D27" s="285">
        <f>B27/'- 7 -'!$E27</f>
        <v>66.837071240105544</v>
      </c>
    </row>
    <row r="28" spans="1:4" ht="14.1" customHeight="1" x14ac:dyDescent="0.2">
      <c r="A28" s="19" t="s">
        <v>126</v>
      </c>
      <c r="B28" s="20">
        <v>81783</v>
      </c>
      <c r="C28" s="70">
        <f>B28/'- 3 -'!$D28*100</f>
        <v>0.28137224109723302</v>
      </c>
      <c r="D28" s="20">
        <f>B28/'- 7 -'!$E28</f>
        <v>41.514213197969546</v>
      </c>
    </row>
    <row r="29" spans="1:4" ht="14.1" customHeight="1" x14ac:dyDescent="0.2">
      <c r="A29" s="284" t="s">
        <v>127</v>
      </c>
      <c r="B29" s="285">
        <v>1534456</v>
      </c>
      <c r="C29" s="291">
        <f>B29/'- 3 -'!$D29*100</f>
        <v>0.92048586322625148</v>
      </c>
      <c r="D29" s="285">
        <f>B29/'- 7 -'!$E29</f>
        <v>110.61135339700847</v>
      </c>
    </row>
    <row r="30" spans="1:4" ht="14.1" customHeight="1" x14ac:dyDescent="0.2">
      <c r="A30" s="19" t="s">
        <v>128</v>
      </c>
      <c r="B30" s="20">
        <v>37259</v>
      </c>
      <c r="C30" s="70">
        <f>B30/'- 3 -'!$D30*100</f>
        <v>0.2417227208977431</v>
      </c>
      <c r="D30" s="20">
        <f>B30/'- 7 -'!$E30</f>
        <v>36.403517342452368</v>
      </c>
    </row>
    <row r="31" spans="1:4" ht="14.1" customHeight="1" x14ac:dyDescent="0.2">
      <c r="A31" s="284" t="s">
        <v>129</v>
      </c>
      <c r="B31" s="285">
        <v>84248</v>
      </c>
      <c r="C31" s="291">
        <f>B31/'- 3 -'!$D31*100</f>
        <v>0.21742961281486492</v>
      </c>
      <c r="D31" s="285">
        <f>B31/'- 7 -'!$E31</f>
        <v>25.205086013462978</v>
      </c>
    </row>
    <row r="32" spans="1:4" ht="14.1" customHeight="1" x14ac:dyDescent="0.2">
      <c r="A32" s="19" t="s">
        <v>130</v>
      </c>
      <c r="B32" s="20">
        <v>65822</v>
      </c>
      <c r="C32" s="70">
        <f>B32/'- 3 -'!$D32*100</f>
        <v>0.21882612096773926</v>
      </c>
      <c r="D32" s="20">
        <f>B32/'- 7 -'!$E32</f>
        <v>29.562991241859422</v>
      </c>
    </row>
    <row r="33" spans="1:5" ht="14.1" customHeight="1" x14ac:dyDescent="0.2">
      <c r="A33" s="284" t="s">
        <v>131</v>
      </c>
      <c r="B33" s="285">
        <v>21467</v>
      </c>
      <c r="C33" s="291">
        <f>B33/'- 3 -'!$D33*100</f>
        <v>7.6601747099333733E-2</v>
      </c>
      <c r="D33" s="285">
        <f>B33/'- 7 -'!$E33</f>
        <v>10.480910067376234</v>
      </c>
    </row>
    <row r="34" spans="1:5" ht="14.1" customHeight="1" x14ac:dyDescent="0.2">
      <c r="A34" s="19" t="s">
        <v>132</v>
      </c>
      <c r="B34" s="20">
        <v>63363</v>
      </c>
      <c r="C34" s="70">
        <f>B34/'- 3 -'!$D34*100</f>
        <v>0.20597644073958682</v>
      </c>
      <c r="D34" s="20">
        <f>B34/'- 7 -'!$E34</f>
        <v>29.039221257756715</v>
      </c>
    </row>
    <row r="35" spans="1:5" ht="14.1" customHeight="1" x14ac:dyDescent="0.2">
      <c r="A35" s="284" t="s">
        <v>133</v>
      </c>
      <c r="B35" s="285">
        <v>1232811</v>
      </c>
      <c r="C35" s="291">
        <f>B35/'- 3 -'!$D35*100</f>
        <v>0.63925330487457765</v>
      </c>
      <c r="D35" s="285">
        <f>B35/'- 7 -'!$E35</f>
        <v>76.738935574229686</v>
      </c>
    </row>
    <row r="36" spans="1:5" ht="14.1" customHeight="1" x14ac:dyDescent="0.2">
      <c r="A36" s="19" t="s">
        <v>134</v>
      </c>
      <c r="B36" s="20">
        <v>28890</v>
      </c>
      <c r="C36" s="70">
        <f>B36/'- 3 -'!$D36*100</f>
        <v>0.12028367462004472</v>
      </c>
      <c r="D36" s="20">
        <f>B36/'- 7 -'!$E36</f>
        <v>17.206670637284098</v>
      </c>
    </row>
    <row r="37" spans="1:5" ht="14.1" customHeight="1" x14ac:dyDescent="0.2">
      <c r="A37" s="284" t="s">
        <v>135</v>
      </c>
      <c r="B37" s="285">
        <v>100425</v>
      </c>
      <c r="C37" s="291">
        <f>B37/'- 3 -'!$D37*100</f>
        <v>0.18720842532426951</v>
      </c>
      <c r="D37" s="285">
        <f>B37/'- 7 -'!$E37</f>
        <v>23.155406963338713</v>
      </c>
    </row>
    <row r="38" spans="1:5" ht="14.1" customHeight="1" x14ac:dyDescent="0.2">
      <c r="A38" s="19" t="s">
        <v>136</v>
      </c>
      <c r="B38" s="20">
        <v>611358</v>
      </c>
      <c r="C38" s="70">
        <f>B38/'- 3 -'!$D38*100</f>
        <v>0.42389259690194214</v>
      </c>
      <c r="D38" s="20">
        <f>B38/'- 7 -'!$E38</f>
        <v>54.072331355085218</v>
      </c>
    </row>
    <row r="39" spans="1:5" ht="14.1" customHeight="1" x14ac:dyDescent="0.2">
      <c r="A39" s="284" t="s">
        <v>137</v>
      </c>
      <c r="B39" s="285">
        <v>54252</v>
      </c>
      <c r="C39" s="291">
        <f>B39/'- 3 -'!$D39*100</f>
        <v>0.24299404567841953</v>
      </c>
      <c r="D39" s="285">
        <f>B39/'- 7 -'!$E39</f>
        <v>36.095808383233532</v>
      </c>
    </row>
    <row r="40" spans="1:5" ht="14.1" customHeight="1" x14ac:dyDescent="0.2">
      <c r="A40" s="19" t="s">
        <v>138</v>
      </c>
      <c r="B40" s="20">
        <v>462103</v>
      </c>
      <c r="C40" s="70">
        <f>B40/'- 3 -'!$D40*100</f>
        <v>0.4333347468275292</v>
      </c>
      <c r="D40" s="20">
        <f>B40/'- 7 -'!$E40</f>
        <v>56.348870530134441</v>
      </c>
    </row>
    <row r="41" spans="1:5" ht="14.1" customHeight="1" x14ac:dyDescent="0.2">
      <c r="A41" s="284" t="s">
        <v>139</v>
      </c>
      <c r="B41" s="285">
        <v>121466</v>
      </c>
      <c r="C41" s="291">
        <f>B41/'- 3 -'!$D41*100</f>
        <v>0.18536871795371102</v>
      </c>
      <c r="D41" s="285">
        <f>B41/'- 7 -'!$E41</f>
        <v>27.280404267265581</v>
      </c>
    </row>
    <row r="42" spans="1:5" ht="14.1" customHeight="1" x14ac:dyDescent="0.2">
      <c r="A42" s="19" t="s">
        <v>140</v>
      </c>
      <c r="B42" s="20">
        <v>13500</v>
      </c>
      <c r="C42" s="70">
        <f>B42/'- 3 -'!$D42*100</f>
        <v>6.4738560516527391E-2</v>
      </c>
      <c r="D42" s="20">
        <f>B42/'- 7 -'!$E42</f>
        <v>9.7649186256781189</v>
      </c>
    </row>
    <row r="43" spans="1:5" ht="14.1" customHeight="1" x14ac:dyDescent="0.2">
      <c r="A43" s="284" t="s">
        <v>141</v>
      </c>
      <c r="B43" s="285">
        <v>21398</v>
      </c>
      <c r="C43" s="291">
        <f>B43/'- 3 -'!$D43*100</f>
        <v>0.15537264565749867</v>
      </c>
      <c r="D43" s="285">
        <f>B43/'- 7 -'!$E43</f>
        <v>21.581442259203229</v>
      </c>
    </row>
    <row r="44" spans="1:5" ht="14.1" customHeight="1" x14ac:dyDescent="0.2">
      <c r="A44" s="19" t="s">
        <v>142</v>
      </c>
      <c r="B44" s="20">
        <v>9766</v>
      </c>
      <c r="C44" s="70">
        <f>B44/'- 3 -'!$D44*100</f>
        <v>8.7618287154895336E-2</v>
      </c>
      <c r="D44" s="20">
        <f>B44/'- 7 -'!$E44</f>
        <v>13.75492957746479</v>
      </c>
    </row>
    <row r="45" spans="1:5" ht="14.1" customHeight="1" x14ac:dyDescent="0.2">
      <c r="A45" s="284" t="s">
        <v>143</v>
      </c>
      <c r="B45" s="285">
        <v>57323</v>
      </c>
      <c r="C45" s="291">
        <f>B45/'- 3 -'!$D45*100</f>
        <v>0.27942691038645467</v>
      </c>
      <c r="D45" s="285">
        <f>B45/'- 7 -'!$E45</f>
        <v>31.539477303988996</v>
      </c>
    </row>
    <row r="46" spans="1:5" ht="14.1" customHeight="1" x14ac:dyDescent="0.2">
      <c r="A46" s="19" t="s">
        <v>144</v>
      </c>
      <c r="B46" s="20">
        <v>1010836</v>
      </c>
      <c r="C46" s="70">
        <f>B46/'- 3 -'!$D46*100</f>
        <v>0.25179713932168901</v>
      </c>
      <c r="D46" s="20">
        <f>B46/'- 7 -'!$E46</f>
        <v>33.934905581200169</v>
      </c>
    </row>
    <row r="47" spans="1:5" ht="5.0999999999999996" customHeight="1" x14ac:dyDescent="0.2">
      <c r="A47" s="21"/>
      <c r="B47" s="22"/>
      <c r="C47"/>
      <c r="D47" s="22"/>
    </row>
    <row r="48" spans="1:5" ht="14.1" customHeight="1" x14ac:dyDescent="0.2">
      <c r="A48" s="286" t="s">
        <v>145</v>
      </c>
      <c r="B48" s="287">
        <f>SUM(B11:B46)</f>
        <v>8776089</v>
      </c>
      <c r="C48" s="294">
        <f>B48/'- 3 -'!$D48*100</f>
        <v>0.36624953760212819</v>
      </c>
      <c r="D48" s="287">
        <f>B48/'- 7 -'!$E48</f>
        <v>49.080875021507417</v>
      </c>
      <c r="E48" s="6"/>
    </row>
    <row r="49" spans="1:4" ht="5.0999999999999996" customHeight="1" x14ac:dyDescent="0.2">
      <c r="A49" s="21" t="s">
        <v>7</v>
      </c>
      <c r="B49" s="22"/>
      <c r="C49"/>
      <c r="D49" s="22"/>
    </row>
    <row r="50" spans="1:4" ht="14.1" customHeight="1" x14ac:dyDescent="0.2">
      <c r="A50" s="19" t="s">
        <v>146</v>
      </c>
      <c r="B50" s="20">
        <v>7547</v>
      </c>
      <c r="C50" s="70">
        <f>B50/'- 3 -'!$D50*100</f>
        <v>0.22215268810051061</v>
      </c>
      <c r="D50" s="20">
        <f>B50/'- 7 -'!$E50</f>
        <v>41.81163434903047</v>
      </c>
    </row>
    <row r="51" spans="1:4" ht="14.1" customHeight="1" x14ac:dyDescent="0.2">
      <c r="A51" s="284" t="s">
        <v>601</v>
      </c>
      <c r="B51" s="285">
        <v>1645986</v>
      </c>
      <c r="C51" s="291">
        <f>B51/'- 3 -'!$D51*100</f>
        <v>5.2383624777805293</v>
      </c>
      <c r="D51" s="285">
        <f>B51/'- 7 -'!$E51</f>
        <v>1372.7989991659717</v>
      </c>
    </row>
    <row r="52" spans="1:4" ht="50.1" customHeight="1" x14ac:dyDescent="0.2"/>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52"/>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row>
    <row r="2" spans="1:10" ht="15.95" customHeight="1" x14ac:dyDescent="0.2">
      <c r="A2" s="134"/>
      <c r="B2" s="9" t="s">
        <v>263</v>
      </c>
      <c r="C2" s="10"/>
      <c r="D2" s="10"/>
      <c r="E2" s="10"/>
      <c r="F2" s="10"/>
      <c r="G2" s="10"/>
      <c r="H2" s="73"/>
      <c r="I2" s="135"/>
      <c r="J2" s="395" t="s">
        <v>407</v>
      </c>
    </row>
    <row r="3" spans="1:10" ht="15.95" customHeight="1" x14ac:dyDescent="0.2">
      <c r="A3" s="541"/>
      <c r="B3" s="11" t="str">
        <f>OPYEAR</f>
        <v>OPERATING FUND 2018/2019 ACTUAL</v>
      </c>
      <c r="C3" s="12"/>
      <c r="D3" s="12"/>
      <c r="E3" s="12"/>
      <c r="F3" s="12"/>
      <c r="G3" s="12"/>
      <c r="H3" s="75"/>
      <c r="I3" s="12"/>
      <c r="J3" s="12"/>
    </row>
    <row r="4" spans="1:10" ht="15.95" customHeight="1" x14ac:dyDescent="0.2">
      <c r="B4" s="8"/>
      <c r="C4" s="8"/>
      <c r="D4" s="8"/>
      <c r="E4" s="8"/>
      <c r="F4" s="8"/>
      <c r="G4" s="8"/>
    </row>
    <row r="5" spans="1:10" ht="15.95" customHeight="1" x14ac:dyDescent="0.2">
      <c r="B5" s="393" t="s">
        <v>249</v>
      </c>
      <c r="C5" s="166"/>
      <c r="D5" s="166"/>
      <c r="E5" s="166"/>
      <c r="F5" s="166"/>
      <c r="G5" s="166"/>
      <c r="H5" s="39"/>
      <c r="I5" s="39"/>
      <c r="J5" s="183"/>
    </row>
    <row r="6" spans="1:10" ht="15.95" customHeight="1" x14ac:dyDescent="0.2">
      <c r="B6" s="649" t="s">
        <v>491</v>
      </c>
      <c r="C6" s="657"/>
      <c r="D6" s="650"/>
      <c r="E6" s="649" t="s">
        <v>492</v>
      </c>
      <c r="F6" s="657"/>
      <c r="G6" s="650"/>
      <c r="H6" s="649" t="s">
        <v>493</v>
      </c>
      <c r="I6" s="657"/>
      <c r="J6" s="650"/>
    </row>
    <row r="7" spans="1:10" ht="15.95" customHeight="1" x14ac:dyDescent="0.2">
      <c r="B7" s="651"/>
      <c r="C7" s="658"/>
      <c r="D7" s="652"/>
      <c r="E7" s="651"/>
      <c r="F7" s="658"/>
      <c r="G7" s="652"/>
      <c r="H7" s="651"/>
      <c r="I7" s="658"/>
      <c r="J7" s="652"/>
    </row>
    <row r="8" spans="1:10" ht="15.95" customHeight="1" x14ac:dyDescent="0.2">
      <c r="A8" s="67"/>
      <c r="B8" s="137"/>
      <c r="C8" s="138"/>
      <c r="D8" s="602" t="s">
        <v>473</v>
      </c>
      <c r="E8" s="137"/>
      <c r="F8" s="139"/>
      <c r="G8" s="602" t="s">
        <v>473</v>
      </c>
      <c r="H8" s="137"/>
      <c r="I8" s="139"/>
      <c r="J8" s="602" t="s">
        <v>473</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0</v>
      </c>
      <c r="C11" s="291">
        <f>B11/'- 3 -'!$D11*100</f>
        <v>0</v>
      </c>
      <c r="D11" s="285">
        <f>B11/'- 7 -'!$E11</f>
        <v>0</v>
      </c>
      <c r="E11" s="285">
        <v>152730</v>
      </c>
      <c r="F11" s="291">
        <f>E11/'- 3 -'!$D11*100</f>
        <v>0.76020857379685036</v>
      </c>
      <c r="G11" s="285">
        <f>E11/'- 7 -'!$E11</f>
        <v>84.24158852730281</v>
      </c>
      <c r="H11" s="285">
        <v>228781</v>
      </c>
      <c r="I11" s="291">
        <f>H11/'- 3 -'!$D11*100</f>
        <v>1.1387499359773274</v>
      </c>
      <c r="J11" s="285">
        <f>H11/'- 7 -'!$E11</f>
        <v>126.18918918918919</v>
      </c>
    </row>
    <row r="12" spans="1:10" ht="14.1" customHeight="1" x14ac:dyDescent="0.2">
      <c r="A12" s="19" t="s">
        <v>111</v>
      </c>
      <c r="B12" s="20">
        <v>0</v>
      </c>
      <c r="C12" s="70">
        <f>B12/'- 3 -'!$D12*100</f>
        <v>0</v>
      </c>
      <c r="D12" s="20">
        <f>B12/'- 7 -'!$E12</f>
        <v>0</v>
      </c>
      <c r="E12" s="20">
        <v>0</v>
      </c>
      <c r="F12" s="70">
        <f>E12/'- 3 -'!$D12*100</f>
        <v>0</v>
      </c>
      <c r="G12" s="20">
        <f>E12/'- 7 -'!$E12</f>
        <v>0</v>
      </c>
      <c r="H12" s="20">
        <v>265504</v>
      </c>
      <c r="I12" s="70">
        <f>H12/'- 3 -'!$D12*100</f>
        <v>0.78343331719671894</v>
      </c>
      <c r="J12" s="20">
        <f>H12/'- 7 -'!$E12</f>
        <v>124.84494538409814</v>
      </c>
    </row>
    <row r="13" spans="1:10" ht="14.1" customHeight="1" x14ac:dyDescent="0.2">
      <c r="A13" s="284" t="s">
        <v>112</v>
      </c>
      <c r="B13" s="285">
        <v>72215</v>
      </c>
      <c r="C13" s="291">
        <f>B13/'- 3 -'!$D13*100</f>
        <v>7.1564462575363558E-2</v>
      </c>
      <c r="D13" s="285">
        <f>B13/'- 7 -'!$E13</f>
        <v>8.4314068884997084</v>
      </c>
      <c r="E13" s="285">
        <v>510381</v>
      </c>
      <c r="F13" s="291">
        <f>E13/'- 3 -'!$D13*100</f>
        <v>0.50578331335147309</v>
      </c>
      <c r="G13" s="285">
        <f>E13/'- 7 -'!$E13</f>
        <v>59.589141856392295</v>
      </c>
      <c r="H13" s="285">
        <v>985030</v>
      </c>
      <c r="I13" s="291">
        <f>H13/'- 3 -'!$D13*100</f>
        <v>0.97615651278280635</v>
      </c>
      <c r="J13" s="285">
        <f>H13/'- 7 -'!$E13</f>
        <v>115.00642148277875</v>
      </c>
    </row>
    <row r="14" spans="1:10" ht="14.1" customHeight="1" x14ac:dyDescent="0.2">
      <c r="A14" s="19" t="s">
        <v>359</v>
      </c>
      <c r="B14" s="20">
        <v>184682</v>
      </c>
      <c r="C14" s="70">
        <f>B14/'- 3 -'!$D14*100</f>
        <v>0.20228859884645706</v>
      </c>
      <c r="D14" s="20">
        <f>B14/'- 7 -'!$E14</f>
        <v>34.143464596043628</v>
      </c>
      <c r="E14" s="20">
        <v>1678986</v>
      </c>
      <c r="F14" s="70">
        <f>E14/'- 3 -'!$D14*100</f>
        <v>1.8390515882588314</v>
      </c>
      <c r="G14" s="20">
        <f>E14/'- 7 -'!$E14</f>
        <v>310.40599001663895</v>
      </c>
      <c r="H14" s="20">
        <v>809819</v>
      </c>
      <c r="I14" s="70">
        <f>H14/'- 3 -'!$D14*100</f>
        <v>0.88702283291949946</v>
      </c>
      <c r="J14" s="20">
        <f>H14/'- 7 -'!$E14</f>
        <v>149.71695322610464</v>
      </c>
    </row>
    <row r="15" spans="1:10" ht="14.1" customHeight="1" x14ac:dyDescent="0.2">
      <c r="A15" s="284" t="s">
        <v>113</v>
      </c>
      <c r="B15" s="285">
        <v>69538</v>
      </c>
      <c r="C15" s="291">
        <f>B15/'- 3 -'!$D15*100</f>
        <v>0.34332138980930205</v>
      </c>
      <c r="D15" s="285">
        <f>B15/'- 7 -'!$E15</f>
        <v>49.233928065703765</v>
      </c>
      <c r="E15" s="285">
        <v>151242</v>
      </c>
      <c r="F15" s="291">
        <f>E15/'- 3 -'!$D15*100</f>
        <v>0.74670847072878799</v>
      </c>
      <c r="G15" s="285">
        <f>E15/'- 7 -'!$E15</f>
        <v>107.08156329651656</v>
      </c>
      <c r="H15" s="285">
        <v>192643</v>
      </c>
      <c r="I15" s="291">
        <f>H15/'- 3 -'!$D15*100</f>
        <v>0.9511125211687621</v>
      </c>
      <c r="J15" s="285">
        <f>H15/'- 7 -'!$E15</f>
        <v>136.39408099688472</v>
      </c>
    </row>
    <row r="16" spans="1:10" ht="14.1" customHeight="1" x14ac:dyDescent="0.2">
      <c r="A16" s="19" t="s">
        <v>114</v>
      </c>
      <c r="B16" s="20">
        <v>0</v>
      </c>
      <c r="C16" s="70">
        <f>B16/'- 3 -'!$D16*100</f>
        <v>0</v>
      </c>
      <c r="D16" s="20">
        <f>B16/'- 7 -'!$E16</f>
        <v>0</v>
      </c>
      <c r="E16" s="20">
        <v>0</v>
      </c>
      <c r="F16" s="70">
        <f>E16/'- 3 -'!$D16*100</f>
        <v>0</v>
      </c>
      <c r="G16" s="20">
        <f>E16/'- 7 -'!$E16</f>
        <v>0</v>
      </c>
      <c r="H16" s="20">
        <v>151048</v>
      </c>
      <c r="I16" s="70">
        <f>H16/'- 3 -'!$D16*100</f>
        <v>1.0045794264729904</v>
      </c>
      <c r="J16" s="20">
        <f>H16/'- 7 -'!$E16</f>
        <v>167.10698086071469</v>
      </c>
    </row>
    <row r="17" spans="1:10" ht="14.1" customHeight="1" x14ac:dyDescent="0.2">
      <c r="A17" s="284" t="s">
        <v>115</v>
      </c>
      <c r="B17" s="285">
        <v>0</v>
      </c>
      <c r="C17" s="291">
        <f>B17/'- 3 -'!$D17*100</f>
        <v>0</v>
      </c>
      <c r="D17" s="285">
        <f>B17/'- 7 -'!$E17</f>
        <v>0</v>
      </c>
      <c r="E17" s="285">
        <v>91678</v>
      </c>
      <c r="F17" s="291">
        <f>E17/'- 3 -'!$D17*100</f>
        <v>0.4984219013796824</v>
      </c>
      <c r="G17" s="285">
        <f>E17/'- 7 -'!$E17</f>
        <v>63.99988032670808</v>
      </c>
      <c r="H17" s="285">
        <v>210069</v>
      </c>
      <c r="I17" s="291">
        <f>H17/'- 3 -'!$D17*100</f>
        <v>1.1420732389551309</v>
      </c>
      <c r="J17" s="285">
        <f>H17/'- 7 -'!$E17</f>
        <v>146.64795109351468</v>
      </c>
    </row>
    <row r="18" spans="1:10" ht="14.1" customHeight="1" x14ac:dyDescent="0.2">
      <c r="A18" s="19" t="s">
        <v>116</v>
      </c>
      <c r="B18" s="20">
        <v>0</v>
      </c>
      <c r="C18" s="70">
        <f>B18/'- 3 -'!$D18*100</f>
        <v>0</v>
      </c>
      <c r="D18" s="20">
        <f>B18/'- 7 -'!$E18</f>
        <v>0</v>
      </c>
      <c r="E18" s="20">
        <v>2722722</v>
      </c>
      <c r="F18" s="70">
        <f>E18/'- 3 -'!$D18*100</f>
        <v>2.0241819804519143</v>
      </c>
      <c r="G18" s="20">
        <f>E18/'- 7 -'!$E18</f>
        <v>454.01400700350177</v>
      </c>
      <c r="H18" s="20">
        <v>1871323</v>
      </c>
      <c r="I18" s="70">
        <f>H18/'- 3 -'!$D18*100</f>
        <v>1.3912174273411746</v>
      </c>
      <c r="J18" s="20">
        <f>H18/'- 7 -'!$E18</f>
        <v>312.04318826079708</v>
      </c>
    </row>
    <row r="19" spans="1:10" ht="14.1" customHeight="1" x14ac:dyDescent="0.2">
      <c r="A19" s="284" t="s">
        <v>117</v>
      </c>
      <c r="B19" s="285">
        <v>54348</v>
      </c>
      <c r="C19" s="291">
        <f>B19/'- 3 -'!$D19*100</f>
        <v>0.10848283773282526</v>
      </c>
      <c r="D19" s="285">
        <f>B19/'- 7 -'!$E19</f>
        <v>12.311247026843358</v>
      </c>
      <c r="E19" s="285">
        <v>243293</v>
      </c>
      <c r="F19" s="291">
        <f>E19/'- 3 -'!$D19*100</f>
        <v>0.48563176272415287</v>
      </c>
      <c r="G19" s="285">
        <f>E19/'- 7 -'!$E19</f>
        <v>55.11224374221316</v>
      </c>
      <c r="H19" s="285">
        <v>492763</v>
      </c>
      <c r="I19" s="291">
        <f>H19/'- 3 -'!$D19*100</f>
        <v>0.9835932981846649</v>
      </c>
      <c r="J19" s="285">
        <f>H19/'- 7 -'!$E19</f>
        <v>111.62373994789897</v>
      </c>
    </row>
    <row r="20" spans="1:10" ht="14.1" customHeight="1" x14ac:dyDescent="0.2">
      <c r="A20" s="19" t="s">
        <v>118</v>
      </c>
      <c r="B20" s="20">
        <v>5618</v>
      </c>
      <c r="C20" s="70">
        <f>B20/'- 3 -'!$D20*100</f>
        <v>6.4265456188249241E-3</v>
      </c>
      <c r="D20" s="20">
        <f>B20/'- 7 -'!$E20</f>
        <v>0.7128084755439954</v>
      </c>
      <c r="E20" s="20">
        <v>447333</v>
      </c>
      <c r="F20" s="70">
        <f>E20/'- 3 -'!$D20*100</f>
        <v>0.51171340891879846</v>
      </c>
      <c r="G20" s="20">
        <f>E20/'- 7 -'!$E20</f>
        <v>56.757343145340357</v>
      </c>
      <c r="H20" s="20">
        <v>894280</v>
      </c>
      <c r="I20" s="70">
        <f>H20/'- 3 -'!$D20*100</f>
        <v>1.022985264507432</v>
      </c>
      <c r="J20" s="20">
        <f>H20/'- 7 -'!$E20</f>
        <v>113.46571084184482</v>
      </c>
    </row>
    <row r="21" spans="1:10" ht="14.1" customHeight="1" x14ac:dyDescent="0.2">
      <c r="A21" s="284" t="s">
        <v>119</v>
      </c>
      <c r="B21" s="285">
        <v>0</v>
      </c>
      <c r="C21" s="291">
        <f>B21/'- 3 -'!$D21*100</f>
        <v>0</v>
      </c>
      <c r="D21" s="285">
        <f>B21/'- 7 -'!$E21</f>
        <v>0</v>
      </c>
      <c r="E21" s="285">
        <v>0</v>
      </c>
      <c r="F21" s="291">
        <f>E21/'- 3 -'!$D21*100</f>
        <v>0</v>
      </c>
      <c r="G21" s="285">
        <f>E21/'- 7 -'!$E21</f>
        <v>0</v>
      </c>
      <c r="H21" s="285">
        <v>540488</v>
      </c>
      <c r="I21" s="291">
        <f>H21/'- 3 -'!$D21*100</f>
        <v>1.4509809627608006</v>
      </c>
      <c r="J21" s="285">
        <f>H21/'- 7 -'!$E21</f>
        <v>190.19213174748398</v>
      </c>
    </row>
    <row r="22" spans="1:10" ht="14.1" customHeight="1" x14ac:dyDescent="0.2">
      <c r="A22" s="19" t="s">
        <v>120</v>
      </c>
      <c r="B22" s="20">
        <v>21305</v>
      </c>
      <c r="C22" s="70">
        <f>B22/'- 3 -'!$D22*100</f>
        <v>0.10158495899863217</v>
      </c>
      <c r="D22" s="20">
        <f>B22/'- 7 -'!$E22</f>
        <v>14.507013482227974</v>
      </c>
      <c r="E22" s="20">
        <v>74095</v>
      </c>
      <c r="F22" s="70">
        <f>E22/'- 3 -'!$D22*100</f>
        <v>0.35329441619355317</v>
      </c>
      <c r="G22" s="20">
        <f>E22/'- 7 -'!$E22</f>
        <v>50.452812202097242</v>
      </c>
      <c r="H22" s="20">
        <v>187198</v>
      </c>
      <c r="I22" s="70">
        <f>H22/'- 3 -'!$D22*100</f>
        <v>0.89258395468791107</v>
      </c>
      <c r="J22" s="20">
        <f>H22/'- 7 -'!$E22</f>
        <v>127.46697535067412</v>
      </c>
    </row>
    <row r="23" spans="1:10" ht="14.1" customHeight="1" x14ac:dyDescent="0.2">
      <c r="A23" s="284" t="s">
        <v>121</v>
      </c>
      <c r="B23" s="285">
        <v>0</v>
      </c>
      <c r="C23" s="291">
        <f>B23/'- 3 -'!$D23*100</f>
        <v>0</v>
      </c>
      <c r="D23" s="285">
        <f>B23/'- 7 -'!$E23</f>
        <v>0</v>
      </c>
      <c r="E23" s="285">
        <v>90772</v>
      </c>
      <c r="F23" s="291">
        <f>E23/'- 3 -'!$D23*100</f>
        <v>0.56851515093628824</v>
      </c>
      <c r="G23" s="285">
        <f>E23/'- 7 -'!$E23</f>
        <v>94.40665626625065</v>
      </c>
      <c r="H23" s="285">
        <v>101691</v>
      </c>
      <c r="I23" s="291">
        <f>H23/'- 3 -'!$D23*100</f>
        <v>0.6369020646659993</v>
      </c>
      <c r="J23" s="285">
        <f>H23/'- 7 -'!$E23</f>
        <v>105.76287051482059</v>
      </c>
    </row>
    <row r="24" spans="1:10" ht="14.1" customHeight="1" x14ac:dyDescent="0.2">
      <c r="A24" s="19" t="s">
        <v>122</v>
      </c>
      <c r="B24" s="20">
        <v>76150</v>
      </c>
      <c r="C24" s="70">
        <f>B24/'- 3 -'!$D24*100</f>
        <v>0.13150463091442294</v>
      </c>
      <c r="D24" s="20">
        <f>B24/'- 7 -'!$E24</f>
        <v>19.884583246292042</v>
      </c>
      <c r="E24" s="20">
        <v>106766</v>
      </c>
      <c r="F24" s="70">
        <f>E24/'- 3 -'!$D24*100</f>
        <v>0.18437588213012843</v>
      </c>
      <c r="G24" s="20">
        <f>E24/'- 7 -'!$E24</f>
        <v>27.879151869646961</v>
      </c>
      <c r="H24" s="20">
        <v>598445</v>
      </c>
      <c r="I24" s="70">
        <f>H24/'- 3 -'!$D24*100</f>
        <v>1.0334640689111207</v>
      </c>
      <c r="J24" s="20">
        <f>H24/'- 7 -'!$E24</f>
        <v>156.2682786714017</v>
      </c>
    </row>
    <row r="25" spans="1:10" ht="14.1" customHeight="1" x14ac:dyDescent="0.2">
      <c r="A25" s="284" t="s">
        <v>123</v>
      </c>
      <c r="B25" s="285">
        <v>183239</v>
      </c>
      <c r="C25" s="291">
        <f>B25/'- 3 -'!$D25*100</f>
        <v>9.431130497315221E-2</v>
      </c>
      <c r="D25" s="285">
        <f>B25/'- 7 -'!$E25</f>
        <v>12.313042192760236</v>
      </c>
      <c r="E25" s="285">
        <v>1701582</v>
      </c>
      <c r="F25" s="291">
        <f>E25/'- 3 -'!$D25*100</f>
        <v>0.87578746303366806</v>
      </c>
      <c r="G25" s="285">
        <f>E25/'- 7 -'!$E25</f>
        <v>114.34056592996767</v>
      </c>
      <c r="H25" s="285">
        <v>4823382</v>
      </c>
      <c r="I25" s="291">
        <f>H25/'- 3 -'!$D25*100</f>
        <v>2.482547114991966</v>
      </c>
      <c r="J25" s="285">
        <f>H25/'- 7 -'!$E25</f>
        <v>324.11498686305998</v>
      </c>
    </row>
    <row r="26" spans="1:10" ht="14.1" customHeight="1" x14ac:dyDescent="0.2">
      <c r="A26" s="19" t="s">
        <v>124</v>
      </c>
      <c r="B26" s="20">
        <v>19917</v>
      </c>
      <c r="C26" s="70">
        <f>B26/'- 3 -'!$D26*100</f>
        <v>4.8658151966466549E-2</v>
      </c>
      <c r="D26" s="20">
        <f>B26/'- 7 -'!$E26</f>
        <v>6.6367877374208595</v>
      </c>
      <c r="E26" s="20">
        <v>323452</v>
      </c>
      <c r="F26" s="70">
        <f>E26/'- 3 -'!$D26*100</f>
        <v>0.79020819249171759</v>
      </c>
      <c r="G26" s="20">
        <f>E26/'- 7 -'!$E26</f>
        <v>107.78140619793402</v>
      </c>
      <c r="H26" s="20">
        <v>541923</v>
      </c>
      <c r="I26" s="70">
        <f>H26/'- 3 -'!$D26*100</f>
        <v>1.323942947638874</v>
      </c>
      <c r="J26" s="20">
        <f>H26/'- 7 -'!$E26</f>
        <v>180.58080639786738</v>
      </c>
    </row>
    <row r="27" spans="1:10" ht="14.1" customHeight="1" x14ac:dyDescent="0.2">
      <c r="A27" s="284" t="s">
        <v>125</v>
      </c>
      <c r="B27" s="285">
        <v>0</v>
      </c>
      <c r="C27" s="291">
        <f>B27/'- 3 -'!$D27*100</f>
        <v>0</v>
      </c>
      <c r="D27" s="285">
        <f>B27/'- 7 -'!$E27</f>
        <v>0</v>
      </c>
      <c r="E27" s="285">
        <v>458542</v>
      </c>
      <c r="F27" s="291">
        <f>E27/'- 3 -'!$D27*100</f>
        <v>1.1121399046203639</v>
      </c>
      <c r="G27" s="285">
        <f>E27/'- 7 -'!$E27</f>
        <v>154.32058047493402</v>
      </c>
      <c r="H27" s="285">
        <v>826263</v>
      </c>
      <c r="I27" s="291">
        <f>H27/'- 3 -'!$D27*100</f>
        <v>2.0040041130612591</v>
      </c>
      <c r="J27" s="285">
        <f>H27/'- 7 -'!$E27</f>
        <v>278.07569597759948</v>
      </c>
    </row>
    <row r="28" spans="1:10" ht="14.1" customHeight="1" x14ac:dyDescent="0.2">
      <c r="A28" s="19" t="s">
        <v>126</v>
      </c>
      <c r="B28" s="20">
        <v>102274</v>
      </c>
      <c r="C28" s="70">
        <f>B28/'- 3 -'!$D28*100</f>
        <v>0.35187098279567164</v>
      </c>
      <c r="D28" s="20">
        <f>B28/'- 7 -'!$E28</f>
        <v>51.91573604060914</v>
      </c>
      <c r="E28" s="20">
        <v>6750</v>
      </c>
      <c r="F28" s="70">
        <f>E28/'- 3 -'!$D28*100</f>
        <v>2.3223195864743567E-2</v>
      </c>
      <c r="G28" s="20">
        <f>E28/'- 7 -'!$E28</f>
        <v>3.4263959390862944</v>
      </c>
      <c r="H28" s="20">
        <v>292408</v>
      </c>
      <c r="I28" s="70">
        <f>H28/'- 3 -'!$D28*100</f>
        <v>1.0060219639137684</v>
      </c>
      <c r="J28" s="20">
        <f>H28/'- 7 -'!$E28</f>
        <v>148.43045685279188</v>
      </c>
    </row>
    <row r="29" spans="1:10" ht="14.1" customHeight="1" x14ac:dyDescent="0.2">
      <c r="A29" s="284" t="s">
        <v>127</v>
      </c>
      <c r="B29" s="285">
        <v>372800</v>
      </c>
      <c r="C29" s="291">
        <f>B29/'- 3 -'!$D29*100</f>
        <v>0.22363438887185202</v>
      </c>
      <c r="D29" s="285">
        <f>B29/'- 7 -'!$E29</f>
        <v>26.873310506397548</v>
      </c>
      <c r="E29" s="285">
        <v>561946</v>
      </c>
      <c r="F29" s="291">
        <f>E29/'- 3 -'!$D29*100</f>
        <v>0.33709884734168927</v>
      </c>
      <c r="G29" s="285">
        <f>E29/'- 7 -'!$E29</f>
        <v>40.507911335375745</v>
      </c>
      <c r="H29" s="285">
        <v>3480185</v>
      </c>
      <c r="I29" s="291">
        <f>H29/'- 3 -'!$D29*100</f>
        <v>2.0876852082510364</v>
      </c>
      <c r="J29" s="285">
        <f>H29/'- 7 -'!$E29</f>
        <v>250.86934582807714</v>
      </c>
    </row>
    <row r="30" spans="1:10" ht="14.1" customHeight="1" x14ac:dyDescent="0.2">
      <c r="A30" s="19" t="s">
        <v>128</v>
      </c>
      <c r="B30" s="20">
        <v>0</v>
      </c>
      <c r="C30" s="70">
        <f>B30/'- 3 -'!$D30*100</f>
        <v>0</v>
      </c>
      <c r="D30" s="20">
        <f>B30/'- 7 -'!$E30</f>
        <v>0</v>
      </c>
      <c r="E30" s="20">
        <v>0</v>
      </c>
      <c r="F30" s="70">
        <f>E30/'- 3 -'!$D30*100</f>
        <v>0</v>
      </c>
      <c r="G30" s="20">
        <f>E30/'- 7 -'!$E30</f>
        <v>0</v>
      </c>
      <c r="H30" s="20">
        <v>415957</v>
      </c>
      <c r="I30" s="70">
        <f>H30/'- 3 -'!$D30*100</f>
        <v>2.6985763927228996</v>
      </c>
      <c r="J30" s="20">
        <f>H30/'- 7 -'!$E30</f>
        <v>406.40644846116265</v>
      </c>
    </row>
    <row r="31" spans="1:10" ht="14.1" customHeight="1" x14ac:dyDescent="0.2">
      <c r="A31" s="284" t="s">
        <v>129</v>
      </c>
      <c r="B31" s="285">
        <v>0</v>
      </c>
      <c r="C31" s="291">
        <f>B31/'- 3 -'!$D31*100</f>
        <v>0</v>
      </c>
      <c r="D31" s="285">
        <f>B31/'- 7 -'!$E31</f>
        <v>0</v>
      </c>
      <c r="E31" s="285">
        <v>105688</v>
      </c>
      <c r="F31" s="291">
        <f>E31/'- 3 -'!$D31*100</f>
        <v>0.27276256907199509</v>
      </c>
      <c r="G31" s="285">
        <f>E31/'- 7 -'!$E31</f>
        <v>31.619446522064322</v>
      </c>
      <c r="H31" s="285">
        <v>444253</v>
      </c>
      <c r="I31" s="291">
        <f>H31/'- 3 -'!$D31*100</f>
        <v>1.1465406630643122</v>
      </c>
      <c r="J31" s="285">
        <f>H31/'- 7 -'!$E31</f>
        <v>132.91039640987285</v>
      </c>
    </row>
    <row r="32" spans="1:10" ht="14.1" customHeight="1" x14ac:dyDescent="0.2">
      <c r="A32" s="19" t="s">
        <v>130</v>
      </c>
      <c r="B32" s="20">
        <v>0</v>
      </c>
      <c r="C32" s="70">
        <f>B32/'- 3 -'!$D32*100</f>
        <v>0</v>
      </c>
      <c r="D32" s="20">
        <f>B32/'- 7 -'!$E32</f>
        <v>0</v>
      </c>
      <c r="E32" s="20">
        <v>121421</v>
      </c>
      <c r="F32" s="70">
        <f>E32/'- 3 -'!$D32*100</f>
        <v>0.40366574145458767</v>
      </c>
      <c r="G32" s="20">
        <f>E32/'- 7 -'!$E32</f>
        <v>54.534471143049629</v>
      </c>
      <c r="H32" s="20">
        <v>322235</v>
      </c>
      <c r="I32" s="70">
        <f>H32/'- 3 -'!$D32*100</f>
        <v>1.0712745752186117</v>
      </c>
      <c r="J32" s="20">
        <f>H32/'- 7 -'!$E32</f>
        <v>144.7271502357961</v>
      </c>
    </row>
    <row r="33" spans="1:10" ht="14.1" customHeight="1" x14ac:dyDescent="0.2">
      <c r="A33" s="284" t="s">
        <v>131</v>
      </c>
      <c r="B33" s="285">
        <v>0</v>
      </c>
      <c r="C33" s="291">
        <f>B33/'- 3 -'!$D33*100</f>
        <v>0</v>
      </c>
      <c r="D33" s="285">
        <f>B33/'- 7 -'!$E33</f>
        <v>0</v>
      </c>
      <c r="E33" s="285">
        <v>89667</v>
      </c>
      <c r="F33" s="291">
        <f>E33/'- 3 -'!$D33*100</f>
        <v>0.31996314609195314</v>
      </c>
      <c r="G33" s="285">
        <f>E33/'- 7 -'!$E33</f>
        <v>43.77843960550728</v>
      </c>
      <c r="H33" s="285">
        <v>393169</v>
      </c>
      <c r="I33" s="291">
        <f>H33/'- 3 -'!$D33*100</f>
        <v>1.4029641917966156</v>
      </c>
      <c r="J33" s="285">
        <f>H33/'- 7 -'!$E33</f>
        <v>191.95830485304171</v>
      </c>
    </row>
    <row r="34" spans="1:10" ht="14.1" customHeight="1" x14ac:dyDescent="0.2">
      <c r="A34" s="19" t="s">
        <v>132</v>
      </c>
      <c r="B34" s="20">
        <v>7102</v>
      </c>
      <c r="C34" s="70">
        <f>B34/'- 3 -'!$D34*100</f>
        <v>2.3086733300704605E-2</v>
      </c>
      <c r="D34" s="20">
        <f>B34/'- 7 -'!$E34</f>
        <v>3.2548419325566686</v>
      </c>
      <c r="E34" s="20">
        <v>149346</v>
      </c>
      <c r="F34" s="70">
        <f>E34/'- 3 -'!$D34*100</f>
        <v>0.48548454963771193</v>
      </c>
      <c r="G34" s="20">
        <f>E34/'- 7 -'!$E34</f>
        <v>68.445173649620983</v>
      </c>
      <c r="H34" s="20">
        <v>225114</v>
      </c>
      <c r="I34" s="70">
        <f>H34/'- 3 -'!$D34*100</f>
        <v>0.73178638133692153</v>
      </c>
      <c r="J34" s="20">
        <f>H34/'- 7 -'!$E34</f>
        <v>103.1695982547961</v>
      </c>
    </row>
    <row r="35" spans="1:10" ht="14.1" customHeight="1" x14ac:dyDescent="0.2">
      <c r="A35" s="284" t="s">
        <v>133</v>
      </c>
      <c r="B35" s="285">
        <v>398203</v>
      </c>
      <c r="C35" s="291">
        <f>B35/'- 3 -'!$D35*100</f>
        <v>0.20648143451102519</v>
      </c>
      <c r="D35" s="285">
        <f>B35/'- 7 -'!$E35</f>
        <v>24.786990351696232</v>
      </c>
      <c r="E35" s="285">
        <v>1277085</v>
      </c>
      <c r="F35" s="291">
        <f>E35/'- 3 -'!$D35*100</f>
        <v>0.66221083917628099</v>
      </c>
      <c r="G35" s="285">
        <f>E35/'- 7 -'!$E35</f>
        <v>79.494864612511677</v>
      </c>
      <c r="H35" s="285">
        <v>4375429</v>
      </c>
      <c r="I35" s="291">
        <f>H35/'- 3 -'!$D35*100</f>
        <v>2.2688047466270729</v>
      </c>
      <c r="J35" s="285">
        <f>H35/'- 7 -'!$E35</f>
        <v>272.35785869903515</v>
      </c>
    </row>
    <row r="36" spans="1:10" ht="14.1" customHeight="1" x14ac:dyDescent="0.2">
      <c r="A36" s="19" t="s">
        <v>134</v>
      </c>
      <c r="B36" s="20">
        <v>18684</v>
      </c>
      <c r="C36" s="70">
        <f>B36/'- 3 -'!$D36*100</f>
        <v>7.7790937230907437E-2</v>
      </c>
      <c r="D36" s="20">
        <f>B36/'- 7 -'!$E36</f>
        <v>11.128052412150089</v>
      </c>
      <c r="E36" s="20">
        <v>86832</v>
      </c>
      <c r="F36" s="70">
        <f>E36/'- 3 -'!$D36*100</f>
        <v>0.36152551175519987</v>
      </c>
      <c r="G36" s="20">
        <f>E36/'- 7 -'!$E36</f>
        <v>51.716497915425848</v>
      </c>
      <c r="H36" s="20">
        <v>225831</v>
      </c>
      <c r="I36" s="70">
        <f>H36/'- 3 -'!$D36*100</f>
        <v>0.94024861623812128</v>
      </c>
      <c r="J36" s="20">
        <f>H36/'- 7 -'!$E36</f>
        <v>134.50327575938059</v>
      </c>
    </row>
    <row r="37" spans="1:10" ht="14.1" customHeight="1" x14ac:dyDescent="0.2">
      <c r="A37" s="284" t="s">
        <v>135</v>
      </c>
      <c r="B37" s="285">
        <v>66626</v>
      </c>
      <c r="C37" s="291">
        <f>B37/'- 3 -'!$D37*100</f>
        <v>0.12420162853527289</v>
      </c>
      <c r="D37" s="285">
        <f>B37/'- 7 -'!$E37</f>
        <v>15.362231957574361</v>
      </c>
      <c r="E37" s="285">
        <v>692530</v>
      </c>
      <c r="F37" s="291">
        <f>E37/'- 3 -'!$D37*100</f>
        <v>1.2909878097069092</v>
      </c>
      <c r="G37" s="285">
        <f>E37/'- 7 -'!$E37</f>
        <v>159.6795019598801</v>
      </c>
      <c r="H37" s="285">
        <v>527763</v>
      </c>
      <c r="I37" s="291">
        <f>H37/'- 3 -'!$D37*100</f>
        <v>0.98383550086544624</v>
      </c>
      <c r="J37" s="285">
        <f>H37/'- 7 -'!$E37</f>
        <v>121.68849435093382</v>
      </c>
    </row>
    <row r="38" spans="1:10" ht="14.1" customHeight="1" x14ac:dyDescent="0.2">
      <c r="A38" s="19" t="s">
        <v>136</v>
      </c>
      <c r="B38" s="20">
        <v>94103</v>
      </c>
      <c r="C38" s="70">
        <f>B38/'- 3 -'!$D38*100</f>
        <v>6.5247473732679473E-2</v>
      </c>
      <c r="D38" s="20">
        <f>B38/'- 7 -'!$E38</f>
        <v>8.3230588256105005</v>
      </c>
      <c r="E38" s="20">
        <v>468198</v>
      </c>
      <c r="F38" s="70">
        <f>E38/'- 3 -'!$D38*100</f>
        <v>0.3246308481843625</v>
      </c>
      <c r="G38" s="20">
        <f>E38/'- 7 -'!$E38</f>
        <v>41.410364133270832</v>
      </c>
      <c r="H38" s="20">
        <v>1800071</v>
      </c>
      <c r="I38" s="70">
        <f>H38/'- 3 -'!$D38*100</f>
        <v>1.2481013919796189</v>
      </c>
      <c r="J38" s="20">
        <f>H38/'- 7 -'!$E38</f>
        <v>159.20955573441356</v>
      </c>
    </row>
    <row r="39" spans="1:10" ht="14.1" customHeight="1" x14ac:dyDescent="0.2">
      <c r="A39" s="284" t="s">
        <v>137</v>
      </c>
      <c r="B39" s="285">
        <v>0</v>
      </c>
      <c r="C39" s="291">
        <f>B39/'- 3 -'!$D39*100</f>
        <v>0</v>
      </c>
      <c r="D39" s="285">
        <f>B39/'- 7 -'!$E39</f>
        <v>0</v>
      </c>
      <c r="E39" s="285">
        <v>104577</v>
      </c>
      <c r="F39" s="291">
        <f>E39/'- 3 -'!$D39*100</f>
        <v>0.46839910629860793</v>
      </c>
      <c r="G39" s="285">
        <f>E39/'- 7 -'!$E39</f>
        <v>69.578842315369258</v>
      </c>
      <c r="H39" s="285">
        <v>215958</v>
      </c>
      <c r="I39" s="291">
        <f>H39/'- 3 -'!$D39*100</f>
        <v>0.96727324553233296</v>
      </c>
      <c r="J39" s="285">
        <f>H39/'- 7 -'!$E39</f>
        <v>143.68463073852294</v>
      </c>
    </row>
    <row r="40" spans="1:10" ht="14.1" customHeight="1" x14ac:dyDescent="0.2">
      <c r="A40" s="19" t="s">
        <v>138</v>
      </c>
      <c r="B40" s="20">
        <v>37099</v>
      </c>
      <c r="C40" s="70">
        <f>B40/'- 3 -'!$D40*100</f>
        <v>3.4789399273656534E-2</v>
      </c>
      <c r="D40" s="20">
        <f>B40/'- 7 -'!$E40</f>
        <v>4.5238545255007168</v>
      </c>
      <c r="E40" s="20">
        <v>815428</v>
      </c>
      <c r="F40" s="70">
        <f>E40/'- 3 -'!$D40*100</f>
        <v>0.76466347532060697</v>
      </c>
      <c r="G40" s="20">
        <f>E40/'- 7 -'!$E40</f>
        <v>99.433344511172763</v>
      </c>
      <c r="H40" s="20">
        <v>1217907</v>
      </c>
      <c r="I40" s="70">
        <f>H40/'- 3 -'!$D40*100</f>
        <v>1.1420861182560502</v>
      </c>
      <c r="J40" s="20">
        <f>H40/'- 7 -'!$E40</f>
        <v>148.511660518855</v>
      </c>
    </row>
    <row r="41" spans="1:10" ht="14.1" customHeight="1" x14ac:dyDescent="0.2">
      <c r="A41" s="284" t="s">
        <v>139</v>
      </c>
      <c r="B41" s="285">
        <v>67620</v>
      </c>
      <c r="C41" s="291">
        <f>B41/'- 3 -'!$D41*100</f>
        <v>0.10319457879595886</v>
      </c>
      <c r="D41" s="285">
        <f>B41/'- 7 -'!$E41</f>
        <v>15.186973610331275</v>
      </c>
      <c r="E41" s="285">
        <v>471668</v>
      </c>
      <c r="F41" s="291">
        <f>E41/'- 3 -'!$D41*100</f>
        <v>0.71981041986886019</v>
      </c>
      <c r="G41" s="285">
        <f>E41/'- 7 -'!$E41</f>
        <v>105.93329590117911</v>
      </c>
      <c r="H41" s="285">
        <v>583314</v>
      </c>
      <c r="I41" s="291">
        <f>H41/'- 3 -'!$D41*100</f>
        <v>0.89019287985486473</v>
      </c>
      <c r="J41" s="285">
        <f>H41/'- 7 -'!$E41</f>
        <v>131.00819764177427</v>
      </c>
    </row>
    <row r="42" spans="1:10" ht="14.1" customHeight="1" x14ac:dyDescent="0.2">
      <c r="A42" s="19" t="s">
        <v>140</v>
      </c>
      <c r="B42" s="20">
        <v>18859</v>
      </c>
      <c r="C42" s="70">
        <f>B42/'- 3 -'!$D42*100</f>
        <v>9.043737131712519E-2</v>
      </c>
      <c r="D42" s="20">
        <f>B42/'- 7 -'!$E42</f>
        <v>13.641229656419529</v>
      </c>
      <c r="E42" s="20">
        <v>0</v>
      </c>
      <c r="F42" s="70">
        <f>E42/'- 3 -'!$D42*100</f>
        <v>0</v>
      </c>
      <c r="G42" s="20">
        <f>E42/'- 7 -'!$E42</f>
        <v>0</v>
      </c>
      <c r="H42" s="20">
        <v>231675</v>
      </c>
      <c r="I42" s="70">
        <f>H42/'- 3 -'!$D42*100</f>
        <v>1.1109856301975174</v>
      </c>
      <c r="J42" s="20">
        <f>H42/'- 7 -'!$E42</f>
        <v>167.57685352622062</v>
      </c>
    </row>
    <row r="43" spans="1:10" ht="14.1" customHeight="1" x14ac:dyDescent="0.2">
      <c r="A43" s="284" t="s">
        <v>141</v>
      </c>
      <c r="B43" s="285">
        <v>0</v>
      </c>
      <c r="C43" s="291">
        <f>B43/'- 3 -'!$D43*100</f>
        <v>0</v>
      </c>
      <c r="D43" s="285">
        <f>B43/'- 7 -'!$E43</f>
        <v>0</v>
      </c>
      <c r="E43" s="285">
        <v>69756</v>
      </c>
      <c r="F43" s="291">
        <f>E43/'- 3 -'!$D43*100</f>
        <v>0.50650407844118495</v>
      </c>
      <c r="G43" s="285">
        <f>E43/'- 7 -'!$E43</f>
        <v>70.354009077155823</v>
      </c>
      <c r="H43" s="285">
        <v>219288</v>
      </c>
      <c r="I43" s="291">
        <f>H43/'- 3 -'!$D43*100</f>
        <v>1.592268283061107</v>
      </c>
      <c r="J43" s="285">
        <f>H43/'- 7 -'!$E43</f>
        <v>221.16792738275339</v>
      </c>
    </row>
    <row r="44" spans="1:10" ht="14.1" customHeight="1" x14ac:dyDescent="0.2">
      <c r="A44" s="19" t="s">
        <v>142</v>
      </c>
      <c r="B44" s="20">
        <v>0</v>
      </c>
      <c r="C44" s="70">
        <f>B44/'- 3 -'!$D44*100</f>
        <v>0</v>
      </c>
      <c r="D44" s="20">
        <f>B44/'- 7 -'!$E44</f>
        <v>0</v>
      </c>
      <c r="E44" s="20">
        <v>0</v>
      </c>
      <c r="F44" s="70">
        <f>E44/'- 3 -'!$D44*100</f>
        <v>0</v>
      </c>
      <c r="G44" s="20">
        <f>E44/'- 7 -'!$E44</f>
        <v>0</v>
      </c>
      <c r="H44" s="20">
        <v>130843</v>
      </c>
      <c r="I44" s="70">
        <f>H44/'- 3 -'!$D44*100</f>
        <v>1.1738930520384978</v>
      </c>
      <c r="J44" s="20">
        <f>H44/'- 7 -'!$E44</f>
        <v>184.28591549295774</v>
      </c>
    </row>
    <row r="45" spans="1:10" ht="14.1" customHeight="1" x14ac:dyDescent="0.2">
      <c r="A45" s="284" t="s">
        <v>143</v>
      </c>
      <c r="B45" s="285">
        <v>0</v>
      </c>
      <c r="C45" s="291">
        <f>B45/'- 3 -'!$D45*100</f>
        <v>0</v>
      </c>
      <c r="D45" s="285">
        <f>B45/'- 7 -'!$E45</f>
        <v>0</v>
      </c>
      <c r="E45" s="285">
        <v>0</v>
      </c>
      <c r="F45" s="291">
        <f>E45/'- 3 -'!$D45*100</f>
        <v>0</v>
      </c>
      <c r="G45" s="285">
        <f>E45/'- 7 -'!$E45</f>
        <v>0</v>
      </c>
      <c r="H45" s="285">
        <v>198987</v>
      </c>
      <c r="I45" s="291">
        <f>H45/'- 3 -'!$D45*100</f>
        <v>0.96998277510021214</v>
      </c>
      <c r="J45" s="285">
        <f>H45/'- 7 -'!$E45</f>
        <v>109.48390646492435</v>
      </c>
    </row>
    <row r="46" spans="1:10" ht="14.1" customHeight="1" x14ac:dyDescent="0.2">
      <c r="A46" s="19" t="s">
        <v>144</v>
      </c>
      <c r="B46" s="20">
        <v>697456</v>
      </c>
      <c r="C46" s="70">
        <f>B46/'- 3 -'!$D46*100</f>
        <v>0.17373483493143096</v>
      </c>
      <c r="D46" s="20">
        <f>B46/'- 7 -'!$E46</f>
        <v>23.414385228703313</v>
      </c>
      <c r="E46" s="20">
        <v>541382</v>
      </c>
      <c r="F46" s="70">
        <f>E46/'- 3 -'!$D46*100</f>
        <v>0.13485712705152433</v>
      </c>
      <c r="G46" s="20">
        <f>E46/'- 7 -'!$E46</f>
        <v>18.17480486781368</v>
      </c>
      <c r="H46" s="20">
        <v>2733811</v>
      </c>
      <c r="I46" s="70">
        <f>H46/'- 3 -'!$D46*100</f>
        <v>0.68098661825080042</v>
      </c>
      <c r="J46" s="20">
        <f>H46/'- 7 -'!$E46</f>
        <v>91.777121275702896</v>
      </c>
    </row>
    <row r="47" spans="1:10" ht="5.0999999999999996" customHeight="1" x14ac:dyDescent="0.2">
      <c r="A47" s="21"/>
      <c r="B47" s="22"/>
      <c r="C47"/>
      <c r="D47" s="22"/>
      <c r="E47" s="22"/>
      <c r="F47"/>
      <c r="G47" s="22"/>
      <c r="H47"/>
      <c r="I47"/>
      <c r="J47"/>
    </row>
    <row r="48" spans="1:10" ht="14.1" customHeight="1" x14ac:dyDescent="0.2">
      <c r="A48" s="286" t="s">
        <v>145</v>
      </c>
      <c r="B48" s="287">
        <f>SUM(B11:B46)</f>
        <v>2567838</v>
      </c>
      <c r="C48" s="294">
        <f>B48/'- 3 -'!$D48*100</f>
        <v>0.10716270996535857</v>
      </c>
      <c r="D48" s="287">
        <f>B48/'- 7 -'!$E48</f>
        <v>14.360808778657278</v>
      </c>
      <c r="E48" s="287">
        <f>SUM(E11:E46)</f>
        <v>14315848</v>
      </c>
      <c r="F48" s="294">
        <f>E48/'- 3 -'!$D48*100</f>
        <v>0.59743841594841973</v>
      </c>
      <c r="G48" s="287">
        <f>E48/'- 7 -'!$E48</f>
        <v>80.06235425767639</v>
      </c>
      <c r="H48" s="287">
        <f>SUM(H11:H46)</f>
        <v>31754848</v>
      </c>
      <c r="I48" s="294">
        <f>H48/'- 3 -'!$D48*100</f>
        <v>1.3252142721690567</v>
      </c>
      <c r="J48" s="287">
        <f>H48/'- 7 -'!$E48</f>
        <v>177.59114863294627</v>
      </c>
    </row>
    <row r="49" spans="1:10" ht="5.0999999999999996" customHeight="1" x14ac:dyDescent="0.2">
      <c r="A49" s="21" t="s">
        <v>7</v>
      </c>
      <c r="B49" s="22"/>
      <c r="C49"/>
      <c r="D49" s="22"/>
      <c r="E49" s="22"/>
      <c r="F49"/>
      <c r="H49"/>
      <c r="I49"/>
      <c r="J49"/>
    </row>
    <row r="50" spans="1:10" ht="14.1" customHeight="1" x14ac:dyDescent="0.2">
      <c r="A50" s="19" t="s">
        <v>146</v>
      </c>
      <c r="B50" s="20">
        <v>0</v>
      </c>
      <c r="C50" s="70">
        <f>B50/'- 3 -'!$D50*100</f>
        <v>0</v>
      </c>
      <c r="D50" s="20">
        <f>B50/'- 7 -'!$E50</f>
        <v>0</v>
      </c>
      <c r="E50" s="20">
        <v>0</v>
      </c>
      <c r="F50" s="70">
        <f>E50/'- 3 -'!$D50*100</f>
        <v>0</v>
      </c>
      <c r="G50" s="20">
        <f>E50/'- 7 -'!$E50</f>
        <v>0</v>
      </c>
      <c r="H50" s="20">
        <v>14738</v>
      </c>
      <c r="I50" s="70">
        <f>H50/'- 3 -'!$D50*100</f>
        <v>0.43382619812181339</v>
      </c>
      <c r="J50" s="20">
        <f>H50/'- 7 -'!$E50</f>
        <v>81.65096952908587</v>
      </c>
    </row>
    <row r="51" spans="1:10" ht="14.1" customHeight="1" x14ac:dyDescent="0.2">
      <c r="A51" s="284" t="s">
        <v>601</v>
      </c>
      <c r="B51" s="285">
        <v>0</v>
      </c>
      <c r="C51" s="291">
        <f>B51/'- 3 -'!$D51*100</f>
        <v>0</v>
      </c>
      <c r="D51" s="285">
        <f>B51/'- 7 -'!$E51</f>
        <v>0</v>
      </c>
      <c r="E51" s="285">
        <v>661163</v>
      </c>
      <c r="F51" s="291">
        <f>E51/'- 3 -'!$D51*100</f>
        <v>2.1041560808517255</v>
      </c>
      <c r="G51" s="285">
        <f>E51/'- 7 -'!$E51</f>
        <v>551.42869057547955</v>
      </c>
      <c r="H51" s="285">
        <v>2835</v>
      </c>
      <c r="I51" s="291">
        <f>H51/'- 3 -'!$D51*100</f>
        <v>9.0224082249228139E-3</v>
      </c>
      <c r="J51" s="285">
        <f>H51/'- 7 -'!$E51</f>
        <v>2.3644703919933279</v>
      </c>
    </row>
    <row r="52" spans="1:10" ht="50.1" customHeight="1" x14ac:dyDescent="0.2">
      <c r="A52" s="184"/>
      <c r="B52" s="184"/>
      <c r="C52" s="184"/>
      <c r="D52" s="184"/>
      <c r="E52" s="184"/>
      <c r="F52" s="184"/>
      <c r="G52" s="184"/>
      <c r="H52" s="184"/>
      <c r="I52" s="184"/>
      <c r="J52" s="184"/>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53"/>
  <sheetViews>
    <sheetView showGridLines="0" showZeros="0" workbookViewId="0"/>
  </sheetViews>
  <sheetFormatPr defaultColWidth="15.83203125" defaultRowHeight="12" x14ac:dyDescent="0.2"/>
  <cols>
    <col min="1" max="1" width="32.83203125" style="2" customWidth="1"/>
    <col min="2" max="2" width="15.83203125" style="2" customWidth="1"/>
    <col min="3" max="3" width="7.83203125" style="2" customWidth="1"/>
    <col min="4" max="4" width="9.83203125" style="2" customWidth="1"/>
    <col min="5" max="5" width="15.83203125" style="2" customWidth="1"/>
    <col min="6" max="6" width="7.83203125" style="2" customWidth="1"/>
    <col min="7" max="7" width="9.83203125" style="2" customWidth="1"/>
    <col min="8" max="8" width="14.83203125" style="2" customWidth="1"/>
    <col min="9" max="9" width="7.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263</v>
      </c>
      <c r="C2" s="10"/>
      <c r="D2" s="10"/>
      <c r="E2" s="10"/>
      <c r="F2" s="10"/>
      <c r="G2" s="10"/>
      <c r="H2" s="73"/>
      <c r="I2" s="153"/>
      <c r="J2" s="395" t="s">
        <v>408</v>
      </c>
    </row>
    <row r="3" spans="1:10" ht="15.95" customHeight="1" x14ac:dyDescent="0.2">
      <c r="A3" s="541"/>
      <c r="B3" s="11" t="str">
        <f>OPYEAR</f>
        <v>OPERATING FUND 2018/2019 ACTUAL</v>
      </c>
      <c r="C3" s="12"/>
      <c r="D3" s="12"/>
      <c r="E3" s="12"/>
      <c r="F3" s="12"/>
      <c r="G3" s="12"/>
      <c r="H3" s="75"/>
      <c r="I3" s="75"/>
      <c r="J3" s="66"/>
    </row>
    <row r="4" spans="1:10" ht="15.95" customHeight="1" x14ac:dyDescent="0.2">
      <c r="B4" s="8"/>
      <c r="C4" s="8"/>
      <c r="D4" s="8"/>
      <c r="E4" s="8"/>
      <c r="F4" s="8"/>
      <c r="G4" s="8"/>
      <c r="H4" s="8"/>
      <c r="I4" s="8"/>
      <c r="J4" s="8"/>
    </row>
    <row r="5" spans="1:10" ht="15.95" customHeight="1" x14ac:dyDescent="0.2">
      <c r="B5" s="393" t="s">
        <v>249</v>
      </c>
      <c r="C5" s="172"/>
      <c r="D5" s="173"/>
      <c r="E5" s="181"/>
      <c r="F5" s="181"/>
      <c r="G5" s="182"/>
    </row>
    <row r="6" spans="1:10" ht="15.95" customHeight="1" x14ac:dyDescent="0.2">
      <c r="B6" s="649" t="s">
        <v>494</v>
      </c>
      <c r="C6" s="657"/>
      <c r="D6" s="650"/>
      <c r="E6" s="387"/>
      <c r="F6" s="388"/>
      <c r="G6" s="389"/>
    </row>
    <row r="7" spans="1:10" ht="15.95" customHeight="1" x14ac:dyDescent="0.2">
      <c r="B7" s="651"/>
      <c r="C7" s="658"/>
      <c r="D7" s="652"/>
      <c r="E7" s="654" t="s">
        <v>281</v>
      </c>
      <c r="F7" s="656"/>
      <c r="G7" s="655"/>
    </row>
    <row r="8" spans="1:10" ht="15.95" customHeight="1" x14ac:dyDescent="0.2">
      <c r="A8" s="67"/>
      <c r="B8" s="137"/>
      <c r="C8" s="138"/>
      <c r="D8" s="602" t="s">
        <v>473</v>
      </c>
      <c r="E8" s="137"/>
      <c r="F8" s="139"/>
      <c r="G8" s="602" t="s">
        <v>473</v>
      </c>
    </row>
    <row r="9" spans="1:10" ht="15.95" customHeight="1" x14ac:dyDescent="0.2">
      <c r="A9" s="35" t="s">
        <v>42</v>
      </c>
      <c r="B9" s="77" t="s">
        <v>43</v>
      </c>
      <c r="C9" s="77" t="s">
        <v>44</v>
      </c>
      <c r="D9" s="604"/>
      <c r="E9" s="77" t="s">
        <v>43</v>
      </c>
      <c r="F9" s="77" t="s">
        <v>44</v>
      </c>
      <c r="G9" s="604"/>
    </row>
    <row r="10" spans="1:10" ht="5.0999999999999996" customHeight="1" x14ac:dyDescent="0.2">
      <c r="A10" s="6"/>
    </row>
    <row r="11" spans="1:10" ht="14.1" customHeight="1" x14ac:dyDescent="0.2">
      <c r="A11" s="284" t="s">
        <v>110</v>
      </c>
      <c r="B11" s="285">
        <v>177298</v>
      </c>
      <c r="C11" s="291">
        <f>B11/'- 3 -'!$D11*100</f>
        <v>0.88249498930815151</v>
      </c>
      <c r="D11" s="285">
        <f>B11/'- 7 -'!$E11</f>
        <v>97.792608935466077</v>
      </c>
      <c r="E11" s="285">
        <v>8741</v>
      </c>
      <c r="F11" s="291">
        <f>E11/'- 3 -'!$D11*100</f>
        <v>4.3508041272561179E-2</v>
      </c>
      <c r="G11" s="285">
        <f>E11/'- 7 -'!$E11</f>
        <v>4.8212906784335354</v>
      </c>
    </row>
    <row r="12" spans="1:10" ht="14.1" customHeight="1" x14ac:dyDescent="0.2">
      <c r="A12" s="19" t="s">
        <v>111</v>
      </c>
      <c r="B12" s="20">
        <v>412798</v>
      </c>
      <c r="C12" s="70">
        <f>B12/'- 3 -'!$D12*100</f>
        <v>1.2180596392979812</v>
      </c>
      <c r="D12" s="20">
        <f>B12/'- 7 -'!$E12</f>
        <v>194.10533839288652</v>
      </c>
      <c r="E12" s="20">
        <v>117078</v>
      </c>
      <c r="F12" s="70">
        <f>E12/'- 3 -'!$D12*100</f>
        <v>0.34546675722684955</v>
      </c>
      <c r="G12" s="20">
        <f>E12/'- 7 -'!$E12</f>
        <v>55.052264808362366</v>
      </c>
    </row>
    <row r="13" spans="1:10" ht="14.1" customHeight="1" x14ac:dyDescent="0.2">
      <c r="A13" s="284" t="s">
        <v>112</v>
      </c>
      <c r="B13" s="285">
        <v>1331220</v>
      </c>
      <c r="C13" s="291">
        <f>B13/'- 3 -'!$D13*100</f>
        <v>1.3192279148317589</v>
      </c>
      <c r="D13" s="285">
        <f>B13/'- 7 -'!$E13</f>
        <v>155.42556917688268</v>
      </c>
      <c r="E13" s="285">
        <v>99502</v>
      </c>
      <c r="F13" s="291">
        <f>E13/'- 3 -'!$D13*100</f>
        <v>9.8605651944524322E-2</v>
      </c>
      <c r="G13" s="285">
        <f>E13/'- 7 -'!$E13</f>
        <v>11.617279626386457</v>
      </c>
    </row>
    <row r="14" spans="1:10" ht="14.1" customHeight="1" x14ac:dyDescent="0.2">
      <c r="A14" s="19" t="s">
        <v>359</v>
      </c>
      <c r="B14" s="20">
        <v>528231</v>
      </c>
      <c r="C14" s="70">
        <f>B14/'- 3 -'!$D14*100</f>
        <v>0.57858973184859841</v>
      </c>
      <c r="D14" s="20">
        <f>B14/'- 7 -'!$E14</f>
        <v>97.657792567942323</v>
      </c>
      <c r="E14" s="20">
        <v>73572</v>
      </c>
      <c r="F14" s="70">
        <f>E14/'- 3 -'!$D14*100</f>
        <v>8.0585962867694413E-2</v>
      </c>
      <c r="G14" s="20">
        <f>E14/'- 7 -'!$E14</f>
        <v>13.60177481974487</v>
      </c>
    </row>
    <row r="15" spans="1:10" ht="14.1" customHeight="1" x14ac:dyDescent="0.2">
      <c r="A15" s="284" t="s">
        <v>113</v>
      </c>
      <c r="B15" s="285">
        <v>133399</v>
      </c>
      <c r="C15" s="291">
        <f>B15/'- 3 -'!$D15*100</f>
        <v>0.65861442778295443</v>
      </c>
      <c r="D15" s="285">
        <f>B15/'- 7 -'!$E15</f>
        <v>94.448456527895772</v>
      </c>
      <c r="E15" s="285">
        <v>3631</v>
      </c>
      <c r="F15" s="291">
        <f>E15/'- 3 -'!$D15*100</f>
        <v>1.792688841205637E-2</v>
      </c>
      <c r="G15" s="285">
        <f>E15/'- 7 -'!$E15</f>
        <v>2.5708014726706314</v>
      </c>
    </row>
    <row r="16" spans="1:10" ht="14.1" customHeight="1" x14ac:dyDescent="0.2">
      <c r="A16" s="19" t="s">
        <v>114</v>
      </c>
      <c r="B16" s="20">
        <v>139860</v>
      </c>
      <c r="C16" s="70">
        <f>B16/'- 3 -'!$D16*100</f>
        <v>0.93017106208961675</v>
      </c>
      <c r="D16" s="20">
        <f>B16/'- 7 -'!$E16</f>
        <v>154.72950547626951</v>
      </c>
      <c r="E16" s="20">
        <v>56700</v>
      </c>
      <c r="F16" s="70">
        <f>E16/'- 3 -'!$D16*100</f>
        <v>0.37709637652281758</v>
      </c>
      <c r="G16" s="20">
        <f>E16/'- 7 -'!$E16</f>
        <v>62.728177895784931</v>
      </c>
    </row>
    <row r="17" spans="1:7" ht="14.1" customHeight="1" x14ac:dyDescent="0.2">
      <c r="A17" s="284" t="s">
        <v>115</v>
      </c>
      <c r="B17" s="285">
        <v>111418</v>
      </c>
      <c r="C17" s="291">
        <f>B17/'- 3 -'!$D17*100</f>
        <v>0.60574152367985179</v>
      </c>
      <c r="D17" s="285">
        <f>B17/'- 7 -'!$E17</f>
        <v>77.780259890498925</v>
      </c>
      <c r="E17" s="285">
        <v>0</v>
      </c>
      <c r="F17" s="291">
        <f>E17/'- 3 -'!$D17*100</f>
        <v>0</v>
      </c>
      <c r="G17" s="285">
        <f>E17/'- 7 -'!$E17</f>
        <v>0</v>
      </c>
    </row>
    <row r="18" spans="1:7" ht="14.1" customHeight="1" x14ac:dyDescent="0.2">
      <c r="A18" s="19" t="s">
        <v>116</v>
      </c>
      <c r="B18" s="20">
        <v>1067906</v>
      </c>
      <c r="C18" s="70">
        <f>B18/'- 3 -'!$D18*100</f>
        <v>0.79392463939266733</v>
      </c>
      <c r="D18" s="20">
        <f>B18/'- 7 -'!$E18</f>
        <v>178.0733700183425</v>
      </c>
      <c r="E18" s="20">
        <v>1962715</v>
      </c>
      <c r="F18" s="70">
        <f>E18/'- 3 -'!$D18*100</f>
        <v>1.459161947405089</v>
      </c>
      <c r="G18" s="20">
        <f>E18/'- 7 -'!$E18</f>
        <v>327.282808070702</v>
      </c>
    </row>
    <row r="19" spans="1:7" ht="14.1" customHeight="1" x14ac:dyDescent="0.2">
      <c r="A19" s="284" t="s">
        <v>117</v>
      </c>
      <c r="B19" s="285">
        <v>583190</v>
      </c>
      <c r="C19" s="291">
        <f>B19/'- 3 -'!$D19*100</f>
        <v>1.164092627831868</v>
      </c>
      <c r="D19" s="285">
        <f>B19/'- 7 -'!$E19</f>
        <v>132.10782648091518</v>
      </c>
      <c r="E19" s="285">
        <v>299774</v>
      </c>
      <c r="F19" s="291">
        <f>E19/'- 3 -'!$D19*100</f>
        <v>0.59837223446161703</v>
      </c>
      <c r="G19" s="285">
        <f>E19/'- 7 -'!$E19</f>
        <v>67.906671197191073</v>
      </c>
    </row>
    <row r="20" spans="1:7" ht="14.1" customHeight="1" x14ac:dyDescent="0.2">
      <c r="A20" s="19" t="s">
        <v>118</v>
      </c>
      <c r="B20" s="20">
        <v>1039182</v>
      </c>
      <c r="C20" s="70">
        <f>B20/'- 3 -'!$D20*100</f>
        <v>1.1887416392420296</v>
      </c>
      <c r="D20" s="20">
        <f>B20/'- 7 -'!$E20</f>
        <v>131.85078982427203</v>
      </c>
      <c r="E20" s="20">
        <v>236250</v>
      </c>
      <c r="F20" s="70">
        <f>E20/'- 3 -'!$D20*100</f>
        <v>0.2702512286307206</v>
      </c>
      <c r="G20" s="20">
        <f>E20/'- 7 -'!$E20</f>
        <v>29.9752585167798</v>
      </c>
    </row>
    <row r="21" spans="1:7" ht="14.1" customHeight="1" x14ac:dyDescent="0.2">
      <c r="A21" s="284" t="s">
        <v>119</v>
      </c>
      <c r="B21" s="285">
        <v>424954</v>
      </c>
      <c r="C21" s="291">
        <f>B21/'- 3 -'!$D21*100</f>
        <v>1.1408211913105437</v>
      </c>
      <c r="D21" s="285">
        <f>B21/'- 7 -'!$E21</f>
        <v>149.53691322401295</v>
      </c>
      <c r="E21" s="285">
        <v>127136</v>
      </c>
      <c r="F21" s="291">
        <f>E21/'- 3 -'!$D21*100</f>
        <v>0.34130621897536506</v>
      </c>
      <c r="G21" s="285">
        <f>E21/'- 7 -'!$E21</f>
        <v>44.737842212682096</v>
      </c>
    </row>
    <row r="22" spans="1:7" ht="14.1" customHeight="1" x14ac:dyDescent="0.2">
      <c r="A22" s="19" t="s">
        <v>120</v>
      </c>
      <c r="B22" s="20">
        <v>148461</v>
      </c>
      <c r="C22" s="70">
        <f>B22/'- 3 -'!$D22*100</f>
        <v>0.70788099497281998</v>
      </c>
      <c r="D22" s="20">
        <f>B22/'- 7 -'!$E22</f>
        <v>101.09015388805666</v>
      </c>
      <c r="E22" s="20">
        <v>476</v>
      </c>
      <c r="F22" s="70">
        <f>E22/'- 3 -'!$D22*100</f>
        <v>2.2696287483383671E-3</v>
      </c>
      <c r="G22" s="20">
        <f>E22/'- 7 -'!$E22</f>
        <v>0.32411820781696854</v>
      </c>
    </row>
    <row r="23" spans="1:7" ht="14.1" customHeight="1" x14ac:dyDescent="0.2">
      <c r="A23" s="284" t="s">
        <v>121</v>
      </c>
      <c r="B23" s="285">
        <v>229142</v>
      </c>
      <c r="C23" s="291">
        <f>B23/'- 3 -'!$D23*100</f>
        <v>1.4351418798290545</v>
      </c>
      <c r="D23" s="285">
        <f>B23/'- 7 -'!$E23</f>
        <v>238.31721268850754</v>
      </c>
      <c r="E23" s="285">
        <v>18259</v>
      </c>
      <c r="F23" s="291">
        <f>E23/'- 3 -'!$D23*100</f>
        <v>0.11435815164308032</v>
      </c>
      <c r="G23" s="285">
        <f>E23/'- 7 -'!$E23</f>
        <v>18.990119604784191</v>
      </c>
    </row>
    <row r="24" spans="1:7" ht="14.1" customHeight="1" x14ac:dyDescent="0.2">
      <c r="A24" s="19" t="s">
        <v>122</v>
      </c>
      <c r="B24" s="20">
        <v>541296</v>
      </c>
      <c r="C24" s="70">
        <f>B24/'- 3 -'!$D24*100</f>
        <v>0.93477256330208103</v>
      </c>
      <c r="D24" s="20">
        <f>B24/'- 7 -'!$E24</f>
        <v>141.34531021516608</v>
      </c>
      <c r="E24" s="20">
        <v>123486</v>
      </c>
      <c r="F24" s="70">
        <f>E24/'- 3 -'!$D24*100</f>
        <v>0.21324991271304572</v>
      </c>
      <c r="G24" s="20">
        <f>E24/'- 7 -'!$E24</f>
        <v>32.245143095884686</v>
      </c>
    </row>
    <row r="25" spans="1:7" ht="14.1" customHeight="1" x14ac:dyDescent="0.2">
      <c r="A25" s="284" t="s">
        <v>123</v>
      </c>
      <c r="B25" s="285">
        <v>1563340</v>
      </c>
      <c r="C25" s="291">
        <f>B25/'- 3 -'!$D25*100</f>
        <v>0.80463566989957269</v>
      </c>
      <c r="D25" s="285">
        <f>B25/'- 7 -'!$E25</f>
        <v>105.05117022920768</v>
      </c>
      <c r="E25" s="285">
        <v>957660</v>
      </c>
      <c r="F25" s="291">
        <f>E25/'- 3 -'!$D25*100</f>
        <v>0.49289815116099167</v>
      </c>
      <c r="G25" s="285">
        <f>E25/'- 7 -'!$E25</f>
        <v>64.35151897968646</v>
      </c>
    </row>
    <row r="26" spans="1:7" ht="14.1" customHeight="1" x14ac:dyDescent="0.2">
      <c r="A26" s="19" t="s">
        <v>124</v>
      </c>
      <c r="B26" s="20">
        <v>343347</v>
      </c>
      <c r="C26" s="70">
        <f>B26/'- 3 -'!$D26*100</f>
        <v>0.8388125974408992</v>
      </c>
      <c r="D26" s="20">
        <f>B26/'- 7 -'!$E26</f>
        <v>114.41086304565145</v>
      </c>
      <c r="E26" s="20">
        <v>322137</v>
      </c>
      <c r="F26" s="70">
        <f>E26/'- 3 -'!$D26*100</f>
        <v>0.78699558668582792</v>
      </c>
      <c r="G26" s="20">
        <f>E26/'- 7 -'!$E26</f>
        <v>107.34321892702432</v>
      </c>
    </row>
    <row r="27" spans="1:7" ht="14.1" customHeight="1" x14ac:dyDescent="0.2">
      <c r="A27" s="284" t="s">
        <v>125</v>
      </c>
      <c r="B27" s="285">
        <v>160963</v>
      </c>
      <c r="C27" s="291">
        <f>B27/'- 3 -'!$D27*100</f>
        <v>0.39039690032190649</v>
      </c>
      <c r="D27" s="285">
        <f>B27/'- 7 -'!$E27</f>
        <v>54.17149049593452</v>
      </c>
      <c r="E27" s="285">
        <v>4330</v>
      </c>
      <c r="F27" s="291">
        <f>E27/'- 3 -'!$D27*100</f>
        <v>1.0501907757645267E-2</v>
      </c>
      <c r="G27" s="285">
        <f>E27/'- 7 -'!$E27</f>
        <v>1.4572451671961659</v>
      </c>
    </row>
    <row r="28" spans="1:7" ht="14.1" customHeight="1" x14ac:dyDescent="0.2">
      <c r="A28" s="19" t="s">
        <v>126</v>
      </c>
      <c r="B28" s="20">
        <v>384863</v>
      </c>
      <c r="C28" s="70">
        <f>B28/'- 3 -'!$D28*100</f>
        <v>1.3241109377915263</v>
      </c>
      <c r="D28" s="20">
        <f>B28/'- 7 -'!$E28</f>
        <v>195.36192893401017</v>
      </c>
      <c r="E28" s="20">
        <v>0</v>
      </c>
      <c r="F28" s="70">
        <f>E28/'- 3 -'!$D28*100</f>
        <v>0</v>
      </c>
      <c r="G28" s="20">
        <f>E28/'- 7 -'!$E28</f>
        <v>0</v>
      </c>
    </row>
    <row r="29" spans="1:7" ht="14.1" customHeight="1" x14ac:dyDescent="0.2">
      <c r="A29" s="284" t="s">
        <v>127</v>
      </c>
      <c r="B29" s="285">
        <v>1656135</v>
      </c>
      <c r="C29" s="291">
        <f>B29/'- 3 -'!$D29*100</f>
        <v>0.99347837611127865</v>
      </c>
      <c r="D29" s="285">
        <f>B29/'- 7 -'!$E29</f>
        <v>119.38259145792034</v>
      </c>
      <c r="E29" s="285">
        <v>527259</v>
      </c>
      <c r="F29" s="291">
        <f>E29/'- 3 -'!$D29*100</f>
        <v>0.31629089120757464</v>
      </c>
      <c r="G29" s="285">
        <f>E29/'- 7 -'!$E29</f>
        <v>38.007496846278606</v>
      </c>
    </row>
    <row r="30" spans="1:7" ht="14.1" customHeight="1" x14ac:dyDescent="0.2">
      <c r="A30" s="19" t="s">
        <v>128</v>
      </c>
      <c r="B30" s="20">
        <v>169818</v>
      </c>
      <c r="C30" s="70">
        <f>B30/'- 3 -'!$D30*100</f>
        <v>1.1017168742428121</v>
      </c>
      <c r="D30" s="20">
        <f>B30/'- 7 -'!$E30</f>
        <v>165.91890571568149</v>
      </c>
      <c r="E30" s="20">
        <v>5871</v>
      </c>
      <c r="F30" s="70">
        <f>E30/'- 3 -'!$D30*100</f>
        <v>3.8088893807956457E-2</v>
      </c>
      <c r="G30" s="20">
        <f>E30/'- 7 -'!$E30</f>
        <v>5.7361993160723008</v>
      </c>
    </row>
    <row r="31" spans="1:7" ht="14.1" customHeight="1" x14ac:dyDescent="0.2">
      <c r="A31" s="284" t="s">
        <v>129</v>
      </c>
      <c r="B31" s="285">
        <v>292602</v>
      </c>
      <c r="C31" s="291">
        <f>B31/'- 3 -'!$D31*100</f>
        <v>0.75515548818791078</v>
      </c>
      <c r="D31" s="285">
        <f>B31/'- 7 -'!$E31</f>
        <v>87.539865370231865</v>
      </c>
      <c r="E31" s="285">
        <v>418800</v>
      </c>
      <c r="F31" s="291">
        <f>E31/'- 3 -'!$D31*100</f>
        <v>1.0808508433062556</v>
      </c>
      <c r="G31" s="285">
        <f>E31/'- 7 -'!$E31</f>
        <v>125.29543754674644</v>
      </c>
    </row>
    <row r="32" spans="1:7" ht="14.1" customHeight="1" x14ac:dyDescent="0.2">
      <c r="A32" s="19" t="s">
        <v>130</v>
      </c>
      <c r="B32" s="20">
        <v>567028</v>
      </c>
      <c r="C32" s="70">
        <f>B32/'- 3 -'!$D32*100</f>
        <v>1.885092183769792</v>
      </c>
      <c r="D32" s="20">
        <f>B32/'- 7 -'!$E32</f>
        <v>254.67235571524816</v>
      </c>
      <c r="E32" s="20">
        <v>1834</v>
      </c>
      <c r="F32" s="70">
        <f>E32/'- 3 -'!$D32*100</f>
        <v>6.0971575742887448E-3</v>
      </c>
      <c r="G32" s="20">
        <f>E32/'- 7 -'!$E32</f>
        <v>0.82371434987648773</v>
      </c>
    </row>
    <row r="33" spans="1:7" ht="14.1" customHeight="1" x14ac:dyDescent="0.2">
      <c r="A33" s="284" t="s">
        <v>131</v>
      </c>
      <c r="B33" s="285">
        <v>219383</v>
      </c>
      <c r="C33" s="291">
        <f>B33/'- 3 -'!$D33*100</f>
        <v>0.7828350996363318</v>
      </c>
      <c r="D33" s="285">
        <f>B33/'- 7 -'!$E33</f>
        <v>107.11014549360415</v>
      </c>
      <c r="E33" s="285">
        <v>19909</v>
      </c>
      <c r="F33" s="291">
        <f>E33/'- 3 -'!$D33*100</f>
        <v>7.1042259421467149E-2</v>
      </c>
      <c r="G33" s="285">
        <f>E33/'- 7 -'!$E33</f>
        <v>9.7202421638511876</v>
      </c>
    </row>
    <row r="34" spans="1:7" ht="14.1" customHeight="1" x14ac:dyDescent="0.2">
      <c r="A34" s="19" t="s">
        <v>132</v>
      </c>
      <c r="B34" s="20">
        <v>346521</v>
      </c>
      <c r="C34" s="70">
        <f>B34/'- 3 -'!$D34*100</f>
        <v>1.1264485933671444</v>
      </c>
      <c r="D34" s="20">
        <f>B34/'- 7 -'!$E34</f>
        <v>158.81034656596302</v>
      </c>
      <c r="E34" s="20">
        <v>87833</v>
      </c>
      <c r="F34" s="70">
        <f>E34/'- 3 -'!$D34*100</f>
        <v>0.28552197212064034</v>
      </c>
      <c r="G34" s="20">
        <f>E34/'- 7 -'!$E34</f>
        <v>40.253806176041941</v>
      </c>
    </row>
    <row r="35" spans="1:7" ht="14.1" customHeight="1" x14ac:dyDescent="0.2">
      <c r="A35" s="284" t="s">
        <v>133</v>
      </c>
      <c r="B35" s="285">
        <v>1205809</v>
      </c>
      <c r="C35" s="291">
        <f>B35/'- 3 -'!$D35*100</f>
        <v>0.62525187421065331</v>
      </c>
      <c r="D35" s="285">
        <f>B35/'- 7 -'!$E35</f>
        <v>75.058138811079985</v>
      </c>
      <c r="E35" s="285">
        <v>484134</v>
      </c>
      <c r="F35" s="291">
        <f>E35/'- 3 -'!$D35*100</f>
        <v>0.25103950200164404</v>
      </c>
      <c r="G35" s="285">
        <f>E35/'- 7 -'!$E35</f>
        <v>30.1359477124183</v>
      </c>
    </row>
    <row r="36" spans="1:7" ht="14.1" customHeight="1" x14ac:dyDescent="0.2">
      <c r="A36" s="19" t="s">
        <v>134</v>
      </c>
      <c r="B36" s="20">
        <v>177807</v>
      </c>
      <c r="C36" s="70">
        <f>B36/'- 3 -'!$D36*100</f>
        <v>0.7403004269008755</v>
      </c>
      <c r="D36" s="20">
        <f>B36/'- 7 -'!$E36</f>
        <v>105.90053603335319</v>
      </c>
      <c r="E36" s="20">
        <v>16338</v>
      </c>
      <c r="F36" s="70">
        <f>E36/'- 3 -'!$D36*100</f>
        <v>6.8023353269030487E-2</v>
      </c>
      <c r="G36" s="20">
        <f>E36/'- 7 -'!$E36</f>
        <v>9.7307921381774864</v>
      </c>
    </row>
    <row r="37" spans="1:7" ht="14.1" customHeight="1" x14ac:dyDescent="0.2">
      <c r="A37" s="284" t="s">
        <v>135</v>
      </c>
      <c r="B37" s="285">
        <v>574135</v>
      </c>
      <c r="C37" s="291">
        <f>B37/'- 3 -'!$D37*100</f>
        <v>1.0702804010311124</v>
      </c>
      <c r="D37" s="285">
        <f>B37/'- 7 -'!$E37</f>
        <v>132.38067788794098</v>
      </c>
      <c r="E37" s="285">
        <v>173035</v>
      </c>
      <c r="F37" s="291">
        <f>E37/'- 3 -'!$D37*100</f>
        <v>0.32256519667398531</v>
      </c>
      <c r="G37" s="285">
        <f>E37/'- 7 -'!$E37</f>
        <v>39.897394512335715</v>
      </c>
    </row>
    <row r="38" spans="1:7" ht="14.1" customHeight="1" x14ac:dyDescent="0.2">
      <c r="A38" s="19" t="s">
        <v>136</v>
      </c>
      <c r="B38" s="20">
        <v>1189428</v>
      </c>
      <c r="C38" s="70">
        <f>B38/'- 3 -'!$D38*100</f>
        <v>0.82470454913141433</v>
      </c>
      <c r="D38" s="20">
        <f>B38/'- 7 -'!$E38</f>
        <v>105.20046345842584</v>
      </c>
      <c r="E38" s="20">
        <v>1814088</v>
      </c>
      <c r="F38" s="70">
        <f>E38/'- 3 -'!$D38*100</f>
        <v>1.2578202515198138</v>
      </c>
      <c r="G38" s="20">
        <f>E38/'- 7 -'!$E38</f>
        <v>160.44930702351786</v>
      </c>
    </row>
    <row r="39" spans="1:7" ht="14.1" customHeight="1" x14ac:dyDescent="0.2">
      <c r="A39" s="284" t="s">
        <v>137</v>
      </c>
      <c r="B39" s="285">
        <v>102550</v>
      </c>
      <c r="C39" s="291">
        <f>B39/'- 3 -'!$D39*100</f>
        <v>0.4593201980447158</v>
      </c>
      <c r="D39" s="285">
        <f>B39/'- 7 -'!$E39</f>
        <v>68.230206254158347</v>
      </c>
      <c r="E39" s="285">
        <v>21496</v>
      </c>
      <c r="F39" s="291">
        <f>E39/'- 3 -'!$D39*100</f>
        <v>9.6280321571615909E-2</v>
      </c>
      <c r="G39" s="285">
        <f>E39/'- 7 -'!$E39</f>
        <v>14.302062541583499</v>
      </c>
    </row>
    <row r="40" spans="1:7" ht="14.1" customHeight="1" x14ac:dyDescent="0.2">
      <c r="A40" s="19" t="s">
        <v>138</v>
      </c>
      <c r="B40" s="20">
        <v>1528520</v>
      </c>
      <c r="C40" s="70">
        <f>B40/'- 3 -'!$D40*100</f>
        <v>1.4333618851658936</v>
      </c>
      <c r="D40" s="20">
        <f>B40/'- 7 -'!$E40</f>
        <v>186.38783038136756</v>
      </c>
      <c r="E40" s="20">
        <v>264717</v>
      </c>
      <c r="F40" s="70">
        <f>E40/'- 3 -'!$D40*100</f>
        <v>0.24823702545956863</v>
      </c>
      <c r="G40" s="20">
        <f>E40/'- 7 -'!$E40</f>
        <v>32.279608572386671</v>
      </c>
    </row>
    <row r="41" spans="1:7" ht="14.1" customHeight="1" x14ac:dyDescent="0.2">
      <c r="A41" s="284" t="s">
        <v>139</v>
      </c>
      <c r="B41" s="285">
        <v>443089</v>
      </c>
      <c r="C41" s="291">
        <f>B41/'- 3 -'!$D41*100</f>
        <v>0.6761961361153892</v>
      </c>
      <c r="D41" s="285">
        <f>B41/'- 7 -'!$E41</f>
        <v>99.51465468837732</v>
      </c>
      <c r="E41" s="285">
        <v>40947</v>
      </c>
      <c r="F41" s="291">
        <f>E41/'- 3 -'!$D41*100</f>
        <v>6.2489033096097719E-2</v>
      </c>
      <c r="G41" s="285">
        <f>E41/'- 7 -'!$E41</f>
        <v>9.1964065131948338</v>
      </c>
    </row>
    <row r="42" spans="1:7" ht="14.1" customHeight="1" x14ac:dyDescent="0.2">
      <c r="A42" s="19" t="s">
        <v>140</v>
      </c>
      <c r="B42" s="20">
        <v>120313</v>
      </c>
      <c r="C42" s="70">
        <f>B42/'- 3 -'!$D42*100</f>
        <v>0.57695484677221931</v>
      </c>
      <c r="D42" s="20">
        <f>B42/'- 7 -'!$E42</f>
        <v>87.02567811934901</v>
      </c>
      <c r="E42" s="20">
        <v>13879</v>
      </c>
      <c r="F42" s="70">
        <f>E42/'- 3 -'!$D42*100</f>
        <v>6.6556035659917315E-2</v>
      </c>
      <c r="G42" s="20">
        <f>E42/'- 7 -'!$E42</f>
        <v>10.039059674502713</v>
      </c>
    </row>
    <row r="43" spans="1:7" ht="14.1" customHeight="1" x14ac:dyDescent="0.2">
      <c r="A43" s="284" t="s">
        <v>141</v>
      </c>
      <c r="B43" s="285">
        <v>149391</v>
      </c>
      <c r="C43" s="291">
        <f>B43/'- 3 -'!$D43*100</f>
        <v>1.0847403919721179</v>
      </c>
      <c r="D43" s="285">
        <f>B43/'- 7 -'!$E43</f>
        <v>150.67170953101362</v>
      </c>
      <c r="E43" s="285">
        <v>14428</v>
      </c>
      <c r="F43" s="291">
        <f>E43/'- 3 -'!$D43*100</f>
        <v>0.10476289987598798</v>
      </c>
      <c r="G43" s="285">
        <f>E43/'- 7 -'!$E43</f>
        <v>14.551689359556228</v>
      </c>
    </row>
    <row r="44" spans="1:7" ht="14.1" customHeight="1" x14ac:dyDescent="0.2">
      <c r="A44" s="19" t="s">
        <v>142</v>
      </c>
      <c r="B44" s="20">
        <v>31824</v>
      </c>
      <c r="C44" s="70">
        <f>B44/'- 3 -'!$D44*100</f>
        <v>0.28551754765691062</v>
      </c>
      <c r="D44" s="20">
        <f>B44/'- 7 -'!$E44</f>
        <v>44.822535211267606</v>
      </c>
      <c r="E44" s="20">
        <v>81181</v>
      </c>
      <c r="F44" s="70">
        <f>E44/'- 3 -'!$D44*100</f>
        <v>0.72833710521416728</v>
      </c>
      <c r="G44" s="20">
        <f>E44/'- 7 -'!$E44</f>
        <v>114.33943661971831</v>
      </c>
    </row>
    <row r="45" spans="1:7" ht="14.1" customHeight="1" x14ac:dyDescent="0.2">
      <c r="A45" s="284" t="s">
        <v>143</v>
      </c>
      <c r="B45" s="285">
        <v>97697</v>
      </c>
      <c r="C45" s="291">
        <f>B45/'- 3 -'!$D45*100</f>
        <v>0.47623416192497708</v>
      </c>
      <c r="D45" s="285">
        <f>B45/'- 7 -'!$E45</f>
        <v>53.753507565337003</v>
      </c>
      <c r="E45" s="285">
        <v>185104</v>
      </c>
      <c r="F45" s="291">
        <f>E45/'- 3 -'!$D45*100</f>
        <v>0.90230865132973348</v>
      </c>
      <c r="G45" s="285">
        <f>E45/'- 7 -'!$E45</f>
        <v>101.84539202200826</v>
      </c>
    </row>
    <row r="46" spans="1:7" ht="14.1" customHeight="1" x14ac:dyDescent="0.2">
      <c r="A46" s="19" t="s">
        <v>144</v>
      </c>
      <c r="B46" s="20">
        <v>2122405</v>
      </c>
      <c r="C46" s="70">
        <f>B46/'- 3 -'!$D46*100</f>
        <v>0.52868665884678567</v>
      </c>
      <c r="D46" s="20">
        <f>B46/'- 7 -'!$E46</f>
        <v>71.251531682752827</v>
      </c>
      <c r="E46" s="20">
        <v>2702862</v>
      </c>
      <c r="F46" s="70">
        <f>E46/'- 3 -'!$D46*100</f>
        <v>0.67327728690044586</v>
      </c>
      <c r="G46" s="20">
        <f>E46/'- 7 -'!$E46</f>
        <v>90.738128409567778</v>
      </c>
    </row>
    <row r="47" spans="1:7" ht="5.0999999999999996" customHeight="1" x14ac:dyDescent="0.2">
      <c r="A47" s="21"/>
      <c r="B47" s="22"/>
      <c r="C47"/>
      <c r="D47" s="22"/>
      <c r="E47" s="22"/>
      <c r="F47"/>
      <c r="G47"/>
    </row>
    <row r="48" spans="1:7" ht="14.1" customHeight="1" x14ac:dyDescent="0.2">
      <c r="A48" s="286" t="s">
        <v>145</v>
      </c>
      <c r="B48" s="287">
        <f>SUM(B11:B46)</f>
        <v>20315323</v>
      </c>
      <c r="C48" s="294">
        <f>B48/'- 3 -'!$D48*100</f>
        <v>0.84781246577921887</v>
      </c>
      <c r="D48" s="287">
        <f>B48/'- 7 -'!$E48</f>
        <v>113.61482651150817</v>
      </c>
      <c r="E48" s="287">
        <f>SUM(E11:E46)</f>
        <v>11285162</v>
      </c>
      <c r="F48" s="294">
        <f>E48/'- 3 -'!$D48*100</f>
        <v>0.47095982780770657</v>
      </c>
      <c r="G48" s="287">
        <f>E48/'- 7 -'!$E48</f>
        <v>63.113036538196539</v>
      </c>
    </row>
    <row r="49" spans="1:10" ht="5.0999999999999996" customHeight="1" x14ac:dyDescent="0.2">
      <c r="A49" s="21" t="s">
        <v>7</v>
      </c>
      <c r="B49" s="22"/>
      <c r="C49"/>
      <c r="D49" s="22"/>
      <c r="E49" s="22"/>
      <c r="F49"/>
      <c r="G49"/>
    </row>
    <row r="50" spans="1:10" ht="14.1" customHeight="1" x14ac:dyDescent="0.2">
      <c r="A50" s="19" t="s">
        <v>146</v>
      </c>
      <c r="B50" s="20">
        <v>39680</v>
      </c>
      <c r="C50" s="70">
        <f>B50/'- 3 -'!$D50*100</f>
        <v>1.1680162533229443</v>
      </c>
      <c r="D50" s="20">
        <f>B50/'- 7 -'!$E50</f>
        <v>219.83379501385042</v>
      </c>
      <c r="E50" s="20">
        <v>78336</v>
      </c>
      <c r="F50" s="70">
        <f>E50/'- 3 -'!$D50*100</f>
        <v>2.3058901517214259</v>
      </c>
      <c r="G50" s="20">
        <f>E50/'- 7 -'!$E50</f>
        <v>433.99445983379502</v>
      </c>
    </row>
    <row r="51" spans="1:10" ht="14.1" customHeight="1" x14ac:dyDescent="0.2">
      <c r="A51" s="284" t="s">
        <v>601</v>
      </c>
      <c r="B51" s="285">
        <v>0</v>
      </c>
      <c r="C51" s="291">
        <f>B51/'- 3 -'!$D51*100</f>
        <v>0</v>
      </c>
      <c r="D51" s="285">
        <f>B51/'- 7 -'!$E51</f>
        <v>0</v>
      </c>
      <c r="E51" s="285">
        <v>8034</v>
      </c>
      <c r="F51" s="291">
        <f>E51/'- 3 -'!$D51*100</f>
        <v>2.5568263731580203E-2</v>
      </c>
      <c r="G51" s="285">
        <f>E51/'- 7 -'!$E51</f>
        <v>6.7005838198498751</v>
      </c>
    </row>
    <row r="52" spans="1:10" ht="50.1" customHeight="1" x14ac:dyDescent="0.2">
      <c r="A52" s="23"/>
      <c r="B52" s="23"/>
      <c r="C52" s="23"/>
      <c r="D52" s="23"/>
      <c r="E52" s="23"/>
      <c r="F52" s="23"/>
      <c r="G52" s="23"/>
      <c r="H52" s="23"/>
      <c r="I52" s="23"/>
      <c r="J52" s="23"/>
    </row>
    <row r="53" spans="1:10" ht="15" customHeight="1" x14ac:dyDescent="0.2">
      <c r="A53" s="85" t="s">
        <v>346</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G52"/>
  <sheetViews>
    <sheetView showGridLines="0" showZeros="0" workbookViewId="0"/>
  </sheetViews>
  <sheetFormatPr defaultColWidth="15.83203125" defaultRowHeight="12" x14ac:dyDescent="0.2"/>
  <cols>
    <col min="1" max="1" width="32.83203125" style="2" customWidth="1"/>
    <col min="2" max="2" width="16.83203125" style="2" customWidth="1"/>
    <col min="3" max="3" width="15.83203125" style="2"/>
    <col min="4" max="4" width="17.83203125" style="2" customWidth="1"/>
    <col min="5" max="5" width="15.83203125" style="2"/>
    <col min="6" max="6" width="17.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409</v>
      </c>
    </row>
    <row r="3" spans="1:7" ht="15.95" customHeight="1" x14ac:dyDescent="0.2">
      <c r="A3" s="11"/>
      <c r="B3" s="11" t="str">
        <f>OPYEAR</f>
        <v>OPERATING FUND 2018/2019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64" t="s">
        <v>15</v>
      </c>
      <c r="C6" s="165"/>
      <c r="D6" s="166"/>
      <c r="E6" s="166"/>
      <c r="F6" s="166"/>
      <c r="G6" s="167"/>
    </row>
    <row r="7" spans="1:7" ht="15.95" customHeight="1" x14ac:dyDescent="0.2">
      <c r="B7" s="309"/>
      <c r="C7" s="310"/>
      <c r="D7" s="309"/>
      <c r="E7" s="310"/>
      <c r="F7" s="649" t="s">
        <v>495</v>
      </c>
      <c r="G7" s="650"/>
    </row>
    <row r="8" spans="1:7" ht="15.95" customHeight="1" x14ac:dyDescent="0.2">
      <c r="A8" s="67"/>
      <c r="B8" s="695" t="s">
        <v>19</v>
      </c>
      <c r="C8" s="655"/>
      <c r="D8" s="654" t="s">
        <v>34</v>
      </c>
      <c r="E8" s="655"/>
      <c r="F8" s="651"/>
      <c r="G8" s="652"/>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88093</v>
      </c>
      <c r="C11" s="291">
        <f>B11/'- 3 -'!$D11*100</f>
        <v>0.43848002286051163</v>
      </c>
      <c r="D11" s="285">
        <v>1040554</v>
      </c>
      <c r="E11" s="291">
        <f>D11/'- 3 -'!$D11*100</f>
        <v>5.179323461655259</v>
      </c>
      <c r="F11" s="285">
        <v>13114</v>
      </c>
      <c r="G11" s="291">
        <f>F11/'- 3 -'!$D11*100</f>
        <v>6.5274505576978295E-2</v>
      </c>
    </row>
    <row r="12" spans="1:7" ht="14.1" customHeight="1" x14ac:dyDescent="0.2">
      <c r="A12" s="19" t="s">
        <v>111</v>
      </c>
      <c r="B12" s="20">
        <v>139434</v>
      </c>
      <c r="C12" s="70">
        <f>B12/'- 3 -'!$D12*100</f>
        <v>0.41143350439167514</v>
      </c>
      <c r="D12" s="20">
        <v>2100634</v>
      </c>
      <c r="E12" s="70">
        <f>D12/'- 3 -'!$D12*100</f>
        <v>6.1984251191553135</v>
      </c>
      <c r="F12" s="20">
        <v>0</v>
      </c>
      <c r="G12" s="70">
        <f>F12/'- 3 -'!$D12*100</f>
        <v>0</v>
      </c>
    </row>
    <row r="13" spans="1:7" ht="14.1" customHeight="1" x14ac:dyDescent="0.2">
      <c r="A13" s="284" t="s">
        <v>112</v>
      </c>
      <c r="B13" s="285">
        <v>204712</v>
      </c>
      <c r="C13" s="291">
        <f>B13/'- 3 -'!$D13*100</f>
        <v>0.20286788427235095</v>
      </c>
      <c r="D13" s="285">
        <v>2166330</v>
      </c>
      <c r="E13" s="291">
        <f>D13/'- 3 -'!$D13*100</f>
        <v>2.1468149582619582</v>
      </c>
      <c r="F13" s="285">
        <v>0</v>
      </c>
      <c r="G13" s="291">
        <f>F13/'- 3 -'!$D13*100</f>
        <v>0</v>
      </c>
    </row>
    <row r="14" spans="1:7" ht="14.1" customHeight="1" x14ac:dyDescent="0.2">
      <c r="A14" s="19" t="s">
        <v>359</v>
      </c>
      <c r="B14" s="20">
        <v>256616</v>
      </c>
      <c r="C14" s="70">
        <f>B14/'- 3 -'!$D14*100</f>
        <v>0.28108040351297053</v>
      </c>
      <c r="D14" s="20">
        <v>8394823</v>
      </c>
      <c r="E14" s="70">
        <f>D14/'- 3 -'!$D14*100</f>
        <v>9.1951407404837031</v>
      </c>
      <c r="F14" s="20">
        <v>229846</v>
      </c>
      <c r="G14" s="70">
        <f>F14/'- 3 -'!$D14*100</f>
        <v>0.25175829420551415</v>
      </c>
    </row>
    <row r="15" spans="1:7" ht="14.1" customHeight="1" x14ac:dyDescent="0.2">
      <c r="A15" s="284" t="s">
        <v>113</v>
      </c>
      <c r="B15" s="285">
        <v>186610</v>
      </c>
      <c r="C15" s="291">
        <f>B15/'- 3 -'!$D15*100</f>
        <v>0.92132653444611368</v>
      </c>
      <c r="D15" s="285">
        <v>1497144</v>
      </c>
      <c r="E15" s="291">
        <f>D15/'- 3 -'!$D15*100</f>
        <v>7.391664396799702</v>
      </c>
      <c r="F15" s="285">
        <v>2145</v>
      </c>
      <c r="G15" s="291">
        <f>F15/'- 3 -'!$D15*100</f>
        <v>1.0590243911831701E-2</v>
      </c>
    </row>
    <row r="16" spans="1:7" ht="14.1" customHeight="1" x14ac:dyDescent="0.2">
      <c r="A16" s="19" t="s">
        <v>114</v>
      </c>
      <c r="B16" s="20">
        <v>0</v>
      </c>
      <c r="C16" s="70">
        <f>B16/'- 3 -'!$D16*100</f>
        <v>0</v>
      </c>
      <c r="D16" s="20">
        <v>341618</v>
      </c>
      <c r="E16" s="70">
        <f>D16/'- 3 -'!$D16*100</f>
        <v>2.2720089939148482</v>
      </c>
      <c r="F16" s="20">
        <v>750</v>
      </c>
      <c r="G16" s="70">
        <f>F16/'- 3 -'!$D16*100</f>
        <v>4.9880473085028784E-3</v>
      </c>
    </row>
    <row r="17" spans="1:7" ht="14.1" customHeight="1" x14ac:dyDescent="0.2">
      <c r="A17" s="284" t="s">
        <v>115</v>
      </c>
      <c r="B17" s="285">
        <v>66911</v>
      </c>
      <c r="C17" s="291">
        <f>B17/'- 3 -'!$D17*100</f>
        <v>0.36377220099932295</v>
      </c>
      <c r="D17" s="285">
        <v>1401700</v>
      </c>
      <c r="E17" s="291">
        <f>D17/'- 3 -'!$D17*100</f>
        <v>7.6205630485383713</v>
      </c>
      <c r="F17" s="285">
        <v>0</v>
      </c>
      <c r="G17" s="291">
        <f>F17/'- 3 -'!$D17*100</f>
        <v>0</v>
      </c>
    </row>
    <row r="18" spans="1:7" ht="14.1" customHeight="1" x14ac:dyDescent="0.2">
      <c r="A18" s="19" t="s">
        <v>116</v>
      </c>
      <c r="B18" s="20">
        <v>333727</v>
      </c>
      <c r="C18" s="70">
        <f>B18/'- 3 -'!$D18*100</f>
        <v>0.24810618924380676</v>
      </c>
      <c r="D18" s="20">
        <v>7665667</v>
      </c>
      <c r="E18" s="70">
        <f>D18/'- 3 -'!$D18*100</f>
        <v>5.6989678011728282</v>
      </c>
      <c r="F18" s="20">
        <v>88901</v>
      </c>
      <c r="G18" s="70">
        <f>F18/'- 3 -'!$D18*100</f>
        <v>6.6092609617932216E-2</v>
      </c>
    </row>
    <row r="19" spans="1:7" ht="14.1" customHeight="1" x14ac:dyDescent="0.2">
      <c r="A19" s="284" t="s">
        <v>117</v>
      </c>
      <c r="B19" s="285">
        <v>150205</v>
      </c>
      <c r="C19" s="291">
        <f>B19/'- 3 -'!$D19*100</f>
        <v>0.299820869979742</v>
      </c>
      <c r="D19" s="285">
        <v>2727437</v>
      </c>
      <c r="E19" s="291">
        <f>D19/'- 3 -'!$D19*100</f>
        <v>5.4441765197892051</v>
      </c>
      <c r="F19" s="285">
        <v>24608</v>
      </c>
      <c r="G19" s="291">
        <f>F19/'- 3 -'!$D19*100</f>
        <v>4.9119483162754184E-2</v>
      </c>
    </row>
    <row r="20" spans="1:7" ht="14.1" customHeight="1" x14ac:dyDescent="0.2">
      <c r="A20" s="19" t="s">
        <v>118</v>
      </c>
      <c r="B20" s="20">
        <v>321133</v>
      </c>
      <c r="C20" s="70">
        <f>B20/'- 3 -'!$D20*100</f>
        <v>0.36735063620685376</v>
      </c>
      <c r="D20" s="20">
        <v>3159064</v>
      </c>
      <c r="E20" s="70">
        <f>D20/'- 3 -'!$D20*100</f>
        <v>3.6137182108913382</v>
      </c>
      <c r="F20" s="20">
        <v>1380</v>
      </c>
      <c r="G20" s="70">
        <f>F20/'- 3 -'!$D20*100</f>
        <v>1.5786103513667487E-3</v>
      </c>
    </row>
    <row r="21" spans="1:7" ht="14.1" customHeight="1" x14ac:dyDescent="0.2">
      <c r="A21" s="284" t="s">
        <v>119</v>
      </c>
      <c r="B21" s="285">
        <v>161311</v>
      </c>
      <c r="C21" s="291">
        <f>B21/'- 3 -'!$D21*100</f>
        <v>0.43305159427019191</v>
      </c>
      <c r="D21" s="285">
        <v>1895509</v>
      </c>
      <c r="E21" s="291">
        <f>D21/'- 3 -'!$D21*100</f>
        <v>5.0886374419816205</v>
      </c>
      <c r="F21" s="285">
        <v>2540</v>
      </c>
      <c r="G21" s="291">
        <f>F21/'- 3 -'!$D21*100</f>
        <v>6.8188223335438215E-3</v>
      </c>
    </row>
    <row r="22" spans="1:7" ht="14.1" customHeight="1" x14ac:dyDescent="0.2">
      <c r="A22" s="19" t="s">
        <v>120</v>
      </c>
      <c r="B22" s="20">
        <v>86707</v>
      </c>
      <c r="C22" s="70">
        <f>B22/'- 3 -'!$D22*100</f>
        <v>0.41343004176927478</v>
      </c>
      <c r="D22" s="20">
        <v>384704</v>
      </c>
      <c r="E22" s="70">
        <f>D22/'- 3 -'!$D22*100</f>
        <v>1.8343177689091665</v>
      </c>
      <c r="F22" s="20">
        <v>3228</v>
      </c>
      <c r="G22" s="70">
        <f>F22/'- 3 -'!$D22*100</f>
        <v>1.5391515965622373E-2</v>
      </c>
    </row>
    <row r="23" spans="1:7" ht="14.1" customHeight="1" x14ac:dyDescent="0.2">
      <c r="A23" s="284" t="s">
        <v>121</v>
      </c>
      <c r="B23" s="285">
        <v>100337</v>
      </c>
      <c r="C23" s="291">
        <f>B23/'- 3 -'!$D23*100</f>
        <v>0.62842181178661205</v>
      </c>
      <c r="D23" s="285">
        <v>1525816</v>
      </c>
      <c r="E23" s="291">
        <f>D23/'- 3 -'!$D23*100</f>
        <v>9.5563556332459729</v>
      </c>
      <c r="F23" s="285">
        <v>0</v>
      </c>
      <c r="G23" s="291">
        <f>F23/'- 3 -'!$D23*100</f>
        <v>0</v>
      </c>
    </row>
    <row r="24" spans="1:7" ht="14.1" customHeight="1" x14ac:dyDescent="0.2">
      <c r="A24" s="19" t="s">
        <v>122</v>
      </c>
      <c r="B24" s="20">
        <v>192930</v>
      </c>
      <c r="C24" s="70">
        <f>B24/'- 3 -'!$D24*100</f>
        <v>0.33317384691161678</v>
      </c>
      <c r="D24" s="20">
        <v>2324091</v>
      </c>
      <c r="E24" s="70">
        <f>D24/'- 3 -'!$D24*100</f>
        <v>4.0135092470982547</v>
      </c>
      <c r="F24" s="20">
        <v>14692</v>
      </c>
      <c r="G24" s="70">
        <f>F24/'- 3 -'!$D24*100</f>
        <v>2.5371845533745264E-2</v>
      </c>
    </row>
    <row r="25" spans="1:7" ht="14.1" customHeight="1" x14ac:dyDescent="0.2">
      <c r="A25" s="284" t="s">
        <v>123</v>
      </c>
      <c r="B25" s="285">
        <v>434666</v>
      </c>
      <c r="C25" s="291">
        <f>B25/'- 3 -'!$D25*100</f>
        <v>0.22371830062082954</v>
      </c>
      <c r="D25" s="285">
        <v>4011184</v>
      </c>
      <c r="E25" s="291">
        <f>D25/'- 3 -'!$D25*100</f>
        <v>2.0645168197132082</v>
      </c>
      <c r="F25" s="285">
        <v>0</v>
      </c>
      <c r="G25" s="291">
        <f>F25/'- 3 -'!$D25*100</f>
        <v>0</v>
      </c>
    </row>
    <row r="26" spans="1:7" ht="14.1" customHeight="1" x14ac:dyDescent="0.2">
      <c r="A26" s="19" t="s">
        <v>124</v>
      </c>
      <c r="B26" s="20">
        <v>246688</v>
      </c>
      <c r="C26" s="70">
        <f>B26/'- 3 -'!$D26*100</f>
        <v>0.602670190907451</v>
      </c>
      <c r="D26" s="20">
        <v>2743067</v>
      </c>
      <c r="E26" s="70">
        <f>D26/'- 3 -'!$D26*100</f>
        <v>6.701439521022218</v>
      </c>
      <c r="F26" s="20">
        <v>10593</v>
      </c>
      <c r="G26" s="70">
        <f>F26/'- 3 -'!$D26*100</f>
        <v>2.5879188822653023E-2</v>
      </c>
    </row>
    <row r="27" spans="1:7" ht="14.1" customHeight="1" x14ac:dyDescent="0.2">
      <c r="A27" s="284" t="s">
        <v>125</v>
      </c>
      <c r="B27" s="285">
        <v>0</v>
      </c>
      <c r="C27" s="291">
        <f>B27/'- 3 -'!$D27*100</f>
        <v>0</v>
      </c>
      <c r="D27" s="285">
        <v>0</v>
      </c>
      <c r="E27" s="291">
        <f>D27/'- 3 -'!$D27*100</f>
        <v>0</v>
      </c>
      <c r="F27" s="285">
        <v>213874</v>
      </c>
      <c r="G27" s="291">
        <f>F27/'- 3 -'!$D27*100</f>
        <v>0.51872633250776534</v>
      </c>
    </row>
    <row r="28" spans="1:7" ht="14.1" customHeight="1" x14ac:dyDescent="0.2">
      <c r="A28" s="19" t="s">
        <v>126</v>
      </c>
      <c r="B28" s="20">
        <v>55634</v>
      </c>
      <c r="C28" s="70">
        <f>B28/'- 3 -'!$D28*100</f>
        <v>0.1914073005539472</v>
      </c>
      <c r="D28" s="20">
        <v>1843707</v>
      </c>
      <c r="E28" s="70">
        <f>D28/'- 3 -'!$D28*100</f>
        <v>6.3432250041775955</v>
      </c>
      <c r="F28" s="20">
        <v>3082</v>
      </c>
      <c r="G28" s="70">
        <f>F28/'- 3 -'!$D28*100</f>
        <v>1.060353920816884E-2</v>
      </c>
    </row>
    <row r="29" spans="1:7" ht="14.1" customHeight="1" x14ac:dyDescent="0.2">
      <c r="A29" s="284" t="s">
        <v>127</v>
      </c>
      <c r="B29" s="285">
        <v>190194</v>
      </c>
      <c r="C29" s="291">
        <f>B29/'- 3 -'!$D29*100</f>
        <v>0.11409313024971304</v>
      </c>
      <c r="D29" s="285">
        <v>2864865</v>
      </c>
      <c r="E29" s="291">
        <f>D29/'- 3 -'!$D29*100</f>
        <v>1.7185684910819696</v>
      </c>
      <c r="F29" s="285">
        <v>153863</v>
      </c>
      <c r="G29" s="291">
        <f>F29/'- 3 -'!$D29*100</f>
        <v>9.229897525480088E-2</v>
      </c>
    </row>
    <row r="30" spans="1:7" ht="14.1" customHeight="1" x14ac:dyDescent="0.2">
      <c r="A30" s="19" t="s">
        <v>128</v>
      </c>
      <c r="B30" s="20">
        <v>96337</v>
      </c>
      <c r="C30" s="70">
        <f>B30/'- 3 -'!$D30*100</f>
        <v>0.62499910795045155</v>
      </c>
      <c r="D30" s="20">
        <v>1089070</v>
      </c>
      <c r="E30" s="70">
        <f>D30/'- 3 -'!$D30*100</f>
        <v>7.0654865575593835</v>
      </c>
      <c r="F30" s="20">
        <v>0</v>
      </c>
      <c r="G30" s="70">
        <f>F30/'- 3 -'!$D30*100</f>
        <v>0</v>
      </c>
    </row>
    <row r="31" spans="1:7" ht="14.1" customHeight="1" x14ac:dyDescent="0.2">
      <c r="A31" s="284" t="s">
        <v>129</v>
      </c>
      <c r="B31" s="285">
        <v>98054</v>
      </c>
      <c r="C31" s="291">
        <f>B31/'- 3 -'!$D31*100</f>
        <v>0.25306052671812701</v>
      </c>
      <c r="D31" s="285">
        <v>1035687</v>
      </c>
      <c r="E31" s="291">
        <f>D31/'- 3 -'!$D31*100</f>
        <v>2.6729301990241785</v>
      </c>
      <c r="F31" s="285">
        <v>490</v>
      </c>
      <c r="G31" s="291">
        <f>F31/'- 3 -'!$D31*100</f>
        <v>1.2646058099810536E-3</v>
      </c>
    </row>
    <row r="32" spans="1:7" ht="14.1" customHeight="1" x14ac:dyDescent="0.2">
      <c r="A32" s="19" t="s">
        <v>130</v>
      </c>
      <c r="B32" s="20">
        <v>121877</v>
      </c>
      <c r="C32" s="70">
        <f>B32/'- 3 -'!$D32*100</f>
        <v>0.40518171956466165</v>
      </c>
      <c r="D32" s="20">
        <v>1948344</v>
      </c>
      <c r="E32" s="70">
        <f>D32/'- 3 -'!$D32*100</f>
        <v>6.4772957344165922</v>
      </c>
      <c r="F32" s="20">
        <v>0</v>
      </c>
      <c r="G32" s="70">
        <f>F32/'- 3 -'!$D32*100</f>
        <v>0</v>
      </c>
    </row>
    <row r="33" spans="1:7" ht="14.1" customHeight="1" x14ac:dyDescent="0.2">
      <c r="A33" s="284" t="s">
        <v>131</v>
      </c>
      <c r="B33" s="285">
        <v>119093</v>
      </c>
      <c r="C33" s="291">
        <f>B33/'- 3 -'!$D33*100</f>
        <v>0.4249653825546631</v>
      </c>
      <c r="D33" s="285">
        <v>2289859</v>
      </c>
      <c r="E33" s="291">
        <f>D33/'- 3 -'!$D33*100</f>
        <v>8.1710159785313863</v>
      </c>
      <c r="F33" s="285">
        <v>0</v>
      </c>
      <c r="G33" s="291">
        <f>F33/'- 3 -'!$D33*100</f>
        <v>0</v>
      </c>
    </row>
    <row r="34" spans="1:7" ht="14.1" customHeight="1" x14ac:dyDescent="0.2">
      <c r="A34" s="19" t="s">
        <v>132</v>
      </c>
      <c r="B34" s="20">
        <v>167207</v>
      </c>
      <c r="C34" s="70">
        <f>B34/'- 3 -'!$D34*100</f>
        <v>0.5435459609984391</v>
      </c>
      <c r="D34" s="20">
        <v>2488688</v>
      </c>
      <c r="E34" s="70">
        <f>D34/'- 3 -'!$D34*100</f>
        <v>8.0900698570351928</v>
      </c>
      <c r="F34" s="20">
        <v>8630</v>
      </c>
      <c r="G34" s="70">
        <f>F34/'- 3 -'!$D34*100</f>
        <v>2.8053859248814525E-2</v>
      </c>
    </row>
    <row r="35" spans="1:7" ht="14.1" customHeight="1" x14ac:dyDescent="0.2">
      <c r="A35" s="284" t="s">
        <v>133</v>
      </c>
      <c r="B35" s="285">
        <v>344747</v>
      </c>
      <c r="C35" s="291">
        <f>B35/'- 3 -'!$D35*100</f>
        <v>0.17876272931990064</v>
      </c>
      <c r="D35" s="285">
        <v>4282909</v>
      </c>
      <c r="E35" s="291">
        <f>D35/'- 3 -'!$D35*100</f>
        <v>2.2208300645655115</v>
      </c>
      <c r="F35" s="285">
        <v>9752</v>
      </c>
      <c r="G35" s="291">
        <f>F35/'- 3 -'!$D35*100</f>
        <v>5.0567347542623169E-3</v>
      </c>
    </row>
    <row r="36" spans="1:7" ht="14.1" customHeight="1" x14ac:dyDescent="0.2">
      <c r="A36" s="19" t="s">
        <v>134</v>
      </c>
      <c r="B36" s="20">
        <v>56541</v>
      </c>
      <c r="C36" s="70">
        <f>B36/'- 3 -'!$D36*100</f>
        <v>0.23540876589449458</v>
      </c>
      <c r="D36" s="20">
        <v>1585898</v>
      </c>
      <c r="E36" s="70">
        <f>D36/'- 3 -'!$D36*100</f>
        <v>6.6028950852398651</v>
      </c>
      <c r="F36" s="20">
        <v>0</v>
      </c>
      <c r="G36" s="70">
        <f>F36/'- 3 -'!$D36*100</f>
        <v>0</v>
      </c>
    </row>
    <row r="37" spans="1:7" ht="14.1" customHeight="1" x14ac:dyDescent="0.2">
      <c r="A37" s="284" t="s">
        <v>135</v>
      </c>
      <c r="B37" s="285">
        <v>274719</v>
      </c>
      <c r="C37" s="291">
        <f>B37/'- 3 -'!$D37*100</f>
        <v>0.51212060141058502</v>
      </c>
      <c r="D37" s="285">
        <v>3094267</v>
      </c>
      <c r="E37" s="291">
        <f>D37/'- 3 -'!$D37*100</f>
        <v>5.7682136181513712</v>
      </c>
      <c r="F37" s="285">
        <v>0</v>
      </c>
      <c r="G37" s="291">
        <f>F37/'- 3 -'!$D37*100</f>
        <v>0</v>
      </c>
    </row>
    <row r="38" spans="1:7" ht="14.1" customHeight="1" x14ac:dyDescent="0.2">
      <c r="A38" s="19" t="s">
        <v>136</v>
      </c>
      <c r="B38" s="20">
        <v>427900</v>
      </c>
      <c r="C38" s="70">
        <f>B38/'- 3 -'!$D38*100</f>
        <v>0.29668973369832574</v>
      </c>
      <c r="D38" s="20">
        <v>3330039</v>
      </c>
      <c r="E38" s="70">
        <f>D38/'- 3 -'!$D38*100</f>
        <v>2.3089235431526967</v>
      </c>
      <c r="F38" s="20">
        <v>272388</v>
      </c>
      <c r="G38" s="70">
        <f>F38/'- 3 -'!$D38*100</f>
        <v>0.1888635736915624</v>
      </c>
    </row>
    <row r="39" spans="1:7" ht="14.1" customHeight="1" x14ac:dyDescent="0.2">
      <c r="A39" s="284" t="s">
        <v>137</v>
      </c>
      <c r="B39" s="285">
        <v>86374</v>
      </c>
      <c r="C39" s="291">
        <f>B39/'- 3 -'!$D39*100</f>
        <v>0.38686809152524898</v>
      </c>
      <c r="D39" s="285">
        <v>1959923</v>
      </c>
      <c r="E39" s="291">
        <f>D39/'- 3 -'!$D39*100</f>
        <v>8.7784711897844332</v>
      </c>
      <c r="F39" s="285">
        <v>0</v>
      </c>
      <c r="G39" s="291">
        <f>F39/'- 3 -'!$D39*100</f>
        <v>0</v>
      </c>
    </row>
    <row r="40" spans="1:7" ht="14.1" customHeight="1" x14ac:dyDescent="0.2">
      <c r="A40" s="19" t="s">
        <v>138</v>
      </c>
      <c r="B40" s="20">
        <v>164686</v>
      </c>
      <c r="C40" s="70">
        <f>B40/'- 3 -'!$D40*100</f>
        <v>0.15443346205507966</v>
      </c>
      <c r="D40" s="20">
        <v>2731290</v>
      </c>
      <c r="E40" s="70">
        <f>D40/'- 3 -'!$D40*100</f>
        <v>2.5612533583693726</v>
      </c>
      <c r="F40" s="20">
        <v>3322</v>
      </c>
      <c r="G40" s="70">
        <f>F40/'- 3 -'!$D40*100</f>
        <v>3.1151886678101024E-3</v>
      </c>
    </row>
    <row r="41" spans="1:7" ht="14.1" customHeight="1" x14ac:dyDescent="0.2">
      <c r="A41" s="284" t="s">
        <v>139</v>
      </c>
      <c r="B41" s="285">
        <v>522922</v>
      </c>
      <c r="C41" s="291">
        <f>B41/'- 3 -'!$D41*100</f>
        <v>0.79802891944898546</v>
      </c>
      <c r="D41" s="285">
        <v>4549692</v>
      </c>
      <c r="E41" s="291">
        <f>D41/'- 3 -'!$D41*100</f>
        <v>6.9432645606528203</v>
      </c>
      <c r="F41" s="285">
        <v>5534</v>
      </c>
      <c r="G41" s="291">
        <f>F41/'- 3 -'!$D41*100</f>
        <v>8.4454125858745392E-3</v>
      </c>
    </row>
    <row r="42" spans="1:7" ht="14.1" customHeight="1" x14ac:dyDescent="0.2">
      <c r="A42" s="19" t="s">
        <v>140</v>
      </c>
      <c r="B42" s="20">
        <v>137502</v>
      </c>
      <c r="C42" s="70">
        <f>B42/'- 3 -'!$D42*100</f>
        <v>0.65938381838100368</v>
      </c>
      <c r="D42" s="20">
        <v>1459035</v>
      </c>
      <c r="E42" s="70">
        <f>D42/'- 3 -'!$D42*100</f>
        <v>6.9967278254245588</v>
      </c>
      <c r="F42" s="20">
        <v>0</v>
      </c>
      <c r="G42" s="70">
        <f>F42/'- 3 -'!$D42*100</f>
        <v>0</v>
      </c>
    </row>
    <row r="43" spans="1:7" ht="14.1" customHeight="1" x14ac:dyDescent="0.2">
      <c r="A43" s="284" t="s">
        <v>141</v>
      </c>
      <c r="B43" s="285">
        <v>96335</v>
      </c>
      <c r="C43" s="291">
        <f>B43/'- 3 -'!$D43*100</f>
        <v>0.69949639309351963</v>
      </c>
      <c r="D43" s="285">
        <v>1161683</v>
      </c>
      <c r="E43" s="291">
        <f>D43/'- 3 -'!$D43*100</f>
        <v>8.4350762279343865</v>
      </c>
      <c r="F43" s="285">
        <v>0</v>
      </c>
      <c r="G43" s="291">
        <f>F43/'- 3 -'!$D43*100</f>
        <v>0</v>
      </c>
    </row>
    <row r="44" spans="1:7" ht="14.1" customHeight="1" x14ac:dyDescent="0.2">
      <c r="A44" s="19" t="s">
        <v>142</v>
      </c>
      <c r="B44" s="20">
        <v>52924</v>
      </c>
      <c r="C44" s="70">
        <f>B44/'- 3 -'!$D44*100</f>
        <v>0.47482185432988738</v>
      </c>
      <c r="D44" s="20">
        <v>1080159</v>
      </c>
      <c r="E44" s="70">
        <f>D44/'- 3 -'!$D44*100</f>
        <v>9.6909360469941213</v>
      </c>
      <c r="F44" s="20">
        <v>0</v>
      </c>
      <c r="G44" s="70">
        <f>F44/'- 3 -'!$D44*100</f>
        <v>0</v>
      </c>
    </row>
    <row r="45" spans="1:7" ht="14.1" customHeight="1" x14ac:dyDescent="0.2">
      <c r="A45" s="284" t="s">
        <v>143</v>
      </c>
      <c r="B45" s="285">
        <v>50340</v>
      </c>
      <c r="C45" s="291">
        <f>B45/'- 3 -'!$D45*100</f>
        <v>0.24538755244586166</v>
      </c>
      <c r="D45" s="285">
        <v>734327</v>
      </c>
      <c r="E45" s="291">
        <f>D45/'- 3 -'!$D45*100</f>
        <v>3.5795531431249952</v>
      </c>
      <c r="F45" s="285">
        <v>20305</v>
      </c>
      <c r="G45" s="291">
        <f>F45/'- 3 -'!$D45*100</f>
        <v>9.89788290109897E-2</v>
      </c>
    </row>
    <row r="46" spans="1:7" ht="14.1" customHeight="1" x14ac:dyDescent="0.2">
      <c r="A46" s="19" t="s">
        <v>144</v>
      </c>
      <c r="B46" s="20">
        <v>569646</v>
      </c>
      <c r="C46" s="70">
        <f>B46/'- 3 -'!$D46*100</f>
        <v>0.14189763050192403</v>
      </c>
      <c r="D46" s="20">
        <v>6077627</v>
      </c>
      <c r="E46" s="70">
        <f>D46/'- 3 -'!$D46*100</f>
        <v>1.5139242097276502</v>
      </c>
      <c r="F46" s="20">
        <v>0</v>
      </c>
      <c r="G46" s="70">
        <f>F46/'- 3 -'!$D46*100</f>
        <v>0</v>
      </c>
    </row>
    <row r="47" spans="1:7" ht="5.0999999999999996" customHeight="1" x14ac:dyDescent="0.2">
      <c r="A47"/>
      <c r="B47" s="22"/>
      <c r="C47"/>
      <c r="D47" s="22"/>
      <c r="E47"/>
      <c r="F47" s="22"/>
      <c r="G47"/>
    </row>
    <row r="48" spans="1:7" ht="14.1" customHeight="1" x14ac:dyDescent="0.2">
      <c r="A48" s="286" t="s">
        <v>145</v>
      </c>
      <c r="B48" s="287">
        <f>SUM(B11:B46)</f>
        <v>6603112</v>
      </c>
      <c r="C48" s="294">
        <f>B48/'- 3 -'!$D48*100</f>
        <v>0.27556542746262758</v>
      </c>
      <c r="D48" s="287">
        <f>SUM(D11:D46)</f>
        <v>88986411</v>
      </c>
      <c r="E48" s="294">
        <f>D48/'- 3 -'!$D48*100</f>
        <v>3.7136396271303691</v>
      </c>
      <c r="F48" s="287">
        <f>SUM(F11:F46)</f>
        <v>1083037</v>
      </c>
      <c r="G48" s="294">
        <f>F48/'- 3 -'!$D48*100</f>
        <v>4.5198014794061006E-2</v>
      </c>
    </row>
    <row r="49" spans="1:7" ht="5.0999999999999996" customHeight="1" x14ac:dyDescent="0.2">
      <c r="A49" s="21" t="s">
        <v>7</v>
      </c>
      <c r="B49" s="22"/>
      <c r="C49"/>
      <c r="D49" s="22"/>
      <c r="E49"/>
      <c r="F49" s="22"/>
      <c r="G49"/>
    </row>
    <row r="50" spans="1:7" ht="14.1" customHeight="1" x14ac:dyDescent="0.2">
      <c r="A50" s="19" t="s">
        <v>146</v>
      </c>
      <c r="B50" s="20">
        <v>0</v>
      </c>
      <c r="C50" s="70">
        <f>B50/'- 3 -'!$D50*100</f>
        <v>0</v>
      </c>
      <c r="D50" s="20">
        <v>0</v>
      </c>
      <c r="E50" s="70">
        <f>D50/'- 3 -'!$D50*100</f>
        <v>0</v>
      </c>
      <c r="F50" s="20">
        <v>9600</v>
      </c>
      <c r="G50" s="70">
        <f>F50/'- 3 -'!$D50*100</f>
        <v>0.2825845774168414</v>
      </c>
    </row>
    <row r="51" spans="1:7" ht="14.1" customHeight="1" x14ac:dyDescent="0.2">
      <c r="A51" s="284" t="s">
        <v>601</v>
      </c>
      <c r="B51" s="285">
        <v>0</v>
      </c>
      <c r="C51" s="291">
        <f>B51/'- 3 -'!$D51*100</f>
        <v>0</v>
      </c>
      <c r="D51" s="285">
        <v>0</v>
      </c>
      <c r="E51" s="291">
        <f>D51/'- 3 -'!$D51*100</f>
        <v>0</v>
      </c>
      <c r="F51" s="285">
        <v>0</v>
      </c>
      <c r="G51" s="291">
        <f>F51/'- 3 -'!$D51*100</f>
        <v>0</v>
      </c>
    </row>
    <row r="52" spans="1:7" ht="50.1" customHeight="1" x14ac:dyDescent="0.2"/>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G52"/>
  <sheetViews>
    <sheetView showGridLines="0" showZeros="0" workbookViewId="0"/>
  </sheetViews>
  <sheetFormatPr defaultColWidth="15.83203125" defaultRowHeight="12" x14ac:dyDescent="0.2"/>
  <cols>
    <col min="1" max="1" width="33.83203125" style="2" customWidth="1"/>
    <col min="2" max="2" width="19.83203125" style="2" customWidth="1"/>
    <col min="3" max="3" width="15.83203125" style="2"/>
    <col min="4" max="4" width="19.83203125" style="2" customWidth="1"/>
    <col min="5" max="5" width="15.83203125" style="2"/>
    <col min="6" max="6" width="11.83203125" style="2" customWidth="1"/>
    <col min="7"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73"/>
      <c r="G2" s="395" t="s">
        <v>410</v>
      </c>
    </row>
    <row r="3" spans="1:7" ht="15.95" customHeight="1" x14ac:dyDescent="0.2">
      <c r="A3" s="541"/>
      <c r="B3" s="11" t="str">
        <f>OPYEAR</f>
        <v>OPERATING FUND 2018/2019 ACTUAL</v>
      </c>
      <c r="C3" s="12"/>
      <c r="D3" s="12"/>
      <c r="E3" s="12"/>
      <c r="F3" s="75"/>
      <c r="G3" s="66"/>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15</v>
      </c>
      <c r="C6" s="72"/>
      <c r="D6" s="173"/>
      <c r="E6" s="174"/>
      <c r="F6" s="8"/>
      <c r="G6" s="43"/>
    </row>
    <row r="7" spans="1:7" ht="15.95" customHeight="1" x14ac:dyDescent="0.2">
      <c r="B7" s="676" t="s">
        <v>496</v>
      </c>
      <c r="C7" s="677"/>
      <c r="D7" s="696" t="s">
        <v>497</v>
      </c>
      <c r="E7" s="650"/>
      <c r="F7" s="69"/>
      <c r="G7" s="8"/>
    </row>
    <row r="8" spans="1:7" ht="15.95" customHeight="1" x14ac:dyDescent="0.2">
      <c r="A8" s="403"/>
      <c r="B8" s="678"/>
      <c r="C8" s="679"/>
      <c r="D8" s="683"/>
      <c r="E8" s="652"/>
      <c r="F8" s="8"/>
      <c r="G8" s="8"/>
    </row>
    <row r="9" spans="1:7" ht="15.95" customHeight="1" x14ac:dyDescent="0.2">
      <c r="A9" s="35" t="s">
        <v>42</v>
      </c>
      <c r="B9" s="77" t="s">
        <v>43</v>
      </c>
      <c r="C9" s="77" t="s">
        <v>44</v>
      </c>
      <c r="D9" s="168" t="s">
        <v>43</v>
      </c>
      <c r="E9" s="168" t="s">
        <v>44</v>
      </c>
    </row>
    <row r="10" spans="1:7" ht="5.0999999999999996" customHeight="1" x14ac:dyDescent="0.2">
      <c r="A10" s="6"/>
    </row>
    <row r="11" spans="1:7" ht="14.1" customHeight="1" x14ac:dyDescent="0.2">
      <c r="A11" s="284" t="s">
        <v>110</v>
      </c>
      <c r="B11" s="285">
        <v>0</v>
      </c>
      <c r="C11" s="291">
        <f>B11/'- 3 -'!$D11*100</f>
        <v>0</v>
      </c>
      <c r="D11" s="285">
        <v>165606</v>
      </c>
      <c r="E11" s="291">
        <f>D11/'- 3 -'!$D11*100</f>
        <v>0.82429844216723103</v>
      </c>
    </row>
    <row r="12" spans="1:7" ht="14.1" customHeight="1" x14ac:dyDescent="0.2">
      <c r="A12" s="19" t="s">
        <v>111</v>
      </c>
      <c r="B12" s="20">
        <v>0</v>
      </c>
      <c r="C12" s="70">
        <f>B12/'- 3 -'!$D12*100</f>
        <v>0</v>
      </c>
      <c r="D12" s="20">
        <v>290504</v>
      </c>
      <c r="E12" s="70">
        <f>D12/'- 3 -'!$D12*100</f>
        <v>0.85720182136207224</v>
      </c>
    </row>
    <row r="13" spans="1:7" ht="14.1" customHeight="1" x14ac:dyDescent="0.2">
      <c r="A13" s="284" t="s">
        <v>112</v>
      </c>
      <c r="B13" s="285">
        <v>0</v>
      </c>
      <c r="C13" s="291">
        <f>B13/'- 3 -'!$D13*100</f>
        <v>0</v>
      </c>
      <c r="D13" s="285">
        <v>78576</v>
      </c>
      <c r="E13" s="291">
        <f>D13/'- 3 -'!$D13*100</f>
        <v>7.7868160511275583E-2</v>
      </c>
    </row>
    <row r="14" spans="1:7" ht="14.1" customHeight="1" x14ac:dyDescent="0.2">
      <c r="A14" s="19" t="s">
        <v>359</v>
      </c>
      <c r="B14" s="20">
        <v>0</v>
      </c>
      <c r="C14" s="70">
        <f>B14/'- 3 -'!$D14*100</f>
        <v>0</v>
      </c>
      <c r="D14" s="20">
        <v>716312</v>
      </c>
      <c r="E14" s="70">
        <f>D14/'- 3 -'!$D14*100</f>
        <v>0.7846013732627074</v>
      </c>
    </row>
    <row r="15" spans="1:7" ht="14.1" customHeight="1" x14ac:dyDescent="0.2">
      <c r="A15" s="284" t="s">
        <v>113</v>
      </c>
      <c r="B15" s="285">
        <v>0</v>
      </c>
      <c r="C15" s="291">
        <f>B15/'- 3 -'!$D15*100</f>
        <v>0</v>
      </c>
      <c r="D15" s="285">
        <v>193811</v>
      </c>
      <c r="E15" s="291">
        <f>D15/'- 3 -'!$D15*100</f>
        <v>0.9568791434946452</v>
      </c>
    </row>
    <row r="16" spans="1:7" ht="14.1" customHeight="1" x14ac:dyDescent="0.2">
      <c r="A16" s="19" t="s">
        <v>114</v>
      </c>
      <c r="B16" s="20">
        <v>0</v>
      </c>
      <c r="C16" s="70">
        <f>B16/'- 3 -'!$D16*100</f>
        <v>0</v>
      </c>
      <c r="D16" s="20">
        <v>116362</v>
      </c>
      <c r="E16" s="70">
        <f>D16/'- 3 -'!$D16*100</f>
        <v>0.7738922145493492</v>
      </c>
    </row>
    <row r="17" spans="1:5" ht="14.1" customHeight="1" x14ac:dyDescent="0.2">
      <c r="A17" s="284" t="s">
        <v>115</v>
      </c>
      <c r="B17" s="285">
        <v>0</v>
      </c>
      <c r="C17" s="291">
        <f>B17/'- 3 -'!$D17*100</f>
        <v>0</v>
      </c>
      <c r="D17" s="285">
        <v>40997</v>
      </c>
      <c r="E17" s="291">
        <f>D17/'- 3 -'!$D17*100</f>
        <v>0.22288665427761117</v>
      </c>
    </row>
    <row r="18" spans="1:5" ht="14.1" customHeight="1" x14ac:dyDescent="0.2">
      <c r="A18" s="19" t="s">
        <v>116</v>
      </c>
      <c r="B18" s="20">
        <v>2582284</v>
      </c>
      <c r="C18" s="70">
        <f>B18/'- 3 -'!$D18*100</f>
        <v>1.9197746744652195</v>
      </c>
      <c r="D18" s="20">
        <v>1170647</v>
      </c>
      <c r="E18" s="70">
        <f>D18/'- 3 -'!$D18*100</f>
        <v>0.87030646642223919</v>
      </c>
    </row>
    <row r="19" spans="1:5" ht="14.1" customHeight="1" x14ac:dyDescent="0.2">
      <c r="A19" s="284" t="s">
        <v>117</v>
      </c>
      <c r="B19" s="285">
        <v>0</v>
      </c>
      <c r="C19" s="291">
        <f>B19/'- 3 -'!$D19*100</f>
        <v>0</v>
      </c>
      <c r="D19" s="285">
        <v>173652</v>
      </c>
      <c r="E19" s="291">
        <f>D19/'- 3 -'!$D19*100</f>
        <v>0.34662290678554081</v>
      </c>
    </row>
    <row r="20" spans="1:5" ht="14.1" customHeight="1" x14ac:dyDescent="0.2">
      <c r="A20" s="19" t="s">
        <v>118</v>
      </c>
      <c r="B20" s="20">
        <v>0</v>
      </c>
      <c r="C20" s="70">
        <f>B20/'- 3 -'!$D20*100</f>
        <v>0</v>
      </c>
      <c r="D20" s="20">
        <v>476171</v>
      </c>
      <c r="E20" s="70">
        <f>D20/'- 3 -'!$D20*100</f>
        <v>0.54470178958018567</v>
      </c>
    </row>
    <row r="21" spans="1:5" ht="14.1" customHeight="1" x14ac:dyDescent="0.2">
      <c r="A21" s="284" t="s">
        <v>119</v>
      </c>
      <c r="B21" s="285">
        <v>0</v>
      </c>
      <c r="C21" s="291">
        <f>B21/'- 3 -'!$D21*100</f>
        <v>0</v>
      </c>
      <c r="D21" s="285">
        <v>141812</v>
      </c>
      <c r="E21" s="291">
        <f>D21/'- 3 -'!$D21*100</f>
        <v>0.38070505226949469</v>
      </c>
    </row>
    <row r="22" spans="1:5" ht="14.1" customHeight="1" x14ac:dyDescent="0.2">
      <c r="A22" s="19" t="s">
        <v>120</v>
      </c>
      <c r="B22" s="20">
        <v>0</v>
      </c>
      <c r="C22" s="70">
        <f>B22/'- 3 -'!$D22*100</f>
        <v>0</v>
      </c>
      <c r="D22" s="20">
        <v>57630</v>
      </c>
      <c r="E22" s="70">
        <f>D22/'- 3 -'!$D22*100</f>
        <v>0.27478719488810949</v>
      </c>
    </row>
    <row r="23" spans="1:5" ht="14.1" customHeight="1" x14ac:dyDescent="0.2">
      <c r="A23" s="284" t="s">
        <v>121</v>
      </c>
      <c r="B23" s="285">
        <v>0</v>
      </c>
      <c r="C23" s="291">
        <f>B23/'- 3 -'!$D23*100</f>
        <v>0</v>
      </c>
      <c r="D23" s="285">
        <v>0</v>
      </c>
      <c r="E23" s="291">
        <f>D23/'- 3 -'!$D23*100</f>
        <v>0</v>
      </c>
    </row>
    <row r="24" spans="1:5" ht="14.1" customHeight="1" x14ac:dyDescent="0.2">
      <c r="A24" s="19" t="s">
        <v>122</v>
      </c>
      <c r="B24" s="20">
        <v>0</v>
      </c>
      <c r="C24" s="70">
        <f>B24/'- 3 -'!$D24*100</f>
        <v>0</v>
      </c>
      <c r="D24" s="20">
        <v>22757</v>
      </c>
      <c r="E24" s="70">
        <f>D24/'- 3 -'!$D24*100</f>
        <v>3.9299420692311529E-2</v>
      </c>
    </row>
    <row r="25" spans="1:5" ht="14.1" customHeight="1" x14ac:dyDescent="0.2">
      <c r="A25" s="284" t="s">
        <v>123</v>
      </c>
      <c r="B25" s="285">
        <v>0</v>
      </c>
      <c r="C25" s="291">
        <f>B25/'- 3 -'!$D25*100</f>
        <v>0</v>
      </c>
      <c r="D25" s="285">
        <v>87176</v>
      </c>
      <c r="E25" s="291">
        <f>D25/'- 3 -'!$D25*100</f>
        <v>4.4868626888050676E-2</v>
      </c>
    </row>
    <row r="26" spans="1:5" ht="14.1" customHeight="1" x14ac:dyDescent="0.2">
      <c r="A26" s="19" t="s">
        <v>124</v>
      </c>
      <c r="B26" s="20">
        <v>0</v>
      </c>
      <c r="C26" s="70">
        <f>B26/'- 3 -'!$D26*100</f>
        <v>0</v>
      </c>
      <c r="D26" s="20">
        <v>208983</v>
      </c>
      <c r="E26" s="70">
        <f>D26/'- 3 -'!$D26*100</f>
        <v>0.51055513241994677</v>
      </c>
    </row>
    <row r="27" spans="1:5" ht="14.1" customHeight="1" x14ac:dyDescent="0.2">
      <c r="A27" s="284" t="s">
        <v>125</v>
      </c>
      <c r="B27" s="285">
        <v>0</v>
      </c>
      <c r="C27" s="291">
        <f>B27/'- 3 -'!$D27*100</f>
        <v>0</v>
      </c>
      <c r="D27" s="285">
        <v>120003</v>
      </c>
      <c r="E27" s="291">
        <f>D27/'- 3 -'!$D27*100</f>
        <v>0.29105321862371941</v>
      </c>
    </row>
    <row r="28" spans="1:5" ht="14.1" customHeight="1" x14ac:dyDescent="0.2">
      <c r="A28" s="19" t="s">
        <v>126</v>
      </c>
      <c r="B28" s="20">
        <v>6000</v>
      </c>
      <c r="C28" s="70">
        <f>B28/'- 3 -'!$D28*100</f>
        <v>2.0642840768660946E-2</v>
      </c>
      <c r="D28" s="20">
        <v>110067</v>
      </c>
      <c r="E28" s="70">
        <f>D28/'- 3 -'!$D28*100</f>
        <v>0.37868259248070074</v>
      </c>
    </row>
    <row r="29" spans="1:5" ht="14.1" customHeight="1" x14ac:dyDescent="0.2">
      <c r="A29" s="284" t="s">
        <v>127</v>
      </c>
      <c r="B29" s="285">
        <v>0</v>
      </c>
      <c r="C29" s="291">
        <f>B29/'- 3 -'!$D29*100</f>
        <v>0</v>
      </c>
      <c r="D29" s="285">
        <v>498992</v>
      </c>
      <c r="E29" s="291">
        <f>D29/'- 3 -'!$D29*100</f>
        <v>0.29933414960285193</v>
      </c>
    </row>
    <row r="30" spans="1:5" ht="14.1" customHeight="1" x14ac:dyDescent="0.2">
      <c r="A30" s="19" t="s">
        <v>128</v>
      </c>
      <c r="B30" s="20">
        <v>0</v>
      </c>
      <c r="C30" s="70">
        <f>B30/'- 3 -'!$D30*100</f>
        <v>0</v>
      </c>
      <c r="D30" s="20">
        <v>89209</v>
      </c>
      <c r="E30" s="70">
        <f>D30/'- 3 -'!$D30*100</f>
        <v>0.57875525936194649</v>
      </c>
    </row>
    <row r="31" spans="1:5" ht="14.1" customHeight="1" x14ac:dyDescent="0.2">
      <c r="A31" s="284" t="s">
        <v>129</v>
      </c>
      <c r="B31" s="285">
        <v>0</v>
      </c>
      <c r="C31" s="291">
        <f>B31/'- 3 -'!$D31*100</f>
        <v>0</v>
      </c>
      <c r="D31" s="285">
        <v>41521</v>
      </c>
      <c r="E31" s="291">
        <f>D31/'- 3 -'!$D31*100</f>
        <v>0.10715856701270067</v>
      </c>
    </row>
    <row r="32" spans="1:5" ht="14.1" customHeight="1" x14ac:dyDescent="0.2">
      <c r="A32" s="19" t="s">
        <v>130</v>
      </c>
      <c r="B32" s="20">
        <v>0</v>
      </c>
      <c r="C32" s="70">
        <f>B32/'- 3 -'!$D32*100</f>
        <v>0</v>
      </c>
      <c r="D32" s="20">
        <v>138350</v>
      </c>
      <c r="E32" s="70">
        <f>D32/'- 3 -'!$D32*100</f>
        <v>0.45994642879108394</v>
      </c>
    </row>
    <row r="33" spans="1:6" ht="14.1" customHeight="1" x14ac:dyDescent="0.2">
      <c r="A33" s="284" t="s">
        <v>131</v>
      </c>
      <c r="B33" s="285">
        <v>0</v>
      </c>
      <c r="C33" s="291">
        <f>B33/'- 3 -'!$D33*100</f>
        <v>0</v>
      </c>
      <c r="D33" s="285">
        <v>64449</v>
      </c>
      <c r="E33" s="291">
        <f>D33/'- 3 -'!$D33*100</f>
        <v>0.22997652204802535</v>
      </c>
    </row>
    <row r="34" spans="1:6" ht="14.1" customHeight="1" x14ac:dyDescent="0.2">
      <c r="A34" s="19" t="s">
        <v>132</v>
      </c>
      <c r="B34" s="20">
        <v>0</v>
      </c>
      <c r="C34" s="70">
        <f>B34/'- 3 -'!$D34*100</f>
        <v>0</v>
      </c>
      <c r="D34" s="20">
        <v>181406</v>
      </c>
      <c r="E34" s="70">
        <f>D34/'- 3 -'!$D34*100</f>
        <v>0.58970317391546312</v>
      </c>
    </row>
    <row r="35" spans="1:6" ht="14.1" customHeight="1" x14ac:dyDescent="0.2">
      <c r="A35" s="284" t="s">
        <v>133</v>
      </c>
      <c r="B35" s="285">
        <v>0</v>
      </c>
      <c r="C35" s="291">
        <f>B35/'- 3 -'!$D35*100</f>
        <v>0</v>
      </c>
      <c r="D35" s="285">
        <v>61677</v>
      </c>
      <c r="E35" s="291">
        <f>D35/'- 3 -'!$D35*100</f>
        <v>3.1981565775085818E-2</v>
      </c>
    </row>
    <row r="36" spans="1:6" ht="14.1" customHeight="1" x14ac:dyDescent="0.2">
      <c r="A36" s="19" t="s">
        <v>134</v>
      </c>
      <c r="B36" s="20">
        <v>5700</v>
      </c>
      <c r="C36" s="70">
        <f>B36/'- 3 -'!$D36*100</f>
        <v>2.3731981493051401E-2</v>
      </c>
      <c r="D36" s="20">
        <v>100816</v>
      </c>
      <c r="E36" s="70">
        <f>D36/'- 3 -'!$D36*100</f>
        <v>0.41974797301815259</v>
      </c>
    </row>
    <row r="37" spans="1:6" ht="14.1" customHeight="1" x14ac:dyDescent="0.2">
      <c r="A37" s="284" t="s">
        <v>135</v>
      </c>
      <c r="B37" s="285">
        <v>0</v>
      </c>
      <c r="C37" s="291">
        <f>B37/'- 3 -'!$D37*100</f>
        <v>0</v>
      </c>
      <c r="D37" s="285">
        <v>95072</v>
      </c>
      <c r="E37" s="291">
        <f>D37/'- 3 -'!$D37*100</f>
        <v>0.17722956845834154</v>
      </c>
    </row>
    <row r="38" spans="1:6" ht="14.1" customHeight="1" x14ac:dyDescent="0.2">
      <c r="A38" s="19" t="s">
        <v>136</v>
      </c>
      <c r="B38" s="20">
        <v>0</v>
      </c>
      <c r="C38" s="70">
        <f>B38/'- 3 -'!$D38*100</f>
        <v>0</v>
      </c>
      <c r="D38" s="20">
        <v>480035</v>
      </c>
      <c r="E38" s="70">
        <f>D38/'- 3 -'!$D38*100</f>
        <v>0.33283817788239262</v>
      </c>
    </row>
    <row r="39" spans="1:6" ht="14.1" customHeight="1" x14ac:dyDescent="0.2">
      <c r="A39" s="284" t="s">
        <v>137</v>
      </c>
      <c r="B39" s="285">
        <v>0</v>
      </c>
      <c r="C39" s="291">
        <f>B39/'- 3 -'!$D39*100</f>
        <v>0</v>
      </c>
      <c r="D39" s="285">
        <v>18966</v>
      </c>
      <c r="E39" s="291">
        <f>D39/'- 3 -'!$D39*100</f>
        <v>8.4948482458469823E-2</v>
      </c>
    </row>
    <row r="40" spans="1:6" ht="14.1" customHeight="1" x14ac:dyDescent="0.2">
      <c r="A40" s="19" t="s">
        <v>138</v>
      </c>
      <c r="B40" s="20">
        <v>0</v>
      </c>
      <c r="C40" s="70">
        <f>B40/'- 3 -'!$D40*100</f>
        <v>0</v>
      </c>
      <c r="D40" s="20">
        <v>120471</v>
      </c>
      <c r="E40" s="70">
        <f>D40/'- 3 -'!$D40*100</f>
        <v>0.11297106983737233</v>
      </c>
    </row>
    <row r="41" spans="1:6" ht="14.1" customHeight="1" x14ac:dyDescent="0.2">
      <c r="A41" s="284" t="s">
        <v>139</v>
      </c>
      <c r="B41" s="285">
        <v>0</v>
      </c>
      <c r="C41" s="291">
        <f>B41/'- 3 -'!$D41*100</f>
        <v>0</v>
      </c>
      <c r="D41" s="285">
        <v>147405</v>
      </c>
      <c r="E41" s="291">
        <f>D41/'- 3 -'!$D41*100</f>
        <v>0.22495410954478431</v>
      </c>
    </row>
    <row r="42" spans="1:6" ht="14.1" customHeight="1" x14ac:dyDescent="0.2">
      <c r="A42" s="19" t="s">
        <v>140</v>
      </c>
      <c r="B42" s="20">
        <v>0</v>
      </c>
      <c r="C42" s="70">
        <f>B42/'- 3 -'!$D42*100</f>
        <v>0</v>
      </c>
      <c r="D42" s="20">
        <v>82550</v>
      </c>
      <c r="E42" s="70">
        <f>D42/'- 3 -'!$D42*100</f>
        <v>0.39586430893624719</v>
      </c>
    </row>
    <row r="43" spans="1:6" ht="14.1" customHeight="1" x14ac:dyDescent="0.2">
      <c r="A43" s="284" t="s">
        <v>141</v>
      </c>
      <c r="B43" s="285">
        <v>0</v>
      </c>
      <c r="C43" s="291">
        <f>B43/'- 3 -'!$D43*100</f>
        <v>0</v>
      </c>
      <c r="D43" s="285">
        <v>55648</v>
      </c>
      <c r="E43" s="291">
        <f>D43/'- 3 -'!$D43*100</f>
        <v>0.40406472499992918</v>
      </c>
    </row>
    <row r="44" spans="1:6" ht="14.1" customHeight="1" x14ac:dyDescent="0.2">
      <c r="A44" s="19" t="s">
        <v>142</v>
      </c>
      <c r="B44" s="20">
        <v>0</v>
      </c>
      <c r="C44" s="70">
        <f>B44/'- 3 -'!$D44*100</f>
        <v>0</v>
      </c>
      <c r="D44" s="20">
        <v>46228</v>
      </c>
      <c r="E44" s="70">
        <f>D44/'- 3 -'!$D44*100</f>
        <v>0.41474689520750579</v>
      </c>
    </row>
    <row r="45" spans="1:6" ht="14.1" customHeight="1" x14ac:dyDescent="0.2">
      <c r="A45" s="284" t="s">
        <v>143</v>
      </c>
      <c r="B45" s="285">
        <v>0</v>
      </c>
      <c r="C45" s="291">
        <f>B45/'- 3 -'!$D45*100</f>
        <v>0</v>
      </c>
      <c r="D45" s="285">
        <v>76457</v>
      </c>
      <c r="E45" s="291">
        <f>D45/'- 3 -'!$D45*100</f>
        <v>0.37269757841385076</v>
      </c>
    </row>
    <row r="46" spans="1:6" ht="14.1" customHeight="1" x14ac:dyDescent="0.2">
      <c r="A46" s="19" t="s">
        <v>144</v>
      </c>
      <c r="B46" s="20">
        <v>0</v>
      </c>
      <c r="C46" s="70">
        <f>B46/'- 3 -'!$D46*100</f>
        <v>0</v>
      </c>
      <c r="D46" s="20">
        <v>551873</v>
      </c>
      <c r="E46" s="70">
        <f>D46/'- 3 -'!$D46*100</f>
        <v>0.13747041327067744</v>
      </c>
    </row>
    <row r="47" spans="1:6" ht="5.0999999999999996" customHeight="1" x14ac:dyDescent="0.2">
      <c r="A47"/>
      <c r="B47" s="22"/>
      <c r="C47"/>
      <c r="D47" s="22"/>
      <c r="E47"/>
    </row>
    <row r="48" spans="1:6" ht="14.1" customHeight="1" x14ac:dyDescent="0.2">
      <c r="A48" s="286" t="s">
        <v>145</v>
      </c>
      <c r="B48" s="287">
        <f>SUM(B11:B46)</f>
        <v>2593984</v>
      </c>
      <c r="C48" s="294">
        <f>B48/'- 3 -'!$D48*100</f>
        <v>0.1082538520914406</v>
      </c>
      <c r="D48" s="287">
        <f>SUM(D11:D46)</f>
        <v>7022191</v>
      </c>
      <c r="E48" s="294">
        <f>D48/'- 3 -'!$D48*100</f>
        <v>0.29305470884625551</v>
      </c>
      <c r="F48" s="6"/>
    </row>
    <row r="49" spans="1:5" ht="5.0999999999999996" customHeight="1" x14ac:dyDescent="0.2">
      <c r="A49" s="21" t="s">
        <v>7</v>
      </c>
      <c r="B49" s="22"/>
      <c r="C49"/>
      <c r="D49" s="22"/>
      <c r="E49"/>
    </row>
    <row r="50" spans="1:5" ht="14.1" customHeight="1" x14ac:dyDescent="0.2">
      <c r="A50" s="19" t="s">
        <v>146</v>
      </c>
      <c r="B50" s="20">
        <v>0</v>
      </c>
      <c r="C50" s="70">
        <f>B50/'- 3 -'!$D50*100</f>
        <v>0</v>
      </c>
      <c r="D50" s="20">
        <v>76279</v>
      </c>
      <c r="E50" s="70">
        <f>D50/'- 3 -'!$D50*100</f>
        <v>2.2453405188311715</v>
      </c>
    </row>
    <row r="51" spans="1:5" ht="14.1" customHeight="1" x14ac:dyDescent="0.2">
      <c r="A51" s="284" t="s">
        <v>601</v>
      </c>
      <c r="B51" s="285">
        <v>0</v>
      </c>
      <c r="C51" s="291">
        <f>B51/'- 3 -'!$D51*100</f>
        <v>0</v>
      </c>
      <c r="D51" s="285">
        <v>0</v>
      </c>
      <c r="E51" s="291">
        <f>D51/'- 3 -'!$D51*100</f>
        <v>0</v>
      </c>
    </row>
    <row r="52" spans="1:5" ht="50.1" customHeight="1" x14ac:dyDescent="0.2"/>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G52"/>
  <sheetViews>
    <sheetView showGridLines="0" showZeros="0" workbookViewId="0"/>
  </sheetViews>
  <sheetFormatPr defaultColWidth="15.83203125" defaultRowHeight="12" x14ac:dyDescent="0.2"/>
  <cols>
    <col min="1" max="1" width="33.83203125" style="2" customWidth="1"/>
    <col min="2" max="2" width="17.83203125" style="2" customWidth="1"/>
    <col min="3" max="3" width="14.83203125" style="2" customWidth="1"/>
    <col min="4" max="4" width="18.83203125" style="2" customWidth="1"/>
    <col min="5" max="5" width="14.83203125" style="2" customWidth="1"/>
    <col min="6" max="6" width="17.83203125" style="2" customWidth="1"/>
    <col min="7" max="7" width="14.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58"/>
      <c r="E2" s="10"/>
      <c r="F2" s="73"/>
      <c r="G2" s="395" t="s">
        <v>411</v>
      </c>
    </row>
    <row r="3" spans="1:7" ht="15.95" customHeight="1" x14ac:dyDescent="0.2">
      <c r="A3" s="541"/>
      <c r="B3" s="11" t="str">
        <f>OPYEAR</f>
        <v>OPERATING FUND 2018/2019 ACTUAL</v>
      </c>
      <c r="C3" s="12"/>
      <c r="D3" s="159"/>
      <c r="E3" s="12"/>
      <c r="F3" s="75"/>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154" t="s">
        <v>16</v>
      </c>
      <c r="C6" s="165"/>
      <c r="D6" s="166"/>
      <c r="E6" s="166"/>
      <c r="F6" s="166"/>
      <c r="G6" s="167"/>
    </row>
    <row r="7" spans="1:7" ht="15.95" customHeight="1" x14ac:dyDescent="0.2">
      <c r="B7" s="318"/>
      <c r="C7" s="310"/>
      <c r="D7" s="697" t="s">
        <v>25</v>
      </c>
      <c r="E7" s="698"/>
      <c r="F7" s="698"/>
      <c r="G7" s="699"/>
    </row>
    <row r="8" spans="1:7" ht="15.95" customHeight="1" x14ac:dyDescent="0.2">
      <c r="A8" s="67"/>
      <c r="B8" s="695" t="s">
        <v>19</v>
      </c>
      <c r="C8" s="655"/>
      <c r="D8" s="654" t="s">
        <v>29</v>
      </c>
      <c r="E8" s="655"/>
      <c r="F8" s="654" t="s">
        <v>109</v>
      </c>
      <c r="G8" s="655"/>
    </row>
    <row r="9" spans="1:7" ht="15.95" customHeight="1" x14ac:dyDescent="0.2">
      <c r="A9" s="35" t="s">
        <v>42</v>
      </c>
      <c r="B9" s="168" t="s">
        <v>43</v>
      </c>
      <c r="C9" s="168" t="s">
        <v>44</v>
      </c>
      <c r="D9" s="168" t="s">
        <v>43</v>
      </c>
      <c r="E9" s="168" t="s">
        <v>44</v>
      </c>
      <c r="F9" s="168" t="s">
        <v>43</v>
      </c>
      <c r="G9" s="168" t="s">
        <v>44</v>
      </c>
    </row>
    <row r="10" spans="1:7" ht="5.0999999999999996" customHeight="1" x14ac:dyDescent="0.2">
      <c r="A10" s="6"/>
    </row>
    <row r="11" spans="1:7" ht="14.1" customHeight="1" x14ac:dyDescent="0.2">
      <c r="A11" s="284" t="s">
        <v>110</v>
      </c>
      <c r="B11" s="285">
        <v>72025</v>
      </c>
      <c r="C11" s="291">
        <f>B11/'- 3 -'!$D11*100</f>
        <v>0.35850207901341025</v>
      </c>
      <c r="D11" s="285">
        <v>1599495</v>
      </c>
      <c r="E11" s="291">
        <f>D11/'- 3 -'!$D11*100</f>
        <v>7.9614339864151979</v>
      </c>
      <c r="F11" s="285">
        <v>151462</v>
      </c>
      <c r="G11" s="291">
        <f>F11/'- 3 -'!$D11*100</f>
        <v>0.75389714531800267</v>
      </c>
    </row>
    <row r="12" spans="1:7" ht="14.1" customHeight="1" x14ac:dyDescent="0.2">
      <c r="A12" s="19" t="s">
        <v>111</v>
      </c>
      <c r="B12" s="20">
        <v>126650</v>
      </c>
      <c r="C12" s="70">
        <f>B12/'- 3 -'!$D12*100</f>
        <v>0.37371124210168005</v>
      </c>
      <c r="D12" s="20">
        <v>2698785</v>
      </c>
      <c r="E12" s="70">
        <f>D12/'- 3 -'!$D12*100</f>
        <v>7.9634133005557244</v>
      </c>
      <c r="F12" s="20">
        <v>550426</v>
      </c>
      <c r="G12" s="70">
        <f>F12/'- 3 -'!$D12*100</f>
        <v>1.6241641069487511</v>
      </c>
    </row>
    <row r="13" spans="1:7" ht="14.1" customHeight="1" x14ac:dyDescent="0.2">
      <c r="A13" s="284" t="s">
        <v>112</v>
      </c>
      <c r="B13" s="285">
        <v>417424</v>
      </c>
      <c r="C13" s="291">
        <f>B13/'- 3 -'!$D13*100</f>
        <v>0.41366370180791462</v>
      </c>
      <c r="D13" s="285">
        <v>6958053</v>
      </c>
      <c r="E13" s="291">
        <f>D13/'- 3 -'!$D13*100</f>
        <v>6.8953724782371539</v>
      </c>
      <c r="F13" s="285">
        <v>652856</v>
      </c>
      <c r="G13" s="291">
        <f>F13/'- 3 -'!$D13*100</f>
        <v>0.64697484981100251</v>
      </c>
    </row>
    <row r="14" spans="1:7" ht="14.1" customHeight="1" x14ac:dyDescent="0.2">
      <c r="A14" s="19" t="s">
        <v>359</v>
      </c>
      <c r="B14" s="20">
        <v>216302</v>
      </c>
      <c r="C14" s="70">
        <f>B14/'- 3 -'!$D14*100</f>
        <v>0.23692308133811824</v>
      </c>
      <c r="D14" s="20">
        <v>8565056</v>
      </c>
      <c r="E14" s="70">
        <f>D14/'- 3 -'!$D14*100</f>
        <v>9.3816028485799361</v>
      </c>
      <c r="F14" s="20">
        <v>1357761</v>
      </c>
      <c r="G14" s="70">
        <f>F14/'- 3 -'!$D14*100</f>
        <v>1.4872027065895126</v>
      </c>
    </row>
    <row r="15" spans="1:7" ht="14.1" customHeight="1" x14ac:dyDescent="0.2">
      <c r="A15" s="284" t="s">
        <v>113</v>
      </c>
      <c r="B15" s="285">
        <v>118170</v>
      </c>
      <c r="C15" s="291">
        <f>B15/'- 3 -'!$D15*100</f>
        <v>0.5834261645972737</v>
      </c>
      <c r="D15" s="285">
        <v>2151808</v>
      </c>
      <c r="E15" s="291">
        <f>D15/'- 3 -'!$D15*100</f>
        <v>10.623856210457227</v>
      </c>
      <c r="F15" s="285">
        <v>126720</v>
      </c>
      <c r="G15" s="291">
        <f>F15/'- 3 -'!$D15*100</f>
        <v>0.62563902494513435</v>
      </c>
    </row>
    <row r="16" spans="1:7" ht="14.1" customHeight="1" x14ac:dyDescent="0.2">
      <c r="A16" s="19" t="s">
        <v>114</v>
      </c>
      <c r="B16" s="20">
        <v>125200</v>
      </c>
      <c r="C16" s="70">
        <f>B16/'- 3 -'!$D16*100</f>
        <v>0.83267136403274711</v>
      </c>
      <c r="D16" s="20">
        <v>1990050</v>
      </c>
      <c r="E16" s="70">
        <f>D16/'- 3 -'!$D16*100</f>
        <v>13.235284728381536</v>
      </c>
      <c r="F16" s="20">
        <v>102931</v>
      </c>
      <c r="G16" s="70">
        <f>F16/'- 3 -'!$D16*100</f>
        <v>0.68456626334867965</v>
      </c>
    </row>
    <row r="17" spans="1:7" ht="14.1" customHeight="1" x14ac:dyDescent="0.2">
      <c r="A17" s="284" t="s">
        <v>115</v>
      </c>
      <c r="B17" s="285">
        <v>90962</v>
      </c>
      <c r="C17" s="291">
        <f>B17/'- 3 -'!$D17*100</f>
        <v>0.49452925449179375</v>
      </c>
      <c r="D17" s="285">
        <v>1523217</v>
      </c>
      <c r="E17" s="291">
        <f>D17/'- 3 -'!$D17*100</f>
        <v>8.2812093779735108</v>
      </c>
      <c r="F17" s="285">
        <v>60215</v>
      </c>
      <c r="G17" s="291">
        <f>F17/'- 3 -'!$D17*100</f>
        <v>0.32736834127683384</v>
      </c>
    </row>
    <row r="18" spans="1:7" ht="14.1" customHeight="1" x14ac:dyDescent="0.2">
      <c r="A18" s="19" t="s">
        <v>116</v>
      </c>
      <c r="B18" s="20">
        <v>919540</v>
      </c>
      <c r="C18" s="70">
        <f>B18/'- 3 -'!$D18*100</f>
        <v>0.68362333661121233</v>
      </c>
      <c r="D18" s="20">
        <v>17331016</v>
      </c>
      <c r="E18" s="70">
        <f>D18/'- 3 -'!$D18*100</f>
        <v>12.884580317095837</v>
      </c>
      <c r="F18" s="20">
        <v>2163427</v>
      </c>
      <c r="G18" s="70">
        <f>F18/'- 3 -'!$D18*100</f>
        <v>1.6083793899719263</v>
      </c>
    </row>
    <row r="19" spans="1:7" ht="14.1" customHeight="1" x14ac:dyDescent="0.2">
      <c r="A19" s="284" t="s">
        <v>117</v>
      </c>
      <c r="B19" s="285">
        <v>118634</v>
      </c>
      <c r="C19" s="291">
        <f>B19/'- 3 -'!$D19*100</f>
        <v>0.23680269690873618</v>
      </c>
      <c r="D19" s="285">
        <v>3851624</v>
      </c>
      <c r="E19" s="291">
        <f>D19/'- 3 -'!$D19*100</f>
        <v>7.6881412637052948</v>
      </c>
      <c r="F19" s="285">
        <v>130968</v>
      </c>
      <c r="G19" s="291">
        <f>F19/'- 3 -'!$D19*100</f>
        <v>0.26142232082491829</v>
      </c>
    </row>
    <row r="20" spans="1:7" ht="14.1" customHeight="1" x14ac:dyDescent="0.2">
      <c r="A20" s="19" t="s">
        <v>118</v>
      </c>
      <c r="B20" s="20">
        <v>225710</v>
      </c>
      <c r="C20" s="70">
        <f>B20/'- 3 -'!$D20*100</f>
        <v>0.25819430609202093</v>
      </c>
      <c r="D20" s="20">
        <v>7515750</v>
      </c>
      <c r="E20" s="70">
        <f>D20/'- 3 -'!$D20*100</f>
        <v>8.5974208320903198</v>
      </c>
      <c r="F20" s="20">
        <v>660403</v>
      </c>
      <c r="G20" s="70">
        <f>F20/'- 3 -'!$D20*100</f>
        <v>0.75544855932873556</v>
      </c>
    </row>
    <row r="21" spans="1:7" ht="14.1" customHeight="1" x14ac:dyDescent="0.2">
      <c r="A21" s="284" t="s">
        <v>119</v>
      </c>
      <c r="B21" s="285">
        <v>168005</v>
      </c>
      <c r="C21" s="291">
        <f>B21/'- 3 -'!$D21*100</f>
        <v>0.45102214415237396</v>
      </c>
      <c r="D21" s="285">
        <v>2900627</v>
      </c>
      <c r="E21" s="291">
        <f>D21/'- 3 -'!$D21*100</f>
        <v>7.7869528223937863</v>
      </c>
      <c r="F21" s="285">
        <v>372886</v>
      </c>
      <c r="G21" s="291">
        <f>F21/'- 3 -'!$D21*100</f>
        <v>1.0010407026243391</v>
      </c>
    </row>
    <row r="22" spans="1:7" ht="14.1" customHeight="1" x14ac:dyDescent="0.2">
      <c r="A22" s="19" t="s">
        <v>120</v>
      </c>
      <c r="B22" s="20">
        <v>90812</v>
      </c>
      <c r="C22" s="70">
        <f>B22/'- 3 -'!$D22*100</f>
        <v>0.43300320565988193</v>
      </c>
      <c r="D22" s="20">
        <v>2382487</v>
      </c>
      <c r="E22" s="70">
        <f>D22/'- 3 -'!$D22*100</f>
        <v>11.360002075089142</v>
      </c>
      <c r="F22" s="20">
        <v>247191</v>
      </c>
      <c r="G22" s="70">
        <f>F22/'- 3 -'!$D22*100</f>
        <v>1.1786382351481288</v>
      </c>
    </row>
    <row r="23" spans="1:7" ht="14.1" customHeight="1" x14ac:dyDescent="0.2">
      <c r="A23" s="284" t="s">
        <v>121</v>
      </c>
      <c r="B23" s="285">
        <v>73830</v>
      </c>
      <c r="C23" s="291">
        <f>B23/'- 3 -'!$D23*100</f>
        <v>0.46240551704959854</v>
      </c>
      <c r="D23" s="285">
        <v>1306260</v>
      </c>
      <c r="E23" s="291">
        <f>D23/'- 3 -'!$D23*100</f>
        <v>8.1812519396073213</v>
      </c>
      <c r="F23" s="285">
        <v>98802</v>
      </c>
      <c r="G23" s="291">
        <f>F23/'- 3 -'!$D23*100</f>
        <v>0.61880793573797144</v>
      </c>
    </row>
    <row r="24" spans="1:7" ht="14.1" customHeight="1" x14ac:dyDescent="0.2">
      <c r="A24" s="19" t="s">
        <v>122</v>
      </c>
      <c r="B24" s="20">
        <v>128005</v>
      </c>
      <c r="C24" s="70">
        <f>B24/'- 3 -'!$D24*100</f>
        <v>0.22105384478267506</v>
      </c>
      <c r="D24" s="20">
        <v>5280263</v>
      </c>
      <c r="E24" s="70">
        <f>D24/'- 3 -'!$D24*100</f>
        <v>9.1185690997515909</v>
      </c>
      <c r="F24" s="20">
        <v>504574</v>
      </c>
      <c r="G24" s="70">
        <f>F24/'- 3 -'!$D24*100</f>
        <v>0.87135676479335578</v>
      </c>
    </row>
    <row r="25" spans="1:7" ht="14.1" customHeight="1" x14ac:dyDescent="0.2">
      <c r="A25" s="284" t="s">
        <v>123</v>
      </c>
      <c r="B25" s="285">
        <v>668925</v>
      </c>
      <c r="C25" s="291">
        <f>B25/'- 3 -'!$D25*100</f>
        <v>0.34428909609398572</v>
      </c>
      <c r="D25" s="285">
        <v>17792407</v>
      </c>
      <c r="E25" s="291">
        <f>D25/'- 3 -'!$D25*100</f>
        <v>9.1575762953489619</v>
      </c>
      <c r="F25" s="285">
        <v>695080</v>
      </c>
      <c r="G25" s="291">
        <f>F25/'- 3 -'!$D25*100</f>
        <v>0.35775081647868984</v>
      </c>
    </row>
    <row r="26" spans="1:7" ht="14.1" customHeight="1" x14ac:dyDescent="0.2">
      <c r="A26" s="19" t="s">
        <v>124</v>
      </c>
      <c r="B26" s="20">
        <v>180934</v>
      </c>
      <c r="C26" s="70">
        <f>B26/'- 3 -'!$D26*100</f>
        <v>0.44203012842800921</v>
      </c>
      <c r="D26" s="20">
        <v>4122288</v>
      </c>
      <c r="E26" s="70">
        <f>D26/'- 3 -'!$D26*100</f>
        <v>10.070940199505021</v>
      </c>
      <c r="F26" s="20">
        <v>173774</v>
      </c>
      <c r="G26" s="70">
        <f>F26/'- 3 -'!$D26*100</f>
        <v>0.42453791734803226</v>
      </c>
    </row>
    <row r="27" spans="1:7" ht="14.1" customHeight="1" x14ac:dyDescent="0.2">
      <c r="A27" s="284" t="s">
        <v>125</v>
      </c>
      <c r="B27" s="285">
        <v>200494</v>
      </c>
      <c r="C27" s="291">
        <f>B27/'- 3 -'!$D27*100</f>
        <v>0.48627470992178523</v>
      </c>
      <c r="D27" s="285">
        <v>4137636</v>
      </c>
      <c r="E27" s="291">
        <f>D27/'- 3 -'!$D27*100</f>
        <v>10.035351410326173</v>
      </c>
      <c r="F27" s="285">
        <v>190328</v>
      </c>
      <c r="G27" s="291">
        <f>F27/'- 3 -'!$D27*100</f>
        <v>0.46161826782843152</v>
      </c>
    </row>
    <row r="28" spans="1:7" ht="14.1" customHeight="1" x14ac:dyDescent="0.2">
      <c r="A28" s="19" t="s">
        <v>126</v>
      </c>
      <c r="B28" s="20">
        <v>54087</v>
      </c>
      <c r="C28" s="70">
        <f>B28/'- 3 -'!$D28*100</f>
        <v>0.1860848881090941</v>
      </c>
      <c r="D28" s="20">
        <v>3071155</v>
      </c>
      <c r="E28" s="70">
        <f>D28/'- 3 -'!$D28*100</f>
        <v>10.566227273479486</v>
      </c>
      <c r="F28" s="20">
        <v>188599</v>
      </c>
      <c r="G28" s="70">
        <f>F28/'- 3 -'!$D28*100</f>
        <v>0.64886985435478106</v>
      </c>
    </row>
    <row r="29" spans="1:7" ht="14.1" customHeight="1" x14ac:dyDescent="0.2">
      <c r="A29" s="284" t="s">
        <v>127</v>
      </c>
      <c r="B29" s="285">
        <v>926489</v>
      </c>
      <c r="C29" s="291">
        <f>B29/'- 3 -'!$D29*100</f>
        <v>0.5557800464364091</v>
      </c>
      <c r="D29" s="285">
        <v>15027047</v>
      </c>
      <c r="E29" s="291">
        <f>D29/'- 3 -'!$D29*100</f>
        <v>9.0143896791673761</v>
      </c>
      <c r="F29" s="285">
        <v>2337227</v>
      </c>
      <c r="G29" s="291">
        <f>F29/'- 3 -'!$D29*100</f>
        <v>1.4020502462440776</v>
      </c>
    </row>
    <row r="30" spans="1:7" ht="14.1" customHeight="1" x14ac:dyDescent="0.2">
      <c r="A30" s="19" t="s">
        <v>128</v>
      </c>
      <c r="B30" s="20">
        <v>116550</v>
      </c>
      <c r="C30" s="70">
        <f>B30/'- 3 -'!$D30*100</f>
        <v>0.75613363538022915</v>
      </c>
      <c r="D30" s="20">
        <v>1211918</v>
      </c>
      <c r="E30" s="70">
        <f>D30/'- 3 -'!$D30*100</f>
        <v>7.8624793060723857</v>
      </c>
      <c r="F30" s="20">
        <v>135830</v>
      </c>
      <c r="G30" s="70">
        <f>F30/'- 3 -'!$D30*100</f>
        <v>0.88121520114711727</v>
      </c>
    </row>
    <row r="31" spans="1:7" ht="14.1" customHeight="1" x14ac:dyDescent="0.2">
      <c r="A31" s="284" t="s">
        <v>129</v>
      </c>
      <c r="B31" s="285">
        <v>113633</v>
      </c>
      <c r="C31" s="291">
        <f>B31/'- 3 -'!$D31*100</f>
        <v>0.29326724899097362</v>
      </c>
      <c r="D31" s="285">
        <v>3393694</v>
      </c>
      <c r="E31" s="291">
        <f>D31/'- 3 -'!$D31*100</f>
        <v>8.7585411218323301</v>
      </c>
      <c r="F31" s="285">
        <v>180888</v>
      </c>
      <c r="G31" s="291">
        <f>F31/'- 3 -'!$D31*100</f>
        <v>0.46684084848133228</v>
      </c>
    </row>
    <row r="32" spans="1:7" ht="14.1" customHeight="1" x14ac:dyDescent="0.2">
      <c r="A32" s="19" t="s">
        <v>130</v>
      </c>
      <c r="B32" s="20">
        <v>152222</v>
      </c>
      <c r="C32" s="70">
        <f>B32/'- 3 -'!$D32*100</f>
        <v>0.50606407866596581</v>
      </c>
      <c r="D32" s="20">
        <v>2545332</v>
      </c>
      <c r="E32" s="70">
        <f>D32/'- 3 -'!$D32*100</f>
        <v>8.4619903396289651</v>
      </c>
      <c r="F32" s="20">
        <v>336479</v>
      </c>
      <c r="G32" s="70">
        <f>F32/'- 3 -'!$D32*100</f>
        <v>1.1186289440780277</v>
      </c>
    </row>
    <row r="33" spans="1:7" ht="14.1" customHeight="1" x14ac:dyDescent="0.2">
      <c r="A33" s="284" t="s">
        <v>131</v>
      </c>
      <c r="B33" s="285">
        <v>116388</v>
      </c>
      <c r="C33" s="291">
        <f>B33/'- 3 -'!$D33*100</f>
        <v>0.41531299862101156</v>
      </c>
      <c r="D33" s="285">
        <v>2745284</v>
      </c>
      <c r="E33" s="291">
        <f>D33/'- 3 -'!$D33*100</f>
        <v>9.7961313031092985</v>
      </c>
      <c r="F33" s="285">
        <v>278143</v>
      </c>
      <c r="G33" s="291">
        <f>F33/'- 3 -'!$D33*100</f>
        <v>0.99251128445753867</v>
      </c>
    </row>
    <row r="34" spans="1:7" ht="14.1" customHeight="1" x14ac:dyDescent="0.2">
      <c r="A34" s="19" t="s">
        <v>132</v>
      </c>
      <c r="B34" s="20">
        <v>106396</v>
      </c>
      <c r="C34" s="70">
        <f>B34/'- 3 -'!$D34*100</f>
        <v>0.34586540076904632</v>
      </c>
      <c r="D34" s="20">
        <v>2226183</v>
      </c>
      <c r="E34" s="70">
        <f>D34/'- 3 -'!$D34*100</f>
        <v>7.2367351731290457</v>
      </c>
      <c r="F34" s="20">
        <v>199263</v>
      </c>
      <c r="G34" s="70">
        <f>F34/'- 3 -'!$D34*100</f>
        <v>0.64775158232868224</v>
      </c>
    </row>
    <row r="35" spans="1:7" ht="14.1" customHeight="1" x14ac:dyDescent="0.2">
      <c r="A35" s="284" t="s">
        <v>133</v>
      </c>
      <c r="B35" s="285">
        <v>971997</v>
      </c>
      <c r="C35" s="291">
        <f>B35/'- 3 -'!$D35*100</f>
        <v>0.50401261391906382</v>
      </c>
      <c r="D35" s="285">
        <v>19218512</v>
      </c>
      <c r="E35" s="291">
        <f>D35/'- 3 -'!$D35*100</f>
        <v>9.9654345319531785</v>
      </c>
      <c r="F35" s="285">
        <v>585032</v>
      </c>
      <c r="G35" s="291">
        <f>F35/'- 3 -'!$D35*100</f>
        <v>0.30335845434327235</v>
      </c>
    </row>
    <row r="36" spans="1:7" ht="14.1" customHeight="1" x14ac:dyDescent="0.2">
      <c r="A36" s="19" t="s">
        <v>134</v>
      </c>
      <c r="B36" s="20">
        <v>66224</v>
      </c>
      <c r="C36" s="70">
        <f>B36/'- 3 -'!$D36*100</f>
        <v>0.27572398989400626</v>
      </c>
      <c r="D36" s="20">
        <v>2506950</v>
      </c>
      <c r="E36" s="70">
        <f>D36/'- 3 -'!$D36*100</f>
        <v>10.437700176141265</v>
      </c>
      <c r="F36" s="20">
        <v>122519</v>
      </c>
      <c r="G36" s="70">
        <f>F36/'- 3 -'!$D36*100</f>
        <v>0.51010853342932705</v>
      </c>
    </row>
    <row r="37" spans="1:7" ht="14.1" customHeight="1" x14ac:dyDescent="0.2">
      <c r="A37" s="284" t="s">
        <v>135</v>
      </c>
      <c r="B37" s="285">
        <v>124885</v>
      </c>
      <c r="C37" s="291">
        <f>B37/'- 3 -'!$D37*100</f>
        <v>0.23280581724293153</v>
      </c>
      <c r="D37" s="285">
        <v>4143699</v>
      </c>
      <c r="E37" s="291">
        <f>D37/'- 3 -'!$D37*100</f>
        <v>7.7245244192954958</v>
      </c>
      <c r="F37" s="285">
        <v>437105</v>
      </c>
      <c r="G37" s="291">
        <f>F37/'- 3 -'!$D37*100</f>
        <v>0.81483434156200962</v>
      </c>
    </row>
    <row r="38" spans="1:7" ht="14.1" customHeight="1" x14ac:dyDescent="0.2">
      <c r="A38" s="19" t="s">
        <v>136</v>
      </c>
      <c r="B38" s="20">
        <v>725433</v>
      </c>
      <c r="C38" s="70">
        <f>B38/'- 3 -'!$D38*100</f>
        <v>0.50298790274825322</v>
      </c>
      <c r="D38" s="20">
        <v>10998354</v>
      </c>
      <c r="E38" s="70">
        <f>D38/'- 3 -'!$D38*100</f>
        <v>7.6258441677492765</v>
      </c>
      <c r="F38" s="20">
        <v>725360</v>
      </c>
      <c r="G38" s="70">
        <f>F38/'- 3 -'!$D38*100</f>
        <v>0.50293728729941001</v>
      </c>
    </row>
    <row r="39" spans="1:7" ht="14.1" customHeight="1" x14ac:dyDescent="0.2">
      <c r="A39" s="284" t="s">
        <v>137</v>
      </c>
      <c r="B39" s="285">
        <v>83456</v>
      </c>
      <c r="C39" s="291">
        <f>B39/'- 3 -'!$D39*100</f>
        <v>0.373798405148901</v>
      </c>
      <c r="D39" s="285">
        <v>2029162</v>
      </c>
      <c r="E39" s="291">
        <f>D39/'- 3 -'!$D39*100</f>
        <v>9.0885918254979181</v>
      </c>
      <c r="F39" s="285">
        <v>93263</v>
      </c>
      <c r="G39" s="291">
        <f>F39/'- 3 -'!$D39*100</f>
        <v>0.41772383842266531</v>
      </c>
    </row>
    <row r="40" spans="1:7" ht="14.1" customHeight="1" x14ac:dyDescent="0.2">
      <c r="A40" s="19" t="s">
        <v>138</v>
      </c>
      <c r="B40" s="20">
        <v>482093</v>
      </c>
      <c r="C40" s="70">
        <f>B40/'- 3 -'!$D40*100</f>
        <v>0.45208026804051049</v>
      </c>
      <c r="D40" s="20">
        <v>7942073</v>
      </c>
      <c r="E40" s="70">
        <f>D40/'- 3 -'!$D40*100</f>
        <v>7.4476387141844027</v>
      </c>
      <c r="F40" s="20">
        <v>1238144</v>
      </c>
      <c r="G40" s="70">
        <f>F40/'- 3 -'!$D40*100</f>
        <v>1.161063262467511</v>
      </c>
    </row>
    <row r="41" spans="1:7" ht="14.1" customHeight="1" x14ac:dyDescent="0.2">
      <c r="A41" s="284" t="s">
        <v>139</v>
      </c>
      <c r="B41" s="285">
        <v>196898</v>
      </c>
      <c r="C41" s="291">
        <f>B41/'- 3 -'!$D41*100</f>
        <v>0.30048515492112848</v>
      </c>
      <c r="D41" s="285">
        <v>5152896</v>
      </c>
      <c r="E41" s="291">
        <f>D41/'- 3 -'!$D41*100</f>
        <v>7.863811480322112</v>
      </c>
      <c r="F41" s="285">
        <v>295026</v>
      </c>
      <c r="G41" s="291">
        <f>F41/'- 3 -'!$D41*100</f>
        <v>0.45023785572103753</v>
      </c>
    </row>
    <row r="42" spans="1:7" ht="14.1" customHeight="1" x14ac:dyDescent="0.2">
      <c r="A42" s="19" t="s">
        <v>140</v>
      </c>
      <c r="B42" s="20">
        <v>111656</v>
      </c>
      <c r="C42" s="70">
        <f>B42/'- 3 -'!$D42*100</f>
        <v>0.53544064540988023</v>
      </c>
      <c r="D42" s="20">
        <v>1880695</v>
      </c>
      <c r="E42" s="70">
        <f>D42/'- 3 -'!$D42*100</f>
        <v>9.0187768200467033</v>
      </c>
      <c r="F42" s="20">
        <v>254504</v>
      </c>
      <c r="G42" s="70">
        <f>F42/'- 3 -'!$D42*100</f>
        <v>1.2204609337554289</v>
      </c>
    </row>
    <row r="43" spans="1:7" ht="14.1" customHeight="1" x14ac:dyDescent="0.2">
      <c r="A43" s="284" t="s">
        <v>141</v>
      </c>
      <c r="B43" s="285">
        <v>41355</v>
      </c>
      <c r="C43" s="291">
        <f>B43/'- 3 -'!$D43*100</f>
        <v>0.30028207127609385</v>
      </c>
      <c r="D43" s="285">
        <v>780049</v>
      </c>
      <c r="E43" s="291">
        <f>D43/'- 3 -'!$D43*100</f>
        <v>5.6640002277075503</v>
      </c>
      <c r="F43" s="285">
        <v>169932</v>
      </c>
      <c r="G43" s="291">
        <f>F43/'- 3 -'!$D43*100</f>
        <v>1.2338902898340995</v>
      </c>
    </row>
    <row r="44" spans="1:7" ht="14.1" customHeight="1" x14ac:dyDescent="0.2">
      <c r="A44" s="19" t="s">
        <v>142</v>
      </c>
      <c r="B44" s="20">
        <v>53736</v>
      </c>
      <c r="C44" s="70">
        <f>B44/'- 3 -'!$D44*100</f>
        <v>0.48210693001796595</v>
      </c>
      <c r="D44" s="20">
        <v>953533</v>
      </c>
      <c r="E44" s="70">
        <f>D44/'- 3 -'!$D44*100</f>
        <v>8.5548769409859524</v>
      </c>
      <c r="F44" s="20">
        <v>61350</v>
      </c>
      <c r="G44" s="70">
        <f>F44/'- 3 -'!$D44*100</f>
        <v>0.55041797224583544</v>
      </c>
    </row>
    <row r="45" spans="1:7" ht="14.1" customHeight="1" x14ac:dyDescent="0.2">
      <c r="A45" s="284" t="s">
        <v>143</v>
      </c>
      <c r="B45" s="285">
        <v>52068</v>
      </c>
      <c r="C45" s="291">
        <f>B45/'- 3 -'!$D45*100</f>
        <v>0.25381086771456352</v>
      </c>
      <c r="D45" s="285">
        <v>1652358</v>
      </c>
      <c r="E45" s="291">
        <f>D45/'- 3 -'!$D45*100</f>
        <v>8.0545904923388782</v>
      </c>
      <c r="F45" s="285">
        <v>215896</v>
      </c>
      <c r="G45" s="291">
        <f>F45/'- 3 -'!$D45*100</f>
        <v>1.0524074497984057</v>
      </c>
    </row>
    <row r="46" spans="1:7" ht="14.1" customHeight="1" x14ac:dyDescent="0.2">
      <c r="A46" s="19" t="s">
        <v>144</v>
      </c>
      <c r="B46" s="20">
        <v>1078276</v>
      </c>
      <c r="C46" s="70">
        <f>B46/'- 3 -'!$D46*100</f>
        <v>0.2685963026635711</v>
      </c>
      <c r="D46" s="20">
        <v>38625206</v>
      </c>
      <c r="E46" s="70">
        <f>D46/'- 3 -'!$D46*100</f>
        <v>9.6214582548612633</v>
      </c>
      <c r="F46" s="20">
        <v>5619239</v>
      </c>
      <c r="G46" s="70">
        <f>F46/'- 3 -'!$D46*100</f>
        <v>1.3997407149773737</v>
      </c>
    </row>
    <row r="47" spans="1:7" ht="5.0999999999999996" customHeight="1" x14ac:dyDescent="0.2">
      <c r="A47"/>
      <c r="B47" s="22"/>
      <c r="C47"/>
      <c r="D47" s="22"/>
      <c r="E47"/>
      <c r="F47" s="22"/>
      <c r="G47"/>
    </row>
    <row r="48" spans="1:7" ht="14.1" customHeight="1" x14ac:dyDescent="0.2">
      <c r="A48" s="286" t="s">
        <v>145</v>
      </c>
      <c r="B48" s="287">
        <f>SUM(B11:B46)</f>
        <v>9515464</v>
      </c>
      <c r="C48" s="294">
        <f>B48/'- 3 -'!$D48*100</f>
        <v>0.39710562302521052</v>
      </c>
      <c r="D48" s="287">
        <f>SUM(D11:D46)</f>
        <v>218210922</v>
      </c>
      <c r="E48" s="294">
        <f>D48/'- 3 -'!$D48*100</f>
        <v>9.1065221971010164</v>
      </c>
      <c r="F48" s="287">
        <f>SUM(F11:F46)</f>
        <v>21713603</v>
      </c>
      <c r="G48" s="294">
        <f>F48/'- 3 -'!$D48*100</f>
        <v>0.90616640948219462</v>
      </c>
    </row>
    <row r="49" spans="1:7" ht="5.0999999999999996" customHeight="1" x14ac:dyDescent="0.2">
      <c r="A49" s="21" t="s">
        <v>7</v>
      </c>
      <c r="B49" s="22"/>
      <c r="C49"/>
      <c r="D49" s="22"/>
      <c r="E49"/>
      <c r="F49" s="22"/>
      <c r="G49"/>
    </row>
    <row r="50" spans="1:7" ht="14.1" customHeight="1" x14ac:dyDescent="0.2">
      <c r="A50" s="19" t="s">
        <v>146</v>
      </c>
      <c r="B50" s="20">
        <v>28934</v>
      </c>
      <c r="C50" s="70">
        <f>B50/'- 3 -'!$D50*100</f>
        <v>0.85169814197696758</v>
      </c>
      <c r="D50" s="20">
        <v>400730</v>
      </c>
      <c r="E50" s="70">
        <f>D50/'- 3 -'!$D50*100</f>
        <v>11.795845594609464</v>
      </c>
      <c r="F50" s="20">
        <v>13544</v>
      </c>
      <c r="G50" s="70">
        <f>F50/'- 3 -'!$D50*100</f>
        <v>0.39867974130559369</v>
      </c>
    </row>
    <row r="51" spans="1:7" ht="14.1" customHeight="1" x14ac:dyDescent="0.2">
      <c r="A51" s="284" t="s">
        <v>601</v>
      </c>
      <c r="B51" s="285">
        <v>104464</v>
      </c>
      <c r="C51" s="291">
        <f>B51/'- 3 -'!$D51*100</f>
        <v>0.33245744367137098</v>
      </c>
      <c r="D51" s="285">
        <v>4067220</v>
      </c>
      <c r="E51" s="291">
        <f>D51/'- 3 -'!$D51*100</f>
        <v>12.943957382917306</v>
      </c>
      <c r="F51" s="285">
        <v>0</v>
      </c>
      <c r="G51" s="291">
        <f>F51/'- 3 -'!$D51*100</f>
        <v>0</v>
      </c>
    </row>
    <row r="52" spans="1:7" ht="50.1" customHeight="1" x14ac:dyDescent="0.2"/>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F52"/>
  <sheetViews>
    <sheetView showGridLines="0" showZeros="0" workbookViewId="0"/>
  </sheetViews>
  <sheetFormatPr defaultColWidth="15.83203125" defaultRowHeight="12" x14ac:dyDescent="0.2"/>
  <cols>
    <col min="1" max="1" width="32.83203125" style="2" customWidth="1"/>
    <col min="2" max="2" width="19.83203125" style="2" customWidth="1"/>
    <col min="3" max="3" width="15.83203125" style="2" customWidth="1"/>
    <col min="4" max="4" width="19.83203125" style="2" customWidth="1"/>
    <col min="5" max="5" width="15.83203125" style="2"/>
    <col min="6" max="6" width="28.83203125" style="2" customWidth="1"/>
    <col min="7" max="16384" width="15.83203125" style="2"/>
  </cols>
  <sheetData>
    <row r="1" spans="1:6" ht="6.95" customHeight="1" x14ac:dyDescent="0.2">
      <c r="A1" s="7"/>
      <c r="B1" s="7"/>
      <c r="C1" s="7"/>
      <c r="D1" s="8"/>
      <c r="E1" s="8"/>
      <c r="F1" s="8"/>
    </row>
    <row r="2" spans="1:6" ht="15.95" customHeight="1" x14ac:dyDescent="0.2">
      <c r="A2" s="134"/>
      <c r="B2" s="9" t="s">
        <v>263</v>
      </c>
      <c r="C2" s="169"/>
      <c r="D2" s="158"/>
      <c r="E2" s="10"/>
      <c r="F2" s="395" t="s">
        <v>412</v>
      </c>
    </row>
    <row r="3" spans="1:6" ht="15.95" customHeight="1" x14ac:dyDescent="0.2">
      <c r="A3" s="541"/>
      <c r="B3" s="11" t="str">
        <f>OPYEAR</f>
        <v>OPERATING FUND 2018/2019 ACTUAL</v>
      </c>
      <c r="C3" s="29"/>
      <c r="D3" s="159"/>
      <c r="E3" s="12"/>
      <c r="F3" s="66"/>
    </row>
    <row r="4" spans="1:6" ht="15.95" customHeight="1" x14ac:dyDescent="0.2">
      <c r="D4" s="8"/>
      <c r="E4" s="8"/>
      <c r="F4" s="8"/>
    </row>
    <row r="5" spans="1:6" ht="15.95" customHeight="1" x14ac:dyDescent="0.2">
      <c r="D5" s="8"/>
      <c r="E5" s="8"/>
      <c r="F5" s="8"/>
    </row>
    <row r="6" spans="1:6" ht="15.95" customHeight="1" x14ac:dyDescent="0.2">
      <c r="B6" s="154" t="s">
        <v>16</v>
      </c>
      <c r="C6" s="166"/>
      <c r="D6" s="39"/>
      <c r="E6" s="170"/>
      <c r="F6" s="43"/>
    </row>
    <row r="7" spans="1:6" ht="15.95" customHeight="1" x14ac:dyDescent="0.2">
      <c r="B7" s="360"/>
      <c r="C7" s="310"/>
      <c r="D7" s="360"/>
      <c r="E7" s="310"/>
      <c r="F7" s="8"/>
    </row>
    <row r="8" spans="1:6" ht="15.95" customHeight="1" x14ac:dyDescent="0.2">
      <c r="A8" s="67"/>
      <c r="B8" s="695" t="s">
        <v>35</v>
      </c>
      <c r="C8" s="655"/>
      <c r="D8" s="654" t="s">
        <v>36</v>
      </c>
      <c r="E8" s="655"/>
      <c r="F8" s="8"/>
    </row>
    <row r="9" spans="1:6" ht="15.95" customHeight="1" x14ac:dyDescent="0.2">
      <c r="A9" s="35" t="s">
        <v>42</v>
      </c>
      <c r="B9" s="168" t="s">
        <v>43</v>
      </c>
      <c r="C9" s="168" t="s">
        <v>44</v>
      </c>
      <c r="D9" s="171" t="s">
        <v>43</v>
      </c>
      <c r="E9" s="168" t="s">
        <v>44</v>
      </c>
    </row>
    <row r="10" spans="1:6" ht="5.0999999999999996" customHeight="1" x14ac:dyDescent="0.2">
      <c r="A10" s="6"/>
    </row>
    <row r="11" spans="1:6" ht="14.1" customHeight="1" x14ac:dyDescent="0.2">
      <c r="A11" s="284" t="s">
        <v>110</v>
      </c>
      <c r="B11" s="285">
        <v>61917</v>
      </c>
      <c r="C11" s="291">
        <f>B11/'- 3 -'!$D11*100</f>
        <v>0.30818984000379479</v>
      </c>
      <c r="D11" s="285">
        <v>20561</v>
      </c>
      <c r="E11" s="291">
        <f>D11/'- 3 -'!$D11*100</f>
        <v>0.10234170422207189</v>
      </c>
    </row>
    <row r="12" spans="1:6" ht="14.1" customHeight="1" x14ac:dyDescent="0.2">
      <c r="A12" s="19" t="s">
        <v>111</v>
      </c>
      <c r="B12" s="20">
        <v>281824</v>
      </c>
      <c r="C12" s="70">
        <f>B12/'- 3 -'!$D12*100</f>
        <v>0.83158939671586163</v>
      </c>
      <c r="D12" s="20">
        <v>135195</v>
      </c>
      <c r="E12" s="70">
        <f>D12/'- 3 -'!$D12*100</f>
        <v>0.39892531682539784</v>
      </c>
    </row>
    <row r="13" spans="1:6" ht="14.1" customHeight="1" x14ac:dyDescent="0.2">
      <c r="A13" s="284" t="s">
        <v>112</v>
      </c>
      <c r="B13" s="285">
        <v>338107</v>
      </c>
      <c r="C13" s="291">
        <f>B13/'- 3 -'!$D13*100</f>
        <v>0.33506121647813397</v>
      </c>
      <c r="D13" s="285">
        <v>220938</v>
      </c>
      <c r="E13" s="291">
        <f>D13/'- 3 -'!$D13*100</f>
        <v>0.21894771491346221</v>
      </c>
    </row>
    <row r="14" spans="1:6" ht="14.1" customHeight="1" x14ac:dyDescent="0.2">
      <c r="A14" s="19" t="s">
        <v>359</v>
      </c>
      <c r="B14" s="20">
        <v>388100</v>
      </c>
      <c r="C14" s="70">
        <f>B14/'- 3 -'!$D14*100</f>
        <v>0.42509938820410209</v>
      </c>
      <c r="D14" s="20">
        <v>290993</v>
      </c>
      <c r="E14" s="70">
        <f>D14/'- 3 -'!$D14*100</f>
        <v>0.31873472370954981</v>
      </c>
    </row>
    <row r="15" spans="1:6" ht="14.1" customHeight="1" x14ac:dyDescent="0.2">
      <c r="A15" s="284" t="s">
        <v>113</v>
      </c>
      <c r="B15" s="285">
        <v>104744</v>
      </c>
      <c r="C15" s="291">
        <f>B15/'- 3 -'!$D15*100</f>
        <v>0.51713963090951032</v>
      </c>
      <c r="D15" s="285">
        <v>156449</v>
      </c>
      <c r="E15" s="291">
        <f>D15/'- 3 -'!$D15*100</f>
        <v>0.77241634953946758</v>
      </c>
    </row>
    <row r="16" spans="1:6" ht="14.1" customHeight="1" x14ac:dyDescent="0.2">
      <c r="A16" s="19" t="s">
        <v>114</v>
      </c>
      <c r="B16" s="20">
        <v>29170</v>
      </c>
      <c r="C16" s="70">
        <f>B16/'- 3 -'!$D16*100</f>
        <v>0.1940017866520386</v>
      </c>
      <c r="D16" s="20">
        <v>27122</v>
      </c>
      <c r="E16" s="70">
        <f>D16/'- 3 -'!$D16*100</f>
        <v>0.1803810921349534</v>
      </c>
    </row>
    <row r="17" spans="1:5" ht="14.1" customHeight="1" x14ac:dyDescent="0.2">
      <c r="A17" s="284" t="s">
        <v>115</v>
      </c>
      <c r="B17" s="285">
        <v>96470</v>
      </c>
      <c r="C17" s="291">
        <f>B17/'- 3 -'!$D17*100</f>
        <v>0.52447436490867994</v>
      </c>
      <c r="D17" s="285">
        <v>39288</v>
      </c>
      <c r="E17" s="291">
        <f>D17/'- 3 -'!$D17*100</f>
        <v>0.2135954063287262</v>
      </c>
    </row>
    <row r="18" spans="1:5" ht="14.1" customHeight="1" x14ac:dyDescent="0.2">
      <c r="A18" s="19" t="s">
        <v>116</v>
      </c>
      <c r="B18" s="20">
        <v>3523400</v>
      </c>
      <c r="C18" s="70">
        <f>B18/'- 3 -'!$D18*100</f>
        <v>2.6194384846944621</v>
      </c>
      <c r="D18" s="20">
        <v>47945</v>
      </c>
      <c r="E18" s="70">
        <f>D18/'- 3 -'!$D18*100</f>
        <v>3.5644257861348692E-2</v>
      </c>
    </row>
    <row r="19" spans="1:5" ht="14.1" customHeight="1" x14ac:dyDescent="0.2">
      <c r="A19" s="284" t="s">
        <v>117</v>
      </c>
      <c r="B19" s="285">
        <v>115973</v>
      </c>
      <c r="C19" s="291">
        <f>B19/'- 3 -'!$D19*100</f>
        <v>0.23149113381152839</v>
      </c>
      <c r="D19" s="285">
        <v>99025</v>
      </c>
      <c r="E19" s="291">
        <f>D19/'- 3 -'!$D19*100</f>
        <v>0.19766160680232983</v>
      </c>
    </row>
    <row r="20" spans="1:5" ht="14.1" customHeight="1" x14ac:dyDescent="0.2">
      <c r="A20" s="19" t="s">
        <v>118</v>
      </c>
      <c r="B20" s="20">
        <v>228316</v>
      </c>
      <c r="C20" s="70">
        <f>B20/'- 3 -'!$D20*100</f>
        <v>0.26117536303090622</v>
      </c>
      <c r="D20" s="20">
        <v>440746</v>
      </c>
      <c r="E20" s="70">
        <f>D20/'- 3 -'!$D20*100</f>
        <v>0.50417840429238348</v>
      </c>
    </row>
    <row r="21" spans="1:5" ht="14.1" customHeight="1" x14ac:dyDescent="0.2">
      <c r="A21" s="284" t="s">
        <v>119</v>
      </c>
      <c r="B21" s="285">
        <v>203062</v>
      </c>
      <c r="C21" s="291">
        <f>B21/'- 3 -'!$D21*100</f>
        <v>0.54513531523388803</v>
      </c>
      <c r="D21" s="285">
        <v>96521</v>
      </c>
      <c r="E21" s="291">
        <f>D21/'- 3 -'!$D21*100</f>
        <v>0.25911793325038712</v>
      </c>
    </row>
    <row r="22" spans="1:5" ht="14.1" customHeight="1" x14ac:dyDescent="0.2">
      <c r="A22" s="19" t="s">
        <v>120</v>
      </c>
      <c r="B22" s="20">
        <v>56882</v>
      </c>
      <c r="C22" s="70">
        <f>B22/'- 3 -'!$D22*100</f>
        <v>0.27122063542643488</v>
      </c>
      <c r="D22" s="20">
        <v>19600</v>
      </c>
      <c r="E22" s="70">
        <f>D22/'- 3 -'!$D22*100</f>
        <v>9.3455301402168053E-2</v>
      </c>
    </row>
    <row r="23" spans="1:5" ht="14.1" customHeight="1" x14ac:dyDescent="0.2">
      <c r="A23" s="284" t="s">
        <v>121</v>
      </c>
      <c r="B23" s="285">
        <v>78648</v>
      </c>
      <c r="C23" s="291">
        <f>B23/'- 3 -'!$D23*100</f>
        <v>0.49258118793060851</v>
      </c>
      <c r="D23" s="285">
        <v>11692</v>
      </c>
      <c r="E23" s="291">
        <f>D23/'- 3 -'!$D23*100</f>
        <v>7.3228298866909194E-2</v>
      </c>
    </row>
    <row r="24" spans="1:5" ht="14.1" customHeight="1" x14ac:dyDescent="0.2">
      <c r="A24" s="19" t="s">
        <v>122</v>
      </c>
      <c r="B24" s="20">
        <v>223777</v>
      </c>
      <c r="C24" s="70">
        <f>B24/'- 3 -'!$D24*100</f>
        <v>0.38644401565511255</v>
      </c>
      <c r="D24" s="20">
        <v>143143</v>
      </c>
      <c r="E24" s="70">
        <f>D24/'- 3 -'!$D24*100</f>
        <v>0.24719589472072542</v>
      </c>
    </row>
    <row r="25" spans="1:5" ht="14.1" customHeight="1" x14ac:dyDescent="0.2">
      <c r="A25" s="284" t="s">
        <v>123</v>
      </c>
      <c r="B25" s="285">
        <v>720296</v>
      </c>
      <c r="C25" s="291">
        <f>B25/'- 3 -'!$D25*100</f>
        <v>0.37072924283008341</v>
      </c>
      <c r="D25" s="285">
        <v>474645</v>
      </c>
      <c r="E25" s="291">
        <f>D25/'- 3 -'!$D25*100</f>
        <v>0.24429509738091693</v>
      </c>
    </row>
    <row r="26" spans="1:5" ht="14.1" customHeight="1" x14ac:dyDescent="0.2">
      <c r="A26" s="19" t="s">
        <v>124</v>
      </c>
      <c r="B26" s="20">
        <v>227512</v>
      </c>
      <c r="C26" s="70">
        <f>B26/'- 3 -'!$D26*100</f>
        <v>0.55582233620498767</v>
      </c>
      <c r="D26" s="20">
        <v>43899</v>
      </c>
      <c r="E26" s="70">
        <f>D26/'- 3 -'!$D26*100</f>
        <v>0.10724728689942839</v>
      </c>
    </row>
    <row r="27" spans="1:5" ht="14.1" customHeight="1" x14ac:dyDescent="0.2">
      <c r="A27" s="284" t="s">
        <v>125</v>
      </c>
      <c r="B27" s="285">
        <v>99080</v>
      </c>
      <c r="C27" s="291">
        <f>B27/'- 3 -'!$D27*100</f>
        <v>0.24030693317032173</v>
      </c>
      <c r="D27" s="285">
        <v>71780</v>
      </c>
      <c r="E27" s="291">
        <f>D27/'- 3 -'!$D27*100</f>
        <v>0.17409398125722342</v>
      </c>
    </row>
    <row r="28" spans="1:5" ht="14.1" customHeight="1" x14ac:dyDescent="0.2">
      <c r="A28" s="19" t="s">
        <v>126</v>
      </c>
      <c r="B28" s="20">
        <v>71716</v>
      </c>
      <c r="C28" s="70">
        <f>B28/'- 3 -'!$D28*100</f>
        <v>0.2467369947608814</v>
      </c>
      <c r="D28" s="20">
        <v>101467</v>
      </c>
      <c r="E28" s="70">
        <f>D28/'- 3 -'!$D28*100</f>
        <v>0.34909452071228669</v>
      </c>
    </row>
    <row r="29" spans="1:5" ht="14.1" customHeight="1" x14ac:dyDescent="0.2">
      <c r="A29" s="284" t="s">
        <v>127</v>
      </c>
      <c r="B29" s="285">
        <v>496444</v>
      </c>
      <c r="C29" s="291">
        <f>B29/'- 3 -'!$D29*100</f>
        <v>0.29780566134414621</v>
      </c>
      <c r="D29" s="285">
        <v>934778</v>
      </c>
      <c r="E29" s="291">
        <f>D29/'- 3 -'!$D29*100</f>
        <v>0.56075243229842298</v>
      </c>
    </row>
    <row r="30" spans="1:5" ht="14.1" customHeight="1" x14ac:dyDescent="0.2">
      <c r="A30" s="19" t="s">
        <v>128</v>
      </c>
      <c r="B30" s="20">
        <v>60416</v>
      </c>
      <c r="C30" s="70">
        <f>B30/'- 3 -'!$D30*100</f>
        <v>0.39195684011267207</v>
      </c>
      <c r="D30" s="20">
        <v>48218</v>
      </c>
      <c r="E30" s="70">
        <f>D30/'- 3 -'!$D30*100</f>
        <v>0.31282069181264599</v>
      </c>
    </row>
    <row r="31" spans="1:5" ht="14.1" customHeight="1" x14ac:dyDescent="0.2">
      <c r="A31" s="284" t="s">
        <v>129</v>
      </c>
      <c r="B31" s="285">
        <v>108048</v>
      </c>
      <c r="C31" s="291">
        <f>B31/'- 3 -'!$D31*100</f>
        <v>0.27885332358537324</v>
      </c>
      <c r="D31" s="285">
        <v>87698</v>
      </c>
      <c r="E31" s="291">
        <f>D31/'- 3 -'!$D31*100</f>
        <v>0.22633347004840498</v>
      </c>
    </row>
    <row r="32" spans="1:5" ht="14.1" customHeight="1" x14ac:dyDescent="0.2">
      <c r="A32" s="19" t="s">
        <v>130</v>
      </c>
      <c r="B32" s="20">
        <v>108409</v>
      </c>
      <c r="C32" s="70">
        <f>B32/'- 3 -'!$D32*100</f>
        <v>0.36040717310309084</v>
      </c>
      <c r="D32" s="20">
        <v>118125</v>
      </c>
      <c r="E32" s="70">
        <f>D32/'- 3 -'!$D32*100</f>
        <v>0.39270814529054421</v>
      </c>
    </row>
    <row r="33" spans="1:5" ht="14.1" customHeight="1" x14ac:dyDescent="0.2">
      <c r="A33" s="284" t="s">
        <v>131</v>
      </c>
      <c r="B33" s="285">
        <v>138709</v>
      </c>
      <c r="C33" s="291">
        <f>B33/'- 3 -'!$D33*100</f>
        <v>0.49496211573119131</v>
      </c>
      <c r="D33" s="285">
        <v>36202</v>
      </c>
      <c r="E33" s="291">
        <f>D33/'- 3 -'!$D33*100</f>
        <v>0.1291813690077831</v>
      </c>
    </row>
    <row r="34" spans="1:5" ht="14.1" customHeight="1" x14ac:dyDescent="0.2">
      <c r="A34" s="19" t="s">
        <v>132</v>
      </c>
      <c r="B34" s="20">
        <v>121326</v>
      </c>
      <c r="C34" s="70">
        <f>B34/'- 3 -'!$D34*100</f>
        <v>0.39439890234318314</v>
      </c>
      <c r="D34" s="20">
        <v>138880</v>
      </c>
      <c r="E34" s="70">
        <f>D34/'- 3 -'!$D34*100</f>
        <v>0.45146233748266063</v>
      </c>
    </row>
    <row r="35" spans="1:5" ht="14.1" customHeight="1" x14ac:dyDescent="0.2">
      <c r="A35" s="284" t="s">
        <v>133</v>
      </c>
      <c r="B35" s="285">
        <v>565672</v>
      </c>
      <c r="C35" s="291">
        <f>B35/'- 3 -'!$D35*100</f>
        <v>0.2933196536006023</v>
      </c>
      <c r="D35" s="285">
        <v>677815</v>
      </c>
      <c r="E35" s="291">
        <f>D35/'- 3 -'!$D35*100</f>
        <v>0.35146951060913789</v>
      </c>
    </row>
    <row r="36" spans="1:5" ht="14.1" customHeight="1" x14ac:dyDescent="0.2">
      <c r="A36" s="19" t="s">
        <v>134</v>
      </c>
      <c r="B36" s="20">
        <v>156259</v>
      </c>
      <c r="C36" s="70">
        <f>B36/'- 3 -'!$D36*100</f>
        <v>0.65058520984609103</v>
      </c>
      <c r="D36" s="20">
        <v>101432</v>
      </c>
      <c r="E36" s="70">
        <f>D36/'- 3 -'!$D36*100</f>
        <v>0.42231269242161218</v>
      </c>
    </row>
    <row r="37" spans="1:5" ht="14.1" customHeight="1" x14ac:dyDescent="0.2">
      <c r="A37" s="284" t="s">
        <v>135</v>
      </c>
      <c r="B37" s="285">
        <v>116012</v>
      </c>
      <c r="C37" s="291">
        <f>B37/'- 3 -'!$D37*100</f>
        <v>0.21626511166262535</v>
      </c>
      <c r="D37" s="285">
        <v>172459</v>
      </c>
      <c r="E37" s="291">
        <f>D37/'- 3 -'!$D37*100</f>
        <v>0.32149143961163251</v>
      </c>
    </row>
    <row r="38" spans="1:5" ht="14.1" customHeight="1" x14ac:dyDescent="0.2">
      <c r="A38" s="19" t="s">
        <v>136</v>
      </c>
      <c r="B38" s="20">
        <v>534112</v>
      </c>
      <c r="C38" s="70">
        <f>B38/'- 3 -'!$D38*100</f>
        <v>0.37033313167814946</v>
      </c>
      <c r="D38" s="20">
        <v>618100</v>
      </c>
      <c r="E38" s="70">
        <f>D38/'- 3 -'!$D38*100</f>
        <v>0.42856724561564652</v>
      </c>
    </row>
    <row r="39" spans="1:5" ht="14.1" customHeight="1" x14ac:dyDescent="0.2">
      <c r="A39" s="284" t="s">
        <v>137</v>
      </c>
      <c r="B39" s="285">
        <v>102221</v>
      </c>
      <c r="C39" s="291">
        <f>B39/'- 3 -'!$D39*100</f>
        <v>0.45784661106122759</v>
      </c>
      <c r="D39" s="285">
        <v>51258</v>
      </c>
      <c r="E39" s="291">
        <f>D39/'- 3 -'!$D39*100</f>
        <v>0.22958395622989805</v>
      </c>
    </row>
    <row r="40" spans="1:5" ht="14.1" customHeight="1" x14ac:dyDescent="0.2">
      <c r="A40" s="19" t="s">
        <v>138</v>
      </c>
      <c r="B40" s="20">
        <v>507321</v>
      </c>
      <c r="C40" s="70">
        <f>B40/'- 3 -'!$D40*100</f>
        <v>0.47573769721315151</v>
      </c>
      <c r="D40" s="20">
        <v>361995</v>
      </c>
      <c r="E40" s="70">
        <f>D40/'- 3 -'!$D40*100</f>
        <v>0.33945897706319028</v>
      </c>
    </row>
    <row r="41" spans="1:5" ht="14.1" customHeight="1" x14ac:dyDescent="0.2">
      <c r="A41" s="284" t="s">
        <v>139</v>
      </c>
      <c r="B41" s="285">
        <v>398893</v>
      </c>
      <c r="C41" s="291">
        <f>B41/'- 3 -'!$D41*100</f>
        <v>0.60874881868761332</v>
      </c>
      <c r="D41" s="285">
        <v>355203</v>
      </c>
      <c r="E41" s="291">
        <f>D41/'- 3 -'!$D41*100</f>
        <v>0.54207370559096379</v>
      </c>
    </row>
    <row r="42" spans="1:5" ht="14.1" customHeight="1" x14ac:dyDescent="0.2">
      <c r="A42" s="19" t="s">
        <v>140</v>
      </c>
      <c r="B42" s="20">
        <v>155271</v>
      </c>
      <c r="C42" s="70">
        <f>B42/'- 3 -'!$D42*100</f>
        <v>0.74459415036753518</v>
      </c>
      <c r="D42" s="20">
        <v>128842</v>
      </c>
      <c r="E42" s="70">
        <f>D42/'- 3 -'!$D42*100</f>
        <v>0.61785523067188308</v>
      </c>
    </row>
    <row r="43" spans="1:5" ht="14.1" customHeight="1" x14ac:dyDescent="0.2">
      <c r="A43" s="284" t="s">
        <v>141</v>
      </c>
      <c r="B43" s="285">
        <v>120290</v>
      </c>
      <c r="C43" s="291">
        <f>B43/'- 3 -'!$D43*100</f>
        <v>0.87343562698105026</v>
      </c>
      <c r="D43" s="285">
        <v>2054</v>
      </c>
      <c r="E43" s="291">
        <f>D43/'- 3 -'!$D43*100</f>
        <v>1.4914263677937294E-2</v>
      </c>
    </row>
    <row r="44" spans="1:5" ht="14.1" customHeight="1" x14ac:dyDescent="0.2">
      <c r="A44" s="19" t="s">
        <v>142</v>
      </c>
      <c r="B44" s="20">
        <v>41439</v>
      </c>
      <c r="C44" s="70">
        <f>B44/'- 3 -'!$D44*100</f>
        <v>0.3717810978304022</v>
      </c>
      <c r="D44" s="20">
        <v>29222</v>
      </c>
      <c r="E44" s="70">
        <f>D44/'- 3 -'!$D44*100</f>
        <v>0.26217300708993974</v>
      </c>
    </row>
    <row r="45" spans="1:5" ht="14.1" customHeight="1" x14ac:dyDescent="0.2">
      <c r="A45" s="284" t="s">
        <v>143</v>
      </c>
      <c r="B45" s="285">
        <v>46273</v>
      </c>
      <c r="C45" s="291">
        <f>B45/'- 3 -'!$D45*100</f>
        <v>0.22556253902120296</v>
      </c>
      <c r="D45" s="285">
        <v>77358</v>
      </c>
      <c r="E45" s="291">
        <f>D45/'- 3 -'!$D45*100</f>
        <v>0.37708959638670969</v>
      </c>
    </row>
    <row r="46" spans="1:5" ht="14.1" customHeight="1" x14ac:dyDescent="0.2">
      <c r="A46" s="19" t="s">
        <v>144</v>
      </c>
      <c r="B46" s="20">
        <v>1970305</v>
      </c>
      <c r="C46" s="70">
        <f>B46/'- 3 -'!$D46*100</f>
        <v>0.49079886607839507</v>
      </c>
      <c r="D46" s="20">
        <v>1013185</v>
      </c>
      <c r="E46" s="70">
        <f>D46/'- 3 -'!$D46*100</f>
        <v>0.2523822703224316</v>
      </c>
    </row>
    <row r="47" spans="1:5" ht="5.0999999999999996" customHeight="1" x14ac:dyDescent="0.2">
      <c r="A47"/>
      <c r="B47" s="22"/>
      <c r="C47"/>
      <c r="D47" s="22"/>
      <c r="E47"/>
    </row>
    <row r="48" spans="1:5" ht="14.1" customHeight="1" x14ac:dyDescent="0.2">
      <c r="A48" s="286" t="s">
        <v>145</v>
      </c>
      <c r="B48" s="287">
        <f>SUM(B11:B46)</f>
        <v>12596414</v>
      </c>
      <c r="C48" s="294">
        <f>B48/'- 3 -'!$D48*100</f>
        <v>0.52568186158378449</v>
      </c>
      <c r="D48" s="287">
        <f>SUM(D11:D46)</f>
        <v>7393833</v>
      </c>
      <c r="E48" s="294">
        <f>D48/'- 3 -'!$D48*100</f>
        <v>0.30856431804159645</v>
      </c>
    </row>
    <row r="49" spans="1:5" ht="5.0999999999999996" customHeight="1" x14ac:dyDescent="0.2">
      <c r="A49" s="21" t="s">
        <v>7</v>
      </c>
      <c r="B49" s="22"/>
      <c r="C49"/>
      <c r="D49" s="22"/>
      <c r="E49"/>
    </row>
    <row r="50" spans="1:5" ht="14.1" customHeight="1" x14ac:dyDescent="0.2">
      <c r="A50" s="19" t="s">
        <v>146</v>
      </c>
      <c r="B50" s="20">
        <v>0</v>
      </c>
      <c r="C50" s="70">
        <f>B50/'- 3 -'!$D50*100</f>
        <v>0</v>
      </c>
      <c r="D50" s="20">
        <v>10154</v>
      </c>
      <c r="E50" s="70">
        <f>D50/'- 3 -'!$D50*100</f>
        <v>0.29889206240527161</v>
      </c>
    </row>
    <row r="51" spans="1:5" ht="14.1" customHeight="1" x14ac:dyDescent="0.2">
      <c r="A51" s="284" t="s">
        <v>601</v>
      </c>
      <c r="B51" s="285">
        <v>0</v>
      </c>
      <c r="C51" s="291">
        <f>B51/'- 3 -'!$D51*100</f>
        <v>0</v>
      </c>
      <c r="D51" s="285">
        <v>44318</v>
      </c>
      <c r="E51" s="291">
        <f>D51/'- 3 -'!$D51*100</f>
        <v>0.1410423589813507</v>
      </c>
    </row>
    <row r="52" spans="1:5" ht="50.1" customHeight="1" x14ac:dyDescent="0.2"/>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G52"/>
  <sheetViews>
    <sheetView showGridLines="0" showZeros="0" workbookViewId="0"/>
  </sheetViews>
  <sheetFormatPr defaultColWidth="15.83203125" defaultRowHeight="12" x14ac:dyDescent="0.2"/>
  <cols>
    <col min="1" max="1" width="34.83203125" style="2" customWidth="1"/>
    <col min="2" max="2" width="19.83203125" style="2" customWidth="1"/>
    <col min="3" max="3" width="12.83203125" style="2" customWidth="1"/>
    <col min="4" max="4" width="19.83203125" style="2" customWidth="1"/>
    <col min="5" max="5" width="12.83203125" style="2" customWidth="1"/>
    <col min="6" max="6" width="19.83203125" style="2" customWidth="1"/>
    <col min="7" max="7" width="12.83203125" style="2" customWidth="1"/>
    <col min="8" max="16384" width="15.83203125" style="2"/>
  </cols>
  <sheetData>
    <row r="1" spans="1:7" ht="6.95" customHeight="1" x14ac:dyDescent="0.2">
      <c r="A1" s="7"/>
      <c r="B1" s="8"/>
      <c r="C1" s="8"/>
      <c r="D1" s="8"/>
      <c r="E1" s="8"/>
      <c r="F1" s="8"/>
      <c r="G1" s="8"/>
    </row>
    <row r="2" spans="1:7" ht="15.95" customHeight="1" x14ac:dyDescent="0.2">
      <c r="A2" s="134"/>
      <c r="B2" s="9" t="s">
        <v>263</v>
      </c>
      <c r="C2" s="10"/>
      <c r="D2" s="10"/>
      <c r="E2" s="10"/>
      <c r="F2" s="10"/>
      <c r="G2" s="395" t="s">
        <v>413</v>
      </c>
    </row>
    <row r="3" spans="1:7" ht="15.95" customHeight="1" x14ac:dyDescent="0.2">
      <c r="A3" s="541"/>
      <c r="B3" s="11" t="str">
        <f>OPYEAR</f>
        <v>OPERATING FUND 2018/2019 ACTUAL</v>
      </c>
      <c r="C3" s="12"/>
      <c r="D3" s="12"/>
      <c r="E3" s="12"/>
      <c r="F3" s="12"/>
      <c r="G3" s="75"/>
    </row>
    <row r="4" spans="1:7" ht="15.95" customHeight="1" x14ac:dyDescent="0.2">
      <c r="B4" s="8"/>
      <c r="C4" s="8"/>
      <c r="D4" s="8"/>
      <c r="E4" s="8"/>
      <c r="F4" s="8"/>
      <c r="G4" s="8"/>
    </row>
    <row r="5" spans="1:7" ht="15.95" customHeight="1" x14ac:dyDescent="0.2">
      <c r="B5" s="8"/>
      <c r="C5" s="8"/>
      <c r="D5" s="8"/>
      <c r="E5" s="8"/>
      <c r="F5" s="8"/>
      <c r="G5" s="8"/>
    </row>
    <row r="6" spans="1:7" ht="15.95" customHeight="1" x14ac:dyDescent="0.2">
      <c r="B6" s="557" t="s">
        <v>17</v>
      </c>
      <c r="C6" s="558"/>
      <c r="D6" s="165"/>
      <c r="E6" s="165"/>
      <c r="F6" s="166"/>
      <c r="G6" s="167"/>
    </row>
    <row r="7" spans="1:7" ht="15.95" customHeight="1" x14ac:dyDescent="0.2">
      <c r="B7" s="676" t="s">
        <v>498</v>
      </c>
      <c r="C7" s="700"/>
      <c r="D7" s="696" t="s">
        <v>499</v>
      </c>
      <c r="E7" s="650"/>
      <c r="F7" s="649" t="s">
        <v>500</v>
      </c>
      <c r="G7" s="650"/>
    </row>
    <row r="8" spans="1:7" ht="15.95" customHeight="1" x14ac:dyDescent="0.2">
      <c r="A8" s="403"/>
      <c r="B8" s="701"/>
      <c r="C8" s="702"/>
      <c r="D8" s="683"/>
      <c r="E8" s="652"/>
      <c r="F8" s="651"/>
      <c r="G8" s="652"/>
    </row>
    <row r="9" spans="1:7" ht="15.95" customHeight="1" x14ac:dyDescent="0.2">
      <c r="A9" s="35" t="s">
        <v>42</v>
      </c>
      <c r="B9" s="77" t="s">
        <v>43</v>
      </c>
      <c r="C9" s="77" t="s">
        <v>44</v>
      </c>
      <c r="D9" s="171" t="s">
        <v>43</v>
      </c>
      <c r="E9" s="168" t="s">
        <v>44</v>
      </c>
      <c r="F9" s="171" t="s">
        <v>43</v>
      </c>
      <c r="G9" s="168" t="s">
        <v>44</v>
      </c>
    </row>
    <row r="10" spans="1:7" ht="5.0999999999999996" customHeight="1" x14ac:dyDescent="0.2">
      <c r="A10" s="6"/>
    </row>
    <row r="11" spans="1:7" ht="14.1" customHeight="1" x14ac:dyDescent="0.2">
      <c r="A11" s="284" t="s">
        <v>110</v>
      </c>
      <c r="B11" s="285">
        <v>16799</v>
      </c>
      <c r="C11" s="291">
        <f>B11/'- 3 -'!$D11*100</f>
        <v>8.3616472410222548E-2</v>
      </c>
      <c r="D11" s="285">
        <v>0</v>
      </c>
      <c r="E11" s="291">
        <f>D11/'- 3 -'!$D11*100</f>
        <v>0</v>
      </c>
      <c r="F11" s="285">
        <v>337345</v>
      </c>
      <c r="G11" s="291">
        <f>F11/'- 3 -'!$D11*100</f>
        <v>1.6791236910069958</v>
      </c>
    </row>
    <row r="12" spans="1:7" ht="14.1" customHeight="1" x14ac:dyDescent="0.2">
      <c r="A12" s="19" t="s">
        <v>111</v>
      </c>
      <c r="B12" s="20">
        <v>24873</v>
      </c>
      <c r="C12" s="70">
        <f>B12/'- 3 -'!$D12*100</f>
        <v>7.3393760164193342E-2</v>
      </c>
      <c r="D12" s="20">
        <v>0</v>
      </c>
      <c r="E12" s="70">
        <f>D12/'- 3 -'!$D12*100</f>
        <v>0</v>
      </c>
      <c r="F12" s="20">
        <v>525378</v>
      </c>
      <c r="G12" s="70">
        <f>F12/'- 3 -'!$D12*100</f>
        <v>1.5502539672554003</v>
      </c>
    </row>
    <row r="13" spans="1:7" ht="14.1" customHeight="1" x14ac:dyDescent="0.2">
      <c r="A13" s="284" t="s">
        <v>112</v>
      </c>
      <c r="B13" s="285">
        <v>-2988</v>
      </c>
      <c r="C13" s="291">
        <f>B13/'- 3 -'!$D13*100</f>
        <v>-2.9610830738099605E-3</v>
      </c>
      <c r="D13" s="285">
        <v>0</v>
      </c>
      <c r="E13" s="291">
        <f>D13/'- 3 -'!$D13*100</f>
        <v>0</v>
      </c>
      <c r="F13" s="285">
        <v>1712471</v>
      </c>
      <c r="G13" s="291">
        <f>F13/'- 3 -'!$D13*100</f>
        <v>1.6970444753983991</v>
      </c>
    </row>
    <row r="14" spans="1:7" ht="14.1" customHeight="1" x14ac:dyDescent="0.2">
      <c r="A14" s="19" t="s">
        <v>359</v>
      </c>
      <c r="B14" s="20">
        <v>70210</v>
      </c>
      <c r="C14" s="70">
        <f>B14/'- 3 -'!$D14*100</f>
        <v>7.6903447683097162E-2</v>
      </c>
      <c r="D14" s="20">
        <v>3520</v>
      </c>
      <c r="E14" s="70">
        <f>D14/'- 3 -'!$D14*100</f>
        <v>3.8555780635878365E-3</v>
      </c>
      <c r="F14" s="20">
        <v>1324873</v>
      </c>
      <c r="G14" s="70">
        <f>F14/'- 3 -'!$D14*100</f>
        <v>1.4511793397272181</v>
      </c>
    </row>
    <row r="15" spans="1:7" ht="14.1" customHeight="1" x14ac:dyDescent="0.2">
      <c r="A15" s="284" t="s">
        <v>113</v>
      </c>
      <c r="B15" s="285">
        <v>7935</v>
      </c>
      <c r="C15" s="291">
        <f>B15/'- 3 -'!$D15*100</f>
        <v>3.9176496708803986E-2</v>
      </c>
      <c r="D15" s="285">
        <v>3049</v>
      </c>
      <c r="E15" s="291">
        <f>D15/'- 3 -'!$D15*100</f>
        <v>1.5053451602412522E-2</v>
      </c>
      <c r="F15" s="285">
        <v>317691</v>
      </c>
      <c r="G15" s="291">
        <f>F15/'- 3 -'!$D15*100</f>
        <v>1.5684965867569813</v>
      </c>
    </row>
    <row r="16" spans="1:7" ht="14.1" customHeight="1" x14ac:dyDescent="0.2">
      <c r="A16" s="19" t="s">
        <v>114</v>
      </c>
      <c r="B16" s="20">
        <v>29910</v>
      </c>
      <c r="C16" s="70">
        <f>B16/'- 3 -'!$D16*100</f>
        <v>0.19892332666309478</v>
      </c>
      <c r="D16" s="20">
        <v>0</v>
      </c>
      <c r="E16" s="70">
        <f>D16/'- 3 -'!$D16*100</f>
        <v>0</v>
      </c>
      <c r="F16" s="20">
        <v>234663</v>
      </c>
      <c r="G16" s="70">
        <f>F16/'- 3 -'!$D16*100</f>
        <v>1.5606801940736146</v>
      </c>
    </row>
    <row r="17" spans="1:7" ht="14.1" customHeight="1" x14ac:dyDescent="0.2">
      <c r="A17" s="284" t="s">
        <v>115</v>
      </c>
      <c r="B17" s="285">
        <v>101453</v>
      </c>
      <c r="C17" s="291">
        <f>B17/'- 3 -'!$D17*100</f>
        <v>0.5515652300516255</v>
      </c>
      <c r="D17" s="285">
        <v>0</v>
      </c>
      <c r="E17" s="291">
        <f>D17/'- 3 -'!$D17*100</f>
        <v>0</v>
      </c>
      <c r="F17" s="285">
        <v>307511</v>
      </c>
      <c r="G17" s="291">
        <f>F17/'- 3 -'!$D17*100</f>
        <v>1.6718320351138496</v>
      </c>
    </row>
    <row r="18" spans="1:7" ht="14.1" customHeight="1" x14ac:dyDescent="0.2">
      <c r="A18" s="19" t="s">
        <v>116</v>
      </c>
      <c r="B18" s="20">
        <v>3278</v>
      </c>
      <c r="C18" s="70">
        <f>B18/'- 3 -'!$D18*100</f>
        <v>2.4369981701846074E-3</v>
      </c>
      <c r="D18" s="20">
        <v>0</v>
      </c>
      <c r="E18" s="70">
        <f>D18/'- 3 -'!$D18*100</f>
        <v>0</v>
      </c>
      <c r="F18" s="20">
        <v>1211927</v>
      </c>
      <c r="G18" s="70">
        <f>F18/'- 3 -'!$D18*100</f>
        <v>0.90099569292169646</v>
      </c>
    </row>
    <row r="19" spans="1:7" ht="14.1" customHeight="1" x14ac:dyDescent="0.2">
      <c r="A19" s="284" t="s">
        <v>117</v>
      </c>
      <c r="B19" s="285">
        <v>21643</v>
      </c>
      <c r="C19" s="291">
        <f>B19/'- 3 -'!$D19*100</f>
        <v>4.3201112406188583E-2</v>
      </c>
      <c r="D19" s="285">
        <v>6673</v>
      </c>
      <c r="E19" s="291">
        <f>D19/'- 3 -'!$D19*100</f>
        <v>1.3319827338469547E-2</v>
      </c>
      <c r="F19" s="285">
        <v>818923</v>
      </c>
      <c r="G19" s="291">
        <f>F19/'- 3 -'!$D19*100</f>
        <v>1.6346340421851489</v>
      </c>
    </row>
    <row r="20" spans="1:7" ht="14.1" customHeight="1" x14ac:dyDescent="0.2">
      <c r="A20" s="19" t="s">
        <v>118</v>
      </c>
      <c r="B20" s="20">
        <v>214794</v>
      </c>
      <c r="C20" s="70">
        <f>B20/'- 3 -'!$D20*100</f>
        <v>0.24570726942860105</v>
      </c>
      <c r="D20" s="20">
        <v>0</v>
      </c>
      <c r="E20" s="70">
        <f>D20/'- 3 -'!$D20*100</f>
        <v>0</v>
      </c>
      <c r="F20" s="20">
        <v>1464456</v>
      </c>
      <c r="G20" s="70">
        <f>F20/'- 3 -'!$D20*100</f>
        <v>1.6752213048703939</v>
      </c>
    </row>
    <row r="21" spans="1:7" ht="14.1" customHeight="1" x14ac:dyDescent="0.2">
      <c r="A21" s="284" t="s">
        <v>119</v>
      </c>
      <c r="B21" s="285">
        <v>17897</v>
      </c>
      <c r="C21" s="291">
        <f>B21/'- 3 -'!$D21*100</f>
        <v>4.8045851694265271E-2</v>
      </c>
      <c r="D21" s="285">
        <v>0</v>
      </c>
      <c r="E21" s="291">
        <f>D21/'- 3 -'!$D21*100</f>
        <v>0</v>
      </c>
      <c r="F21" s="285">
        <v>630645</v>
      </c>
      <c r="G21" s="291">
        <f>F21/'- 3 -'!$D21*100</f>
        <v>1.6930142561172219</v>
      </c>
    </row>
    <row r="22" spans="1:7" ht="14.1" customHeight="1" x14ac:dyDescent="0.2">
      <c r="A22" s="19" t="s">
        <v>120</v>
      </c>
      <c r="B22" s="20">
        <v>1677</v>
      </c>
      <c r="C22" s="70">
        <f>B22/'- 3 -'!$D22*100</f>
        <v>7.996150023032441E-3</v>
      </c>
      <c r="D22" s="20">
        <v>0</v>
      </c>
      <c r="E22" s="70">
        <f>D22/'- 3 -'!$D22*100</f>
        <v>0</v>
      </c>
      <c r="F22" s="20">
        <v>354093</v>
      </c>
      <c r="G22" s="70">
        <f>F22/'- 3 -'!$D22*100</f>
        <v>1.6883606142549947</v>
      </c>
    </row>
    <row r="23" spans="1:7" ht="14.1" customHeight="1" x14ac:dyDescent="0.2">
      <c r="A23" s="284" t="s">
        <v>121</v>
      </c>
      <c r="B23" s="285">
        <v>3095</v>
      </c>
      <c r="C23" s="291">
        <f>B23/'- 3 -'!$D23*100</f>
        <v>1.9384329883089631E-2</v>
      </c>
      <c r="D23" s="285">
        <v>0</v>
      </c>
      <c r="E23" s="291">
        <f>D23/'- 3 -'!$D23*100</f>
        <v>0</v>
      </c>
      <c r="F23" s="285">
        <v>251096</v>
      </c>
      <c r="G23" s="291">
        <f>F23/'- 3 -'!$D23*100</f>
        <v>1.572642228214628</v>
      </c>
    </row>
    <row r="24" spans="1:7" ht="14.1" customHeight="1" x14ac:dyDescent="0.2">
      <c r="A24" s="19" t="s">
        <v>122</v>
      </c>
      <c r="B24" s="20">
        <v>76490</v>
      </c>
      <c r="C24" s="70">
        <f>B24/'- 3 -'!$D24*100</f>
        <v>0.13209178225402773</v>
      </c>
      <c r="D24" s="20">
        <v>0</v>
      </c>
      <c r="E24" s="70">
        <f>D24/'- 3 -'!$D24*100</f>
        <v>0</v>
      </c>
      <c r="F24" s="20">
        <v>968534</v>
      </c>
      <c r="G24" s="70">
        <f>F24/'- 3 -'!$D24*100</f>
        <v>1.6725765751552162</v>
      </c>
    </row>
    <row r="25" spans="1:7" ht="14.1" customHeight="1" x14ac:dyDescent="0.2">
      <c r="A25" s="284" t="s">
        <v>123</v>
      </c>
      <c r="B25" s="285">
        <v>227692</v>
      </c>
      <c r="C25" s="291">
        <f>B25/'- 3 -'!$D25*100</f>
        <v>0.11719082538077033</v>
      </c>
      <c r="D25" s="285">
        <v>0</v>
      </c>
      <c r="E25" s="291">
        <f>D25/'- 3 -'!$D25*100</f>
        <v>0</v>
      </c>
      <c r="F25" s="285">
        <v>3211082</v>
      </c>
      <c r="G25" s="291">
        <f>F25/'- 3 -'!$D25*100</f>
        <v>1.6527122162629109</v>
      </c>
    </row>
    <row r="26" spans="1:7" ht="14.1" customHeight="1" x14ac:dyDescent="0.2">
      <c r="A26" s="19" t="s">
        <v>124</v>
      </c>
      <c r="B26" s="20">
        <v>207689</v>
      </c>
      <c r="C26" s="70">
        <f>B26/'- 3 -'!$D26*100</f>
        <v>0.50739383058510168</v>
      </c>
      <c r="D26" s="20">
        <v>45000</v>
      </c>
      <c r="E26" s="70">
        <f>D26/'- 3 -'!$D26*100</f>
        <v>0.10993708080991088</v>
      </c>
      <c r="F26" s="20">
        <v>653565</v>
      </c>
      <c r="G26" s="70">
        <f>F26/'- 3 -'!$D26*100</f>
        <v>1.5966895159895422</v>
      </c>
    </row>
    <row r="27" spans="1:7" ht="14.1" customHeight="1" x14ac:dyDescent="0.2">
      <c r="A27" s="284" t="s">
        <v>125</v>
      </c>
      <c r="B27" s="285">
        <v>3585</v>
      </c>
      <c r="C27" s="291">
        <f>B27/'- 3 -'!$D27*100</f>
        <v>8.6949975314453316E-3</v>
      </c>
      <c r="D27" s="285">
        <v>-4234</v>
      </c>
      <c r="E27" s="291">
        <f>D27/'- 3 -'!$D27*100</f>
        <v>-1.0269071003665142E-2</v>
      </c>
      <c r="F27" s="285">
        <v>694009</v>
      </c>
      <c r="G27" s="291">
        <f>F27/'- 3 -'!$D27*100</f>
        <v>1.6832375290936799</v>
      </c>
    </row>
    <row r="28" spans="1:7" ht="14.1" customHeight="1" x14ac:dyDescent="0.2">
      <c r="A28" s="19" t="s">
        <v>126</v>
      </c>
      <c r="B28" s="20">
        <v>106305</v>
      </c>
      <c r="C28" s="70">
        <f>B28/'- 3 -'!$D28*100</f>
        <v>0.36573953131875031</v>
      </c>
      <c r="D28" s="20">
        <v>0</v>
      </c>
      <c r="E28" s="70">
        <f>D28/'- 3 -'!$D28*100</f>
        <v>0</v>
      </c>
      <c r="F28" s="20">
        <v>427128</v>
      </c>
      <c r="G28" s="70">
        <f>F28/'- 3 -'!$D28*100</f>
        <v>1.4695225486394354</v>
      </c>
    </row>
    <row r="29" spans="1:7" ht="14.1" customHeight="1" x14ac:dyDescent="0.2">
      <c r="A29" s="284" t="s">
        <v>127</v>
      </c>
      <c r="B29" s="285">
        <v>189750</v>
      </c>
      <c r="C29" s="291">
        <f>B29/'- 3 -'!$D29*100</f>
        <v>0.11382678457197939</v>
      </c>
      <c r="D29" s="285">
        <v>0</v>
      </c>
      <c r="E29" s="291">
        <f>D29/'- 3 -'!$D29*100</f>
        <v>0</v>
      </c>
      <c r="F29" s="285">
        <v>2800384</v>
      </c>
      <c r="G29" s="291">
        <f>F29/'- 3 -'!$D29*100</f>
        <v>1.6798877801676837</v>
      </c>
    </row>
    <row r="30" spans="1:7" ht="14.1" customHeight="1" x14ac:dyDescent="0.2">
      <c r="A30" s="19" t="s">
        <v>128</v>
      </c>
      <c r="B30" s="20">
        <v>6172</v>
      </c>
      <c r="C30" s="70">
        <f>B30/'- 3 -'!$D30*100</f>
        <v>4.0041671364794286E-2</v>
      </c>
      <c r="D30" s="20">
        <v>0</v>
      </c>
      <c r="E30" s="70">
        <f>D30/'- 3 -'!$D30*100</f>
        <v>0</v>
      </c>
      <c r="F30" s="20">
        <v>257407</v>
      </c>
      <c r="G30" s="70">
        <f>F30/'- 3 -'!$D30*100</f>
        <v>1.669962168016462</v>
      </c>
    </row>
    <row r="31" spans="1:7" ht="14.1" customHeight="1" x14ac:dyDescent="0.2">
      <c r="A31" s="284" t="s">
        <v>129</v>
      </c>
      <c r="B31" s="285">
        <v>37193</v>
      </c>
      <c r="C31" s="291">
        <f>B31/'- 3 -'!$D31*100</f>
        <v>9.5988742633929244E-2</v>
      </c>
      <c r="D31" s="285">
        <v>0</v>
      </c>
      <c r="E31" s="291">
        <f>D31/'- 3 -'!$D31*100</f>
        <v>0</v>
      </c>
      <c r="F31" s="285">
        <v>665094</v>
      </c>
      <c r="G31" s="291">
        <f>F31/'- 3 -'!$D31*100</f>
        <v>1.716493339966406</v>
      </c>
    </row>
    <row r="32" spans="1:7" ht="14.1" customHeight="1" x14ac:dyDescent="0.2">
      <c r="A32" s="19" t="s">
        <v>130</v>
      </c>
      <c r="B32" s="20">
        <v>69671</v>
      </c>
      <c r="C32" s="70">
        <f>B32/'- 3 -'!$D32*100</f>
        <v>0.23162217304158733</v>
      </c>
      <c r="D32" s="20">
        <v>0</v>
      </c>
      <c r="E32" s="70">
        <f>D32/'- 3 -'!$D32*100</f>
        <v>0</v>
      </c>
      <c r="F32" s="20">
        <v>489323</v>
      </c>
      <c r="G32" s="70">
        <f>F32/'- 3 -'!$D32*100</f>
        <v>1.6267608700783489</v>
      </c>
    </row>
    <row r="33" spans="1:7" ht="14.1" customHeight="1" x14ac:dyDescent="0.2">
      <c r="A33" s="284" t="s">
        <v>131</v>
      </c>
      <c r="B33" s="285">
        <v>51156</v>
      </c>
      <c r="C33" s="291">
        <f>B33/'- 3 -'!$D33*100</f>
        <v>0.18254245933821756</v>
      </c>
      <c r="D33" s="285">
        <v>0</v>
      </c>
      <c r="E33" s="291">
        <f>D33/'- 3 -'!$D33*100</f>
        <v>0</v>
      </c>
      <c r="F33" s="285">
        <v>449978</v>
      </c>
      <c r="G33" s="291">
        <f>F33/'- 3 -'!$D33*100</f>
        <v>1.6056785277991332</v>
      </c>
    </row>
    <row r="34" spans="1:7" ht="14.1" customHeight="1" x14ac:dyDescent="0.2">
      <c r="A34" s="19" t="s">
        <v>132</v>
      </c>
      <c r="B34" s="20">
        <v>133944</v>
      </c>
      <c r="C34" s="70">
        <f>B34/'- 3 -'!$D34*100</f>
        <v>0.43541670025761442</v>
      </c>
      <c r="D34" s="20">
        <v>428</v>
      </c>
      <c r="E34" s="70">
        <f>D34/'- 3 -'!$D34*100</f>
        <v>1.3913153833711026E-3</v>
      </c>
      <c r="F34" s="20">
        <v>497681</v>
      </c>
      <c r="G34" s="70">
        <f>F34/'- 3 -'!$D34*100</f>
        <v>1.6178299796997986</v>
      </c>
    </row>
    <row r="35" spans="1:7" ht="14.1" customHeight="1" x14ac:dyDescent="0.2">
      <c r="A35" s="284" t="s">
        <v>133</v>
      </c>
      <c r="B35" s="285">
        <v>83338</v>
      </c>
      <c r="C35" s="291">
        <f>B35/'- 3 -'!$D35*100</f>
        <v>4.3213511172140381E-2</v>
      </c>
      <c r="D35" s="285">
        <v>0</v>
      </c>
      <c r="E35" s="291">
        <f>D35/'- 3 -'!$D35*100</f>
        <v>0</v>
      </c>
      <c r="F35" s="285">
        <v>3300526</v>
      </c>
      <c r="G35" s="291">
        <f>F35/'- 3 -'!$D35*100</f>
        <v>1.7114319659091868</v>
      </c>
    </row>
    <row r="36" spans="1:7" ht="14.1" customHeight="1" x14ac:dyDescent="0.2">
      <c r="A36" s="19" t="s">
        <v>134</v>
      </c>
      <c r="B36" s="20">
        <v>53467</v>
      </c>
      <c r="C36" s="70">
        <f>B36/'- 3 -'!$D36*100</f>
        <v>0.22261014991034725</v>
      </c>
      <c r="D36" s="20">
        <v>0</v>
      </c>
      <c r="E36" s="70">
        <f>D36/'- 3 -'!$D36*100</f>
        <v>0</v>
      </c>
      <c r="F36" s="20">
        <v>384413</v>
      </c>
      <c r="G36" s="70">
        <f>F36/'- 3 -'!$D36*100</f>
        <v>1.600505649419012</v>
      </c>
    </row>
    <row r="37" spans="1:7" ht="14.1" customHeight="1" x14ac:dyDescent="0.2">
      <c r="A37" s="284" t="s">
        <v>135</v>
      </c>
      <c r="B37" s="285">
        <v>85750</v>
      </c>
      <c r="C37" s="291">
        <f>B37/'- 3 -'!$D37*100</f>
        <v>0.15985185433463889</v>
      </c>
      <c r="D37" s="285">
        <v>0</v>
      </c>
      <c r="E37" s="291">
        <f>D37/'- 3 -'!$D37*100</f>
        <v>0</v>
      </c>
      <c r="F37" s="285">
        <v>889409</v>
      </c>
      <c r="G37" s="291">
        <f>F37/'- 3 -'!$D37*100</f>
        <v>1.6580020747745405</v>
      </c>
    </row>
    <row r="38" spans="1:7" ht="14.1" customHeight="1" x14ac:dyDescent="0.2">
      <c r="A38" s="19" t="s">
        <v>136</v>
      </c>
      <c r="B38" s="20">
        <v>309709</v>
      </c>
      <c r="C38" s="70">
        <f>B38/'- 3 -'!$D38*100</f>
        <v>0.21474054857203731</v>
      </c>
      <c r="D38" s="20">
        <v>0</v>
      </c>
      <c r="E38" s="70">
        <f>D38/'- 3 -'!$D38*100</f>
        <v>0</v>
      </c>
      <c r="F38" s="20">
        <v>2373357</v>
      </c>
      <c r="G38" s="70">
        <f>F38/'- 3 -'!$D38*100</f>
        <v>1.6455962989040833</v>
      </c>
    </row>
    <row r="39" spans="1:7" ht="14.1" customHeight="1" x14ac:dyDescent="0.2">
      <c r="A39" s="284" t="s">
        <v>137</v>
      </c>
      <c r="B39" s="285">
        <v>34867</v>
      </c>
      <c r="C39" s="291">
        <f>B39/'- 3 -'!$D39*100</f>
        <v>0.15616886733520338</v>
      </c>
      <c r="D39" s="285">
        <v>0</v>
      </c>
      <c r="E39" s="291">
        <f>D39/'- 3 -'!$D39*100</f>
        <v>0</v>
      </c>
      <c r="F39" s="285">
        <v>349397</v>
      </c>
      <c r="G39" s="291">
        <f>F39/'- 3 -'!$D39*100</f>
        <v>1.5649448974766413</v>
      </c>
    </row>
    <row r="40" spans="1:7" ht="14.1" customHeight="1" x14ac:dyDescent="0.2">
      <c r="A40" s="19" t="s">
        <v>138</v>
      </c>
      <c r="B40" s="20">
        <v>63425</v>
      </c>
      <c r="C40" s="70">
        <f>B40/'- 3 -'!$D40*100</f>
        <v>5.9476472382858456E-2</v>
      </c>
      <c r="D40" s="20">
        <v>0</v>
      </c>
      <c r="E40" s="70">
        <f>D40/'- 3 -'!$D40*100</f>
        <v>0</v>
      </c>
      <c r="F40" s="20">
        <v>1783263</v>
      </c>
      <c r="G40" s="70">
        <f>F40/'- 3 -'!$D40*100</f>
        <v>1.6722458426625668</v>
      </c>
    </row>
    <row r="41" spans="1:7" ht="14.1" customHeight="1" x14ac:dyDescent="0.2">
      <c r="A41" s="284" t="s">
        <v>139</v>
      </c>
      <c r="B41" s="285">
        <v>291405</v>
      </c>
      <c r="C41" s="291">
        <f>B41/'- 3 -'!$D41*100</f>
        <v>0.44471186385738526</v>
      </c>
      <c r="D41" s="285">
        <v>0</v>
      </c>
      <c r="E41" s="291">
        <f>D41/'- 3 -'!$D41*100</f>
        <v>0</v>
      </c>
      <c r="F41" s="285">
        <v>1065753</v>
      </c>
      <c r="G41" s="291">
        <f>F41/'- 3 -'!$D41*100</f>
        <v>1.6264408745272043</v>
      </c>
    </row>
    <row r="42" spans="1:7" ht="14.1" customHeight="1" x14ac:dyDescent="0.2">
      <c r="A42" s="19" t="s">
        <v>140</v>
      </c>
      <c r="B42" s="20">
        <v>3646</v>
      </c>
      <c r="C42" s="70">
        <f>B42/'- 3 -'!$D42*100</f>
        <v>1.7484206788389547E-2</v>
      </c>
      <c r="D42" s="20">
        <v>0</v>
      </c>
      <c r="E42" s="70">
        <f>D42/'- 3 -'!$D42*100</f>
        <v>0</v>
      </c>
      <c r="F42" s="20">
        <v>327469</v>
      </c>
      <c r="G42" s="70">
        <f>F42/'- 3 -'!$D42*100</f>
        <v>1.5703608647249414</v>
      </c>
    </row>
    <row r="43" spans="1:7" ht="14.1" customHeight="1" x14ac:dyDescent="0.2">
      <c r="A43" s="284" t="s">
        <v>141</v>
      </c>
      <c r="B43" s="285">
        <v>100021</v>
      </c>
      <c r="C43" s="291">
        <f>B43/'- 3 -'!$D43*100</f>
        <v>0.72626074358859116</v>
      </c>
      <c r="D43" s="285">
        <v>0</v>
      </c>
      <c r="E43" s="291">
        <f>D43/'- 3 -'!$D43*100</f>
        <v>0</v>
      </c>
      <c r="F43" s="285">
        <v>227957</v>
      </c>
      <c r="G43" s="291">
        <f>F43/'- 3 -'!$D43*100</f>
        <v>1.6552146081945238</v>
      </c>
    </row>
    <row r="44" spans="1:7" ht="14.1" customHeight="1" x14ac:dyDescent="0.2">
      <c r="A44" s="19" t="s">
        <v>142</v>
      </c>
      <c r="B44" s="20">
        <v>3241</v>
      </c>
      <c r="C44" s="70">
        <f>B44/'- 3 -'!$D44*100</f>
        <v>2.9077500375692789E-2</v>
      </c>
      <c r="D44" s="20">
        <v>0</v>
      </c>
      <c r="E44" s="70">
        <f>D44/'- 3 -'!$D44*100</f>
        <v>0</v>
      </c>
      <c r="F44" s="20">
        <v>174345</v>
      </c>
      <c r="G44" s="70">
        <f>F44/'- 3 -'!$D44*100</f>
        <v>1.5641829074360256</v>
      </c>
    </row>
    <row r="45" spans="1:7" ht="14.1" customHeight="1" x14ac:dyDescent="0.2">
      <c r="A45" s="284" t="s">
        <v>143</v>
      </c>
      <c r="B45" s="285">
        <v>32181</v>
      </c>
      <c r="C45" s="291">
        <f>B45/'- 3 -'!$D45*100</f>
        <v>0.15686962306834079</v>
      </c>
      <c r="D45" s="285">
        <v>0</v>
      </c>
      <c r="E45" s="291">
        <f>D45/'- 3 -'!$D45*100</f>
        <v>0</v>
      </c>
      <c r="F45" s="285">
        <v>341728</v>
      </c>
      <c r="G45" s="291">
        <f>F45/'- 3 -'!$D45*100</f>
        <v>1.6657885880456778</v>
      </c>
    </row>
    <row r="46" spans="1:7" ht="14.1" customHeight="1" x14ac:dyDescent="0.2">
      <c r="A46" s="19" t="s">
        <v>144</v>
      </c>
      <c r="B46" s="20">
        <v>301577</v>
      </c>
      <c r="C46" s="70">
        <f>B46/'- 3 -'!$D46*100</f>
        <v>7.5122201707514394E-2</v>
      </c>
      <c r="D46" s="20">
        <v>0</v>
      </c>
      <c r="E46" s="70">
        <f>D46/'- 3 -'!$D46*100</f>
        <v>0</v>
      </c>
      <c r="F46" s="20">
        <v>6912683</v>
      </c>
      <c r="G46" s="70">
        <f>F46/'- 3 -'!$D46*100</f>
        <v>1.7219349176698016</v>
      </c>
    </row>
    <row r="47" spans="1:7" ht="5.0999999999999996" customHeight="1" x14ac:dyDescent="0.2">
      <c r="A47"/>
      <c r="B47" s="22"/>
      <c r="C47"/>
      <c r="D47" s="22"/>
      <c r="E47"/>
      <c r="F47" s="22"/>
      <c r="G47"/>
    </row>
    <row r="48" spans="1:7" ht="14.1" customHeight="1" x14ac:dyDescent="0.2">
      <c r="A48" s="286" t="s">
        <v>145</v>
      </c>
      <c r="B48" s="287">
        <f>SUM(B11:B46)</f>
        <v>2982850</v>
      </c>
      <c r="C48" s="294">
        <f>B48/'- 3 -'!$D48*100</f>
        <v>0.12448226462112087</v>
      </c>
      <c r="D48" s="287">
        <f>SUM(D11:D46)</f>
        <v>54436</v>
      </c>
      <c r="E48" s="294">
        <f>D48/'- 3 -'!$F48*100</f>
        <v>2.3076627991212894E-3</v>
      </c>
      <c r="F48" s="287">
        <f>SUM(F11:F46)</f>
        <v>38735557</v>
      </c>
      <c r="G48" s="294">
        <f>F48/'- 3 -'!$D48*100</f>
        <v>1.6165378268168062</v>
      </c>
    </row>
    <row r="49" spans="1:7" ht="5.0999999999999996" customHeight="1" x14ac:dyDescent="0.2">
      <c r="A49" s="21" t="s">
        <v>7</v>
      </c>
      <c r="B49" s="22"/>
      <c r="C49"/>
      <c r="D49" s="22"/>
      <c r="E49"/>
      <c r="F49" s="22"/>
      <c r="G49"/>
    </row>
    <row r="50" spans="1:7" ht="14.1" customHeight="1" x14ac:dyDescent="0.2">
      <c r="A50" s="19" t="s">
        <v>146</v>
      </c>
      <c r="B50" s="20">
        <v>1814</v>
      </c>
      <c r="C50" s="70">
        <f>B50/'- 3 -'!$D50*100</f>
        <v>5.3396710774390656E-2</v>
      </c>
      <c r="D50" s="20">
        <v>0</v>
      </c>
      <c r="E50" s="70">
        <f>D50/'- 3 -'!$D50*100</f>
        <v>0</v>
      </c>
      <c r="F50" s="20">
        <v>47113</v>
      </c>
      <c r="G50" s="70">
        <f>F50/'- 3 -'!$D50*100</f>
        <v>1.3868132495666301</v>
      </c>
    </row>
    <row r="51" spans="1:7" ht="14.1" customHeight="1" x14ac:dyDescent="0.2">
      <c r="A51" s="284" t="s">
        <v>601</v>
      </c>
      <c r="B51" s="285">
        <v>192526</v>
      </c>
      <c r="C51" s="291">
        <f>B51/'- 3 -'!$D51*100</f>
        <v>0.61271540243791511</v>
      </c>
      <c r="D51" s="285">
        <v>41766</v>
      </c>
      <c r="E51" s="291">
        <f>D51/'- 3 -'!$D51*100</f>
        <v>0.13292060032526498</v>
      </c>
      <c r="F51" s="285">
        <v>399914</v>
      </c>
      <c r="G51" s="291">
        <f>F51/'- 3 -'!$D51*100</f>
        <v>1.2727292285226743</v>
      </c>
    </row>
    <row r="52" spans="1:7" ht="50.1" customHeight="1" x14ac:dyDescent="0.2"/>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G68"/>
  <sheetViews>
    <sheetView showGridLines="0" showZeros="0" workbookViewId="0"/>
  </sheetViews>
  <sheetFormatPr defaultColWidth="15.83203125" defaultRowHeight="12" x14ac:dyDescent="0.2"/>
  <cols>
    <col min="1" max="1" width="40.83203125" style="2" customWidth="1"/>
    <col min="2" max="2" width="27.83203125" style="2" customWidth="1"/>
    <col min="3" max="3" width="18.83203125" style="2" customWidth="1"/>
    <col min="4" max="4" width="27.83203125" style="2" customWidth="1"/>
    <col min="5" max="5" width="18.83203125" style="2" customWidth="1"/>
    <col min="6" max="16384" width="15.83203125" style="2"/>
  </cols>
  <sheetData>
    <row r="1" spans="1:7" ht="6.95" customHeight="1" x14ac:dyDescent="0.2">
      <c r="A1" s="7"/>
      <c r="B1" s="8"/>
      <c r="C1" s="8"/>
      <c r="D1" s="8"/>
      <c r="E1" s="8"/>
    </row>
    <row r="2" spans="1:7" ht="15.95" customHeight="1" x14ac:dyDescent="0.2">
      <c r="A2" s="27"/>
      <c r="B2" s="610" t="s">
        <v>264</v>
      </c>
      <c r="C2" s="611"/>
      <c r="D2" s="611"/>
      <c r="E2" s="28"/>
    </row>
    <row r="3" spans="1:7" ht="15.95" customHeight="1" x14ac:dyDescent="0.2">
      <c r="A3" s="542"/>
      <c r="B3" s="612"/>
      <c r="C3" s="612"/>
      <c r="D3" s="612"/>
      <c r="E3" s="30"/>
    </row>
    <row r="4" spans="1:7" ht="15.95" customHeight="1" x14ac:dyDescent="0.2">
      <c r="B4" s="8"/>
      <c r="C4" s="31"/>
      <c r="D4" s="32"/>
      <c r="E4" s="31"/>
    </row>
    <row r="5" spans="1:7" ht="15.95" customHeight="1" x14ac:dyDescent="0.2">
      <c r="B5" s="8"/>
      <c r="C5" s="8"/>
      <c r="D5" s="8"/>
      <c r="E5" s="8"/>
    </row>
    <row r="6" spans="1:7" ht="15.95" customHeight="1" x14ac:dyDescent="0.2">
      <c r="B6" s="8"/>
      <c r="C6" s="8"/>
      <c r="D6" s="8"/>
      <c r="E6" s="8"/>
    </row>
    <row r="7" spans="1:7" ht="15.95" customHeight="1" x14ac:dyDescent="0.2">
      <c r="B7" s="281" t="s">
        <v>626</v>
      </c>
      <c r="C7" s="282"/>
      <c r="D7" s="281" t="s">
        <v>629</v>
      </c>
      <c r="E7" s="283"/>
    </row>
    <row r="8" spans="1:7" ht="15.95" customHeight="1" x14ac:dyDescent="0.2">
      <c r="A8" s="33"/>
      <c r="B8" s="34"/>
      <c r="C8" s="277"/>
      <c r="D8" s="34"/>
      <c r="E8" s="277"/>
    </row>
    <row r="9" spans="1:7" ht="15.95" customHeight="1" x14ac:dyDescent="0.2">
      <c r="A9" s="35" t="s">
        <v>42</v>
      </c>
      <c r="B9" s="402" t="s">
        <v>252</v>
      </c>
      <c r="C9" s="278" t="s">
        <v>45</v>
      </c>
      <c r="D9" s="402" t="s">
        <v>252</v>
      </c>
      <c r="E9" s="278" t="s">
        <v>45</v>
      </c>
    </row>
    <row r="10" spans="1:7" ht="5.0999999999999996" customHeight="1" x14ac:dyDescent="0.2">
      <c r="A10" s="6"/>
    </row>
    <row r="11" spans="1:7" ht="14.1" customHeight="1" x14ac:dyDescent="0.2">
      <c r="A11" s="284" t="s">
        <v>110</v>
      </c>
      <c r="B11" s="285">
        <v>19763282</v>
      </c>
      <c r="C11" s="285">
        <v>10991</v>
      </c>
      <c r="D11" s="285">
        <f>'- 3 -'!F11</f>
        <v>20074237</v>
      </c>
      <c r="E11" s="285">
        <f>ROUND(D11/'- 7 -'!E11,0)</f>
        <v>11072</v>
      </c>
      <c r="F11" s="131"/>
      <c r="G11" s="131"/>
    </row>
    <row r="12" spans="1:7" ht="14.1" customHeight="1" x14ac:dyDescent="0.2">
      <c r="A12" s="19" t="s">
        <v>111</v>
      </c>
      <c r="B12" s="37">
        <v>33435285</v>
      </c>
      <c r="C12" s="37">
        <v>16148</v>
      </c>
      <c r="D12" s="20">
        <f>'- 3 -'!F12</f>
        <v>33276992</v>
      </c>
      <c r="E12" s="20">
        <f>ROUND(D12/'- 7 -'!E12,0)</f>
        <v>15647</v>
      </c>
      <c r="F12" s="131"/>
      <c r="G12" s="131"/>
    </row>
    <row r="13" spans="1:7" ht="14.1" customHeight="1" x14ac:dyDescent="0.2">
      <c r="A13" s="284" t="s">
        <v>112</v>
      </c>
      <c r="B13" s="285">
        <v>98639916</v>
      </c>
      <c r="C13" s="285">
        <v>11698</v>
      </c>
      <c r="D13" s="285">
        <f>'- 3 -'!F13</f>
        <v>100598062</v>
      </c>
      <c r="E13" s="285">
        <f>ROUND(D13/'- 7 -'!E13,0)</f>
        <v>11745</v>
      </c>
      <c r="F13" s="131"/>
      <c r="G13" s="131"/>
    </row>
    <row r="14" spans="1:7" ht="14.1" customHeight="1" x14ac:dyDescent="0.2">
      <c r="A14" s="19" t="s">
        <v>359</v>
      </c>
      <c r="B14" s="20">
        <v>86586307</v>
      </c>
      <c r="C14" s="20">
        <v>15441</v>
      </c>
      <c r="D14" s="20">
        <f>'- 3 -'!F14</f>
        <v>89798537</v>
      </c>
      <c r="E14" s="20">
        <f>ROUND(D14/'- 7 -'!E14,0)</f>
        <v>16602</v>
      </c>
      <c r="F14" s="131"/>
      <c r="G14" s="131"/>
    </row>
    <row r="15" spans="1:7" ht="14.1" customHeight="1" x14ac:dyDescent="0.2">
      <c r="A15" s="284" t="s">
        <v>113</v>
      </c>
      <c r="B15" s="285">
        <v>19929719</v>
      </c>
      <c r="C15" s="285">
        <v>14444</v>
      </c>
      <c r="D15" s="285">
        <f>'- 3 -'!F15</f>
        <v>20187333</v>
      </c>
      <c r="E15" s="285">
        <f>ROUND(D15/'- 7 -'!E15,0)</f>
        <v>14293</v>
      </c>
      <c r="F15" s="131"/>
      <c r="G15" s="131"/>
    </row>
    <row r="16" spans="1:7" ht="14.1" customHeight="1" x14ac:dyDescent="0.2">
      <c r="A16" s="19" t="s">
        <v>114</v>
      </c>
      <c r="B16" s="37">
        <v>14357715</v>
      </c>
      <c r="C16" s="37">
        <v>15728</v>
      </c>
      <c r="D16" s="20">
        <f>'- 3 -'!F16</f>
        <v>14930612</v>
      </c>
      <c r="E16" s="20">
        <f>ROUND(D16/'- 7 -'!E16,0)</f>
        <v>16518</v>
      </c>
      <c r="F16" s="131"/>
      <c r="G16" s="131"/>
    </row>
    <row r="17" spans="1:7" ht="14.1" customHeight="1" x14ac:dyDescent="0.2">
      <c r="A17" s="284" t="s">
        <v>115</v>
      </c>
      <c r="B17" s="285">
        <v>18070705</v>
      </c>
      <c r="C17" s="285">
        <v>12937</v>
      </c>
      <c r="D17" s="285">
        <f>'- 3 -'!F17</f>
        <v>18109858</v>
      </c>
      <c r="E17" s="285">
        <f>ROUND(D17/'- 7 -'!E17,0)</f>
        <v>12642</v>
      </c>
      <c r="F17" s="131"/>
      <c r="G17" s="131"/>
    </row>
    <row r="18" spans="1:7" ht="14.1" customHeight="1" x14ac:dyDescent="0.2">
      <c r="A18" s="19" t="s">
        <v>116</v>
      </c>
      <c r="B18" s="20">
        <v>128274942</v>
      </c>
      <c r="C18" s="20">
        <v>21056</v>
      </c>
      <c r="D18" s="20">
        <f>'- 3 -'!F18</f>
        <v>130011545</v>
      </c>
      <c r="E18" s="20">
        <f>ROUND(D18/'- 7 -'!E18,0)</f>
        <v>21679</v>
      </c>
      <c r="F18" s="131"/>
      <c r="G18" s="131"/>
    </row>
    <row r="19" spans="1:7" ht="14.1" customHeight="1" x14ac:dyDescent="0.2">
      <c r="A19" s="284" t="s">
        <v>117</v>
      </c>
      <c r="B19" s="285">
        <v>49168758</v>
      </c>
      <c r="C19" s="285">
        <v>11090</v>
      </c>
      <c r="D19" s="285">
        <f>'- 3 -'!F19</f>
        <v>50025605</v>
      </c>
      <c r="E19" s="285">
        <f>ROUND(D19/'- 7 -'!E19,0)</f>
        <v>11332</v>
      </c>
      <c r="F19" s="131"/>
      <c r="G19" s="131"/>
    </row>
    <row r="20" spans="1:7" ht="14.1" customHeight="1" x14ac:dyDescent="0.2">
      <c r="A20" s="19" t="s">
        <v>118</v>
      </c>
      <c r="B20" s="37">
        <v>84621802</v>
      </c>
      <c r="C20" s="37">
        <v>10859</v>
      </c>
      <c r="D20" s="20">
        <f>'- 3 -'!F20</f>
        <v>87227882</v>
      </c>
      <c r="E20" s="20">
        <f>ROUND(D20/'- 7 -'!E20,0)</f>
        <v>11067</v>
      </c>
      <c r="F20" s="131"/>
      <c r="G20" s="131"/>
    </row>
    <row r="21" spans="1:7" ht="14.1" customHeight="1" x14ac:dyDescent="0.2">
      <c r="A21" s="284" t="s">
        <v>119</v>
      </c>
      <c r="B21" s="285">
        <v>36578113</v>
      </c>
      <c r="C21" s="285">
        <v>13147</v>
      </c>
      <c r="D21" s="285">
        <f>'- 3 -'!F21</f>
        <v>36964983</v>
      </c>
      <c r="E21" s="285">
        <f>ROUND(D21/'- 7 -'!E21,0)</f>
        <v>13008</v>
      </c>
      <c r="F21" s="131"/>
      <c r="G21" s="131"/>
    </row>
    <row r="22" spans="1:7" ht="14.1" customHeight="1" x14ac:dyDescent="0.2">
      <c r="A22" s="19" t="s">
        <v>120</v>
      </c>
      <c r="B22" s="20">
        <v>19969617</v>
      </c>
      <c r="C22" s="20">
        <v>13372</v>
      </c>
      <c r="D22" s="20">
        <f>'- 3 -'!F22</f>
        <v>20289628</v>
      </c>
      <c r="E22" s="20">
        <f>ROUND(D22/'- 7 -'!E22,0)</f>
        <v>13816</v>
      </c>
      <c r="F22" s="131"/>
      <c r="G22" s="131"/>
    </row>
    <row r="23" spans="1:7" ht="14.1" customHeight="1" x14ac:dyDescent="0.2">
      <c r="A23" s="284" t="s">
        <v>121</v>
      </c>
      <c r="B23" s="285">
        <v>16001617</v>
      </c>
      <c r="C23" s="285">
        <v>15349</v>
      </c>
      <c r="D23" s="285">
        <f>'- 3 -'!F23</f>
        <v>15404376</v>
      </c>
      <c r="E23" s="285">
        <f>ROUND(D23/'- 7 -'!E23,0)</f>
        <v>16021</v>
      </c>
      <c r="F23" s="131"/>
      <c r="G23" s="131"/>
    </row>
    <row r="24" spans="1:7" ht="14.1" customHeight="1" x14ac:dyDescent="0.2">
      <c r="A24" s="19" t="s">
        <v>122</v>
      </c>
      <c r="B24" s="37">
        <v>57025546</v>
      </c>
      <c r="C24" s="37">
        <v>14655</v>
      </c>
      <c r="D24" s="20">
        <f>'- 3 -'!F24</f>
        <v>57057495</v>
      </c>
      <c r="E24" s="20">
        <f>ROUND(D24/'- 7 -'!E24,0)</f>
        <v>14899</v>
      </c>
      <c r="F24" s="131"/>
      <c r="G24" s="131"/>
    </row>
    <row r="25" spans="1:7" ht="14.1" customHeight="1" x14ac:dyDescent="0.2">
      <c r="A25" s="284" t="s">
        <v>123</v>
      </c>
      <c r="B25" s="285">
        <v>183174827</v>
      </c>
      <c r="C25" s="285">
        <v>12523</v>
      </c>
      <c r="D25" s="285">
        <f>'- 3 -'!F25</f>
        <v>190664418</v>
      </c>
      <c r="E25" s="285">
        <f>ROUND(D25/'- 7 -'!E25,0)</f>
        <v>12812</v>
      </c>
      <c r="F25" s="131"/>
      <c r="G25" s="131"/>
    </row>
    <row r="26" spans="1:7" ht="14.1" customHeight="1" x14ac:dyDescent="0.2">
      <c r="A26" s="19" t="s">
        <v>124</v>
      </c>
      <c r="B26" s="20">
        <v>40698217</v>
      </c>
      <c r="C26" s="20">
        <v>13773</v>
      </c>
      <c r="D26" s="20">
        <f>'- 3 -'!F26</f>
        <v>40841261</v>
      </c>
      <c r="E26" s="20">
        <f>ROUND(D26/'- 7 -'!E26,0)</f>
        <v>13609</v>
      </c>
      <c r="F26" s="131"/>
      <c r="G26" s="131"/>
    </row>
    <row r="27" spans="1:7" ht="14.1" customHeight="1" x14ac:dyDescent="0.2">
      <c r="A27" s="284" t="s">
        <v>125</v>
      </c>
      <c r="B27" s="285">
        <v>40945654</v>
      </c>
      <c r="C27" s="285">
        <v>13509</v>
      </c>
      <c r="D27" s="285">
        <f>'- 3 -'!F27</f>
        <v>41228966</v>
      </c>
      <c r="E27" s="285">
        <f>ROUND(D27/'- 7 -'!E27,0)</f>
        <v>13875</v>
      </c>
      <c r="F27" s="131"/>
      <c r="G27" s="131"/>
    </row>
    <row r="28" spans="1:7" ht="14.1" customHeight="1" x14ac:dyDescent="0.2">
      <c r="A28" s="19" t="s">
        <v>126</v>
      </c>
      <c r="B28" s="37">
        <v>28684353</v>
      </c>
      <c r="C28" s="37">
        <v>14714</v>
      </c>
      <c r="D28" s="20">
        <f>'- 3 -'!F28</f>
        <v>28840141</v>
      </c>
      <c r="E28" s="20">
        <f>ROUND(D28/'- 7 -'!E28,0)</f>
        <v>14640</v>
      </c>
      <c r="F28" s="131"/>
      <c r="G28" s="131"/>
    </row>
    <row r="29" spans="1:7" ht="14.1" customHeight="1" x14ac:dyDescent="0.2">
      <c r="A29" s="284" t="s">
        <v>127</v>
      </c>
      <c r="B29" s="285">
        <v>161910984</v>
      </c>
      <c r="C29" s="285">
        <v>12089</v>
      </c>
      <c r="D29" s="285">
        <f>'- 3 -'!F29</f>
        <v>165607071</v>
      </c>
      <c r="E29" s="285">
        <f>ROUND(D29/'- 7 -'!E29,0)</f>
        <v>11938</v>
      </c>
      <c r="F29" s="131"/>
      <c r="G29" s="131"/>
    </row>
    <row r="30" spans="1:7" ht="14.1" customHeight="1" x14ac:dyDescent="0.2">
      <c r="A30" s="19" t="s">
        <v>128</v>
      </c>
      <c r="B30" s="20">
        <v>14681678</v>
      </c>
      <c r="C30" s="20">
        <v>14577</v>
      </c>
      <c r="D30" s="20">
        <f>'- 3 -'!F30</f>
        <v>15397989</v>
      </c>
      <c r="E30" s="20">
        <f>ROUND(D30/'- 7 -'!E30,0)</f>
        <v>15044</v>
      </c>
      <c r="F30" s="131"/>
      <c r="G30" s="131"/>
    </row>
    <row r="31" spans="1:7" ht="14.1" customHeight="1" x14ac:dyDescent="0.2">
      <c r="A31" s="284" t="s">
        <v>129</v>
      </c>
      <c r="B31" s="285">
        <v>37973092</v>
      </c>
      <c r="C31" s="285">
        <v>11471</v>
      </c>
      <c r="D31" s="285">
        <f>'- 3 -'!F31</f>
        <v>38687523</v>
      </c>
      <c r="E31" s="285">
        <f>ROUND(D31/'- 7 -'!E31,0)</f>
        <v>11574</v>
      </c>
      <c r="F31" s="131"/>
      <c r="G31" s="131"/>
    </row>
    <row r="32" spans="1:7" ht="14.1" customHeight="1" x14ac:dyDescent="0.2">
      <c r="A32" s="19" t="s">
        <v>130</v>
      </c>
      <c r="B32" s="37">
        <v>31080004</v>
      </c>
      <c r="C32" s="37">
        <v>14214</v>
      </c>
      <c r="D32" s="20">
        <f>'- 3 -'!F32</f>
        <v>29767356</v>
      </c>
      <c r="E32" s="20">
        <f>ROUND(D32/'- 7 -'!E32,0)</f>
        <v>13370</v>
      </c>
      <c r="F32" s="131"/>
      <c r="G32" s="131"/>
    </row>
    <row r="33" spans="1:7" ht="14.1" customHeight="1" x14ac:dyDescent="0.2">
      <c r="A33" s="284" t="s">
        <v>131</v>
      </c>
      <c r="B33" s="285">
        <v>28314659</v>
      </c>
      <c r="C33" s="285">
        <v>13518</v>
      </c>
      <c r="D33" s="285">
        <f>'- 3 -'!F33</f>
        <v>27996278</v>
      </c>
      <c r="E33" s="285">
        <f>ROUND(D33/'- 7 -'!E33,0)</f>
        <v>13669</v>
      </c>
      <c r="F33" s="131"/>
      <c r="G33" s="131"/>
    </row>
    <row r="34" spans="1:7" ht="14.1" customHeight="1" x14ac:dyDescent="0.2">
      <c r="A34" s="19" t="s">
        <v>132</v>
      </c>
      <c r="B34" s="20">
        <v>30687842</v>
      </c>
      <c r="C34" s="20">
        <v>14634</v>
      </c>
      <c r="D34" s="20">
        <f>'- 3 -'!F34</f>
        <v>30705832</v>
      </c>
      <c r="E34" s="20">
        <f>ROUND(D34/'- 7 -'!E34,0)</f>
        <v>14072</v>
      </c>
      <c r="F34" s="131"/>
      <c r="G34" s="131"/>
    </row>
    <row r="35" spans="1:7" ht="14.1" customHeight="1" x14ac:dyDescent="0.2">
      <c r="A35" s="284" t="s">
        <v>133</v>
      </c>
      <c r="B35" s="285">
        <v>185306244</v>
      </c>
      <c r="C35" s="285">
        <v>11685</v>
      </c>
      <c r="D35" s="285">
        <f>'- 3 -'!F35</f>
        <v>189866071</v>
      </c>
      <c r="E35" s="285">
        <f>ROUND(D35/'- 7 -'!E35,0)</f>
        <v>11819</v>
      </c>
      <c r="F35" s="131"/>
      <c r="G35" s="131"/>
    </row>
    <row r="36" spans="1:7" ht="14.1" customHeight="1" x14ac:dyDescent="0.2">
      <c r="A36" s="19" t="s">
        <v>134</v>
      </c>
      <c r="B36" s="37">
        <v>23519431</v>
      </c>
      <c r="C36" s="37">
        <v>13910</v>
      </c>
      <c r="D36" s="20">
        <f>'- 3 -'!F36</f>
        <v>23867303</v>
      </c>
      <c r="E36" s="20">
        <f>ROUND(D36/'- 7 -'!E36,0)</f>
        <v>14215</v>
      </c>
      <c r="F36" s="131"/>
      <c r="G36" s="131"/>
    </row>
    <row r="37" spans="1:7" ht="14.1" customHeight="1" x14ac:dyDescent="0.2">
      <c r="A37" s="284" t="s">
        <v>135</v>
      </c>
      <c r="B37" s="285">
        <v>51614450</v>
      </c>
      <c r="C37" s="285">
        <v>12304</v>
      </c>
      <c r="D37" s="285">
        <f>'- 3 -'!F37</f>
        <v>52872314</v>
      </c>
      <c r="E37" s="285">
        <f>ROUND(D37/'- 7 -'!E37,0)</f>
        <v>12191</v>
      </c>
      <c r="F37" s="131"/>
      <c r="G37" s="131"/>
    </row>
    <row r="38" spans="1:7" ht="14.1" customHeight="1" x14ac:dyDescent="0.2">
      <c r="A38" s="19" t="s">
        <v>136</v>
      </c>
      <c r="B38" s="20">
        <v>137706533</v>
      </c>
      <c r="C38" s="20">
        <v>12441</v>
      </c>
      <c r="D38" s="20">
        <f>'- 3 -'!F38</f>
        <v>139851592</v>
      </c>
      <c r="E38" s="20">
        <f>ROUND(D38/'- 7 -'!E38,0)</f>
        <v>12369</v>
      </c>
      <c r="F38" s="131"/>
      <c r="G38" s="131"/>
    </row>
    <row r="39" spans="1:7" ht="14.1" customHeight="1" x14ac:dyDescent="0.2">
      <c r="A39" s="284" t="s">
        <v>137</v>
      </c>
      <c r="B39" s="285">
        <v>22230098</v>
      </c>
      <c r="C39" s="285">
        <v>14693</v>
      </c>
      <c r="D39" s="285">
        <f>'- 3 -'!F39</f>
        <v>22160052</v>
      </c>
      <c r="E39" s="285">
        <f>ROUND(D39/'- 7 -'!E39,0)</f>
        <v>14744</v>
      </c>
      <c r="F39" s="131"/>
      <c r="G39" s="131"/>
    </row>
    <row r="40" spans="1:7" ht="14.1" customHeight="1" x14ac:dyDescent="0.2">
      <c r="A40" s="19" t="s">
        <v>138</v>
      </c>
      <c r="B40" s="37">
        <v>105013281</v>
      </c>
      <c r="C40" s="37">
        <v>12921</v>
      </c>
      <c r="D40" s="20">
        <f>'- 3 -'!F40</f>
        <v>105689430</v>
      </c>
      <c r="E40" s="20">
        <f>ROUND(D40/'- 7 -'!E40,0)</f>
        <v>12888</v>
      </c>
      <c r="F40" s="131"/>
      <c r="G40" s="131"/>
    </row>
    <row r="41" spans="1:7" ht="14.1" customHeight="1" x14ac:dyDescent="0.2">
      <c r="A41" s="284" t="s">
        <v>139</v>
      </c>
      <c r="B41" s="285">
        <v>63563430</v>
      </c>
      <c r="C41" s="285">
        <v>14298</v>
      </c>
      <c r="D41" s="285">
        <f>'- 3 -'!F41</f>
        <v>64248054</v>
      </c>
      <c r="E41" s="285">
        <f>ROUND(D41/'- 7 -'!E41,0)</f>
        <v>14430</v>
      </c>
      <c r="F41" s="131"/>
      <c r="G41" s="131"/>
    </row>
    <row r="42" spans="1:7" ht="14.1" customHeight="1" x14ac:dyDescent="0.2">
      <c r="A42" s="19" t="s">
        <v>140</v>
      </c>
      <c r="B42" s="20">
        <v>20804560</v>
      </c>
      <c r="C42" s="20">
        <v>14734</v>
      </c>
      <c r="D42" s="20">
        <f>'- 3 -'!F42</f>
        <v>20814837</v>
      </c>
      <c r="E42" s="20">
        <f>ROUND(D42/'- 7 -'!E42,0)</f>
        <v>15056</v>
      </c>
      <c r="F42" s="131"/>
      <c r="G42" s="131"/>
    </row>
    <row r="43" spans="1:7" ht="14.1" customHeight="1" x14ac:dyDescent="0.2">
      <c r="A43" s="284" t="s">
        <v>141</v>
      </c>
      <c r="B43" s="285">
        <v>13216171</v>
      </c>
      <c r="C43" s="285">
        <v>13639</v>
      </c>
      <c r="D43" s="285">
        <f>'- 3 -'!F43</f>
        <v>13549039</v>
      </c>
      <c r="E43" s="285">
        <f>ROUND(D43/'- 7 -'!E43,0)</f>
        <v>13665</v>
      </c>
      <c r="F43" s="131"/>
      <c r="G43" s="131"/>
    </row>
    <row r="44" spans="1:7" ht="14.1" customHeight="1" x14ac:dyDescent="0.2">
      <c r="A44" s="19" t="s">
        <v>142</v>
      </c>
      <c r="B44" s="37">
        <v>10941827</v>
      </c>
      <c r="C44" s="37">
        <v>15766</v>
      </c>
      <c r="D44" s="20">
        <f>'- 3 -'!F44</f>
        <v>11120591</v>
      </c>
      <c r="E44" s="20">
        <f>ROUND(D44/'- 7 -'!E44,0)</f>
        <v>15663</v>
      </c>
      <c r="F44" s="131"/>
      <c r="G44" s="131"/>
    </row>
    <row r="45" spans="1:7" ht="14.1" customHeight="1" x14ac:dyDescent="0.2">
      <c r="A45" s="284" t="s">
        <v>143</v>
      </c>
      <c r="B45" s="285">
        <v>19518050</v>
      </c>
      <c r="C45" s="285">
        <v>11295</v>
      </c>
      <c r="D45" s="285">
        <f>'- 3 -'!F45</f>
        <v>20071531</v>
      </c>
      <c r="E45" s="285">
        <f>ROUND(D45/'- 7 -'!E45,0)</f>
        <v>11043</v>
      </c>
      <c r="F45" s="131"/>
      <c r="G45" s="131"/>
    </row>
    <row r="46" spans="1:7" ht="14.1" customHeight="1" x14ac:dyDescent="0.2">
      <c r="A46" s="19" t="s">
        <v>144</v>
      </c>
      <c r="B46" s="20">
        <v>386231922</v>
      </c>
      <c r="C46" s="20">
        <v>12918</v>
      </c>
      <c r="D46" s="20">
        <f>'- 3 -'!F46</f>
        <v>391118703</v>
      </c>
      <c r="E46" s="20">
        <f>ROUND(D46/'- 7 -'!E46,0)</f>
        <v>13130</v>
      </c>
      <c r="F46" s="131"/>
      <c r="G46" s="131"/>
    </row>
    <row r="47" spans="1:7" ht="5.0999999999999996" customHeight="1" x14ac:dyDescent="0.2">
      <c r="A47"/>
      <c r="B47"/>
      <c r="C47"/>
      <c r="D47"/>
      <c r="E47"/>
      <c r="F47"/>
      <c r="G47" s="586"/>
    </row>
    <row r="48" spans="1:7" ht="14.1" customHeight="1" x14ac:dyDescent="0.2">
      <c r="A48" s="286" t="s">
        <v>145</v>
      </c>
      <c r="B48" s="287">
        <v>2320240631</v>
      </c>
      <c r="C48" s="287">
        <v>13081</v>
      </c>
      <c r="D48" s="287">
        <f>SUM(D11:D46)</f>
        <v>2358923497</v>
      </c>
      <c r="E48" s="287">
        <f>ROUND(D48/'- 7 -'!E48,0)</f>
        <v>13192</v>
      </c>
      <c r="F48" s="131"/>
      <c r="G48" s="131"/>
    </row>
    <row r="49" spans="1:7" ht="5.0999999999999996" customHeight="1" x14ac:dyDescent="0.2">
      <c r="A49" s="21" t="s">
        <v>7</v>
      </c>
      <c r="B49" s="22"/>
      <c r="C49" s="22"/>
      <c r="D49" s="22"/>
      <c r="E49" s="22"/>
    </row>
    <row r="50" spans="1:7" ht="14.1" customHeight="1" x14ac:dyDescent="0.2">
      <c r="A50" s="19" t="s">
        <v>146</v>
      </c>
      <c r="B50" s="37">
        <v>3111473</v>
      </c>
      <c r="C50" s="37">
        <v>18972</v>
      </c>
      <c r="D50" s="20">
        <f>'- 3 -'!F50</f>
        <v>3300988</v>
      </c>
      <c r="E50" s="20">
        <f>ROUND(D50/'- 7 -'!E50,0)</f>
        <v>18288</v>
      </c>
      <c r="F50" s="131"/>
      <c r="G50" s="131"/>
    </row>
    <row r="51" spans="1:7" ht="14.1" customHeight="1" x14ac:dyDescent="0.2">
      <c r="A51" s="284" t="s">
        <v>601</v>
      </c>
      <c r="B51" s="285">
        <v>18210640</v>
      </c>
      <c r="C51" s="285">
        <v>16738</v>
      </c>
      <c r="D51" s="285">
        <f>'- 3 -'!F51</f>
        <v>19218114</v>
      </c>
      <c r="E51" s="285">
        <f>ROUND(D51/'- 7 -'!E51,0)</f>
        <v>16028</v>
      </c>
      <c r="F51" s="131"/>
      <c r="G51" s="131"/>
    </row>
    <row r="52" spans="1:7" ht="50.1" customHeight="1" x14ac:dyDescent="0.2">
      <c r="A52" s="23"/>
      <c r="B52" s="23"/>
      <c r="C52" s="23"/>
      <c r="D52" s="23"/>
      <c r="E52" s="23"/>
    </row>
    <row r="53" spans="1:7" ht="15" customHeight="1" x14ac:dyDescent="0.2">
      <c r="A53" s="613" t="s">
        <v>451</v>
      </c>
      <c r="B53" s="613"/>
      <c r="C53" s="613"/>
      <c r="D53" s="613"/>
      <c r="E53" s="613"/>
    </row>
    <row r="54" spans="1:7" ht="12" customHeight="1" x14ac:dyDescent="0.2">
      <c r="A54" s="614"/>
      <c r="B54" s="614"/>
      <c r="C54" s="614"/>
      <c r="D54" s="614"/>
      <c r="E54" s="614"/>
    </row>
    <row r="55" spans="1:7" ht="12" customHeight="1" x14ac:dyDescent="0.2">
      <c r="A55" s="614"/>
      <c r="B55" s="614"/>
      <c r="C55" s="614"/>
      <c r="D55" s="614"/>
      <c r="E55" s="614"/>
    </row>
    <row r="56" spans="1:7" x14ac:dyDescent="0.2">
      <c r="A56" s="24"/>
    </row>
    <row r="60" spans="1:7" s="3" customFormat="1" ht="11.25" x14ac:dyDescent="0.2"/>
    <row r="61" spans="1:7" s="3" customFormat="1" ht="11.25" x14ac:dyDescent="0.2"/>
    <row r="62" spans="1:7" s="3" customFormat="1" ht="11.25" x14ac:dyDescent="0.2"/>
    <row r="63" spans="1:7" s="3" customFormat="1" ht="11.25" x14ac:dyDescent="0.2"/>
    <row r="64" spans="1:7" s="3" customFormat="1" ht="11.25" x14ac:dyDescent="0.2"/>
    <row r="65" s="3" customFormat="1" ht="11.25" x14ac:dyDescent="0.2"/>
    <row r="66" s="3" customFormat="1" ht="11.25" x14ac:dyDescent="0.2"/>
    <row r="67" s="3" customFormat="1" ht="11.25" x14ac:dyDescent="0.2"/>
    <row r="68" s="3" customFormat="1" ht="11.25" x14ac:dyDescent="0.2"/>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H52"/>
  <sheetViews>
    <sheetView showGridLines="0" showZeros="0" workbookViewId="0"/>
  </sheetViews>
  <sheetFormatPr defaultColWidth="15.83203125" defaultRowHeight="12" x14ac:dyDescent="0.2"/>
  <cols>
    <col min="1" max="1" width="32.83203125" style="2" customWidth="1"/>
    <col min="2" max="2" width="16.83203125" style="2" customWidth="1"/>
    <col min="3" max="3" width="17.83203125" style="2" customWidth="1"/>
    <col min="4" max="4" width="10.83203125" style="2" customWidth="1"/>
    <col min="5" max="5" width="15.83203125" style="2" customWidth="1"/>
    <col min="6" max="6" width="11.83203125" style="2" customWidth="1"/>
    <col min="7" max="7" width="14.83203125" style="2" customWidth="1"/>
    <col min="8" max="8" width="11.83203125" style="2" customWidth="1"/>
    <col min="9" max="16384" width="15.83203125" style="2"/>
  </cols>
  <sheetData>
    <row r="1" spans="1:8" ht="6.95" customHeight="1" x14ac:dyDescent="0.2">
      <c r="A1" s="7"/>
      <c r="B1" s="8"/>
      <c r="C1" s="8"/>
      <c r="D1" s="8"/>
      <c r="E1" s="8"/>
      <c r="F1" s="8"/>
      <c r="G1" s="8"/>
      <c r="H1" s="8"/>
    </row>
    <row r="2" spans="1:8" ht="15.95" customHeight="1" x14ac:dyDescent="0.2">
      <c r="A2" s="134"/>
      <c r="B2" s="9" t="s">
        <v>267</v>
      </c>
      <c r="C2" s="10"/>
      <c r="D2" s="10"/>
      <c r="E2" s="10"/>
      <c r="F2" s="73"/>
      <c r="G2" s="73"/>
      <c r="H2" s="73"/>
    </row>
    <row r="3" spans="1:8" ht="15.95" customHeight="1" x14ac:dyDescent="0.2">
      <c r="A3" s="541"/>
      <c r="B3" s="11" t="str">
        <f>OPYEAR</f>
        <v>OPERATING FUND 2018/2019 ACTUAL</v>
      </c>
      <c r="C3" s="12"/>
      <c r="D3" s="12"/>
      <c r="E3" s="12"/>
      <c r="F3" s="75"/>
      <c r="G3" s="75"/>
      <c r="H3" s="75"/>
    </row>
    <row r="4" spans="1:8" ht="15.95" customHeight="1" x14ac:dyDescent="0.2">
      <c r="B4" s="8"/>
      <c r="C4" s="8"/>
      <c r="D4" s="8"/>
      <c r="E4" s="8"/>
      <c r="F4" s="8"/>
      <c r="G4" s="8"/>
      <c r="H4" s="8"/>
    </row>
    <row r="5" spans="1:8" ht="15.95" customHeight="1" x14ac:dyDescent="0.2">
      <c r="B5" s="8"/>
      <c r="C5" s="8"/>
      <c r="D5" s="8"/>
      <c r="E5" s="8"/>
      <c r="F5" s="8"/>
      <c r="G5" s="8"/>
      <c r="H5" s="8"/>
    </row>
    <row r="6" spans="1:8" ht="15.95" customHeight="1" x14ac:dyDescent="0.2">
      <c r="B6" s="309" t="s">
        <v>18</v>
      </c>
      <c r="C6" s="312"/>
      <c r="D6" s="316"/>
      <c r="E6" s="316"/>
      <c r="F6" s="316"/>
      <c r="G6" s="316"/>
      <c r="H6" s="306"/>
    </row>
    <row r="7" spans="1:8" ht="15.95" customHeight="1" x14ac:dyDescent="0.2">
      <c r="B7" s="297" t="s">
        <v>32</v>
      </c>
      <c r="C7" s="298"/>
      <c r="D7" s="308"/>
      <c r="E7" s="308"/>
      <c r="F7" s="308"/>
      <c r="G7" s="308"/>
      <c r="H7" s="317"/>
    </row>
    <row r="8" spans="1:8" ht="15.95" customHeight="1" x14ac:dyDescent="0.2">
      <c r="A8" s="67"/>
      <c r="B8" s="31"/>
      <c r="C8" s="623" t="s">
        <v>501</v>
      </c>
      <c r="D8" s="602" t="s">
        <v>473</v>
      </c>
      <c r="E8" s="705" t="s">
        <v>502</v>
      </c>
      <c r="F8" s="703" t="s">
        <v>503</v>
      </c>
      <c r="G8" s="703" t="s">
        <v>504</v>
      </c>
      <c r="H8" s="703" t="s">
        <v>505</v>
      </c>
    </row>
    <row r="9" spans="1:8" ht="15.95" customHeight="1" x14ac:dyDescent="0.2">
      <c r="A9" s="35" t="s">
        <v>42</v>
      </c>
      <c r="B9" s="77" t="s">
        <v>43</v>
      </c>
      <c r="C9" s="604"/>
      <c r="D9" s="604"/>
      <c r="E9" s="704"/>
      <c r="F9" s="704"/>
      <c r="G9" s="704"/>
      <c r="H9" s="704"/>
    </row>
    <row r="10" spans="1:8" ht="5.0999999999999996" customHeight="1" x14ac:dyDescent="0.2">
      <c r="A10" s="6"/>
    </row>
    <row r="11" spans="1:8" ht="14.1" customHeight="1" x14ac:dyDescent="0.2">
      <c r="A11" s="284" t="s">
        <v>110</v>
      </c>
      <c r="B11" s="285">
        <f>'- 29 -'!$D11</f>
        <v>1040554</v>
      </c>
      <c r="C11" s="285">
        <v>758</v>
      </c>
      <c r="D11" s="285">
        <f ca="1">IF(AND(CELL("type",C11)="v",C11&gt;0),B11/C11,"")</f>
        <v>1372.7625329815303</v>
      </c>
      <c r="E11" s="285">
        <v>612350</v>
      </c>
      <c r="F11" s="361">
        <f ca="1">IF(AND(CELL("type",E11)="v",E11&gt;0),B11/E11,"")</f>
        <v>1.6992798236302769</v>
      </c>
      <c r="G11" s="285">
        <v>461674</v>
      </c>
      <c r="H11" s="361">
        <f ca="1">IF(AND(CELL("type",G11)="v",G11&gt;0),B11/G11,"")</f>
        <v>2.2538717796540415</v>
      </c>
    </row>
    <row r="12" spans="1:8" ht="14.1" customHeight="1" x14ac:dyDescent="0.2">
      <c r="A12" s="19" t="s">
        <v>111</v>
      </c>
      <c r="B12" s="20">
        <f>'- 29 -'!$D12</f>
        <v>2100634</v>
      </c>
      <c r="C12" s="20">
        <v>1452</v>
      </c>
      <c r="D12" s="20">
        <f t="shared" ref="D12:D46" ca="1" si="0">IF(AND(CELL("type",C12)="v",C12&gt;0),B12/C12,"")</f>
        <v>1446.7176308539945</v>
      </c>
      <c r="E12" s="20">
        <v>1146630</v>
      </c>
      <c r="F12" s="362">
        <f t="shared" ref="F12:F46" ca="1" si="1">IF(AND(CELL("type",E12)="v",E12&gt;0),B12/E12,"")</f>
        <v>1.832006837427941</v>
      </c>
      <c r="G12" s="20">
        <v>737780</v>
      </c>
      <c r="H12" s="362">
        <f t="shared" ref="H12:H46" ca="1" si="2">IF(AND(CELL("type",G12)="v",G12&gt;0),B12/G12,"")</f>
        <v>2.84723630350511</v>
      </c>
    </row>
    <row r="13" spans="1:8" ht="14.1" customHeight="1" x14ac:dyDescent="0.2">
      <c r="A13" s="284" t="s">
        <v>112</v>
      </c>
      <c r="B13" s="285">
        <f>'- 29 -'!$D13</f>
        <v>2166330</v>
      </c>
      <c r="C13" s="285">
        <v>3581</v>
      </c>
      <c r="D13" s="285">
        <f t="shared" ca="1" si="0"/>
        <v>604.95113096900309</v>
      </c>
      <c r="E13" s="285">
        <v>851680</v>
      </c>
      <c r="F13" s="361">
        <f t="shared" ca="1" si="1"/>
        <v>2.5435961863610745</v>
      </c>
      <c r="G13" s="285">
        <v>518062</v>
      </c>
      <c r="H13" s="361">
        <f t="shared" ca="1" si="2"/>
        <v>4.1816037462697517</v>
      </c>
    </row>
    <row r="14" spans="1:8" ht="14.1" customHeight="1" x14ac:dyDescent="0.2">
      <c r="A14" s="19" t="s">
        <v>359</v>
      </c>
      <c r="B14" s="20">
        <f>'- 29 -'!$D14</f>
        <v>8394823</v>
      </c>
      <c r="C14" s="20">
        <v>4642</v>
      </c>
      <c r="D14" s="20">
        <f t="shared" ca="1" si="0"/>
        <v>1808.4495906936666</v>
      </c>
      <c r="E14" s="20">
        <v>3185700</v>
      </c>
      <c r="F14" s="362">
        <f t="shared" ca="1" si="1"/>
        <v>2.6351580500360989</v>
      </c>
      <c r="G14" s="20">
        <v>1666850</v>
      </c>
      <c r="H14" s="362">
        <f t="shared" ca="1" si="2"/>
        <v>5.0363398026217112</v>
      </c>
    </row>
    <row r="15" spans="1:8" ht="14.1" customHeight="1" x14ac:dyDescent="0.2">
      <c r="A15" s="284" t="s">
        <v>113</v>
      </c>
      <c r="B15" s="285">
        <f>'- 29 -'!$D15</f>
        <v>1497144</v>
      </c>
      <c r="C15" s="285">
        <v>977</v>
      </c>
      <c r="D15" s="285">
        <f t="shared" ca="1" si="0"/>
        <v>1532.388945752303</v>
      </c>
      <c r="E15" s="285">
        <v>822218</v>
      </c>
      <c r="F15" s="361">
        <f t="shared" ca="1" si="1"/>
        <v>1.8208601611738007</v>
      </c>
      <c r="G15" s="285">
        <v>490220</v>
      </c>
      <c r="H15" s="361">
        <f t="shared" ca="1" si="2"/>
        <v>3.0540247235934888</v>
      </c>
    </row>
    <row r="16" spans="1:8" ht="14.1" customHeight="1" x14ac:dyDescent="0.2">
      <c r="A16" s="19" t="s">
        <v>114</v>
      </c>
      <c r="B16" s="20">
        <f>'- 29 -'!$D16</f>
        <v>341618</v>
      </c>
      <c r="C16" s="20">
        <v>303</v>
      </c>
      <c r="D16" s="20">
        <f t="shared" ca="1" si="0"/>
        <v>1127.4521452145214</v>
      </c>
      <c r="E16" s="20">
        <v>60645</v>
      </c>
      <c r="F16" s="362">
        <f t="shared" ca="1" si="1"/>
        <v>5.6330777475472011</v>
      </c>
      <c r="G16" s="20">
        <v>39195</v>
      </c>
      <c r="H16" s="362">
        <f t="shared" ca="1" si="2"/>
        <v>8.7158566143640765</v>
      </c>
    </row>
    <row r="17" spans="1:8" ht="14.1" customHeight="1" x14ac:dyDescent="0.2">
      <c r="A17" s="284" t="s">
        <v>115</v>
      </c>
      <c r="B17" s="285">
        <f>'- 29 -'!$D17</f>
        <v>1401700</v>
      </c>
      <c r="C17" s="285">
        <v>718</v>
      </c>
      <c r="D17" s="285">
        <f t="shared" ca="1" si="0"/>
        <v>1952.2284122562673</v>
      </c>
      <c r="E17" s="285">
        <v>911698.50000000012</v>
      </c>
      <c r="F17" s="361">
        <f t="shared" ca="1" si="1"/>
        <v>1.5374600265328942</v>
      </c>
      <c r="G17" s="285">
        <v>590649.5</v>
      </c>
      <c r="H17" s="361">
        <f t="shared" ca="1" si="2"/>
        <v>2.3731502354611322</v>
      </c>
    </row>
    <row r="18" spans="1:8" ht="14.1" customHeight="1" x14ac:dyDescent="0.2">
      <c r="A18" s="19" t="s">
        <v>116</v>
      </c>
      <c r="B18" s="20">
        <f>'- 29 -'!$D18</f>
        <v>7665667</v>
      </c>
      <c r="C18" s="20">
        <v>4906</v>
      </c>
      <c r="D18" s="20">
        <f t="shared" ca="1" si="0"/>
        <v>1562.5085609457806</v>
      </c>
      <c r="E18" s="20">
        <v>1670000</v>
      </c>
      <c r="F18" s="362">
        <f t="shared" ca="1" si="1"/>
        <v>4.5902197604790418</v>
      </c>
      <c r="G18" s="20">
        <v>1113000</v>
      </c>
      <c r="H18" s="362">
        <f t="shared" ca="1" si="2"/>
        <v>6.8873917340521116</v>
      </c>
    </row>
    <row r="19" spans="1:8" ht="14.1" customHeight="1" x14ac:dyDescent="0.2">
      <c r="A19" s="284" t="s">
        <v>117</v>
      </c>
      <c r="B19" s="285">
        <f>'- 29 -'!$D19</f>
        <v>2727437</v>
      </c>
      <c r="C19" s="285">
        <v>2777</v>
      </c>
      <c r="D19" s="285">
        <f t="shared" ca="1" si="0"/>
        <v>982.15232265034206</v>
      </c>
      <c r="E19" s="285">
        <v>803821</v>
      </c>
      <c r="F19" s="361">
        <f t="shared" ca="1" si="1"/>
        <v>3.3930900038690206</v>
      </c>
      <c r="G19" s="285">
        <v>471686</v>
      </c>
      <c r="H19" s="361">
        <f t="shared" ca="1" si="2"/>
        <v>5.7823149298473986</v>
      </c>
    </row>
    <row r="20" spans="1:8" ht="14.1" customHeight="1" x14ac:dyDescent="0.2">
      <c r="A20" s="19" t="s">
        <v>118</v>
      </c>
      <c r="B20" s="20">
        <f>'- 29 -'!$D20</f>
        <v>3159064</v>
      </c>
      <c r="C20" s="20">
        <v>5183</v>
      </c>
      <c r="D20" s="20">
        <f t="shared" ca="1" si="0"/>
        <v>609.5049199305422</v>
      </c>
      <c r="E20" s="20">
        <v>1380707</v>
      </c>
      <c r="F20" s="362">
        <f t="shared" ca="1" si="1"/>
        <v>2.2880046237181384</v>
      </c>
      <c r="G20" s="20">
        <v>823204</v>
      </c>
      <c r="H20" s="362">
        <f t="shared" ca="1" si="2"/>
        <v>3.8375226553806834</v>
      </c>
    </row>
    <row r="21" spans="1:8" ht="14.1" customHeight="1" x14ac:dyDescent="0.2">
      <c r="A21" s="284" t="s">
        <v>119</v>
      </c>
      <c r="B21" s="285">
        <f>'- 29 -'!$D21</f>
        <v>1895509</v>
      </c>
      <c r="C21" s="285">
        <v>1444</v>
      </c>
      <c r="D21" s="285">
        <f t="shared" ca="1" si="0"/>
        <v>1312.6793628808864</v>
      </c>
      <c r="E21" s="285">
        <v>879024</v>
      </c>
      <c r="F21" s="361">
        <f t="shared" ca="1" si="1"/>
        <v>2.1563791204790768</v>
      </c>
      <c r="G21" s="285">
        <v>491982</v>
      </c>
      <c r="H21" s="361">
        <f t="shared" ca="1" si="2"/>
        <v>3.8528015252590544</v>
      </c>
    </row>
    <row r="22" spans="1:8" ht="14.1" customHeight="1" x14ac:dyDescent="0.2">
      <c r="A22" s="19" t="s">
        <v>120</v>
      </c>
      <c r="B22" s="20">
        <f>'- 29 -'!$D22</f>
        <v>384704</v>
      </c>
      <c r="C22" s="20">
        <v>478</v>
      </c>
      <c r="D22" s="20">
        <f t="shared" ca="1" si="0"/>
        <v>804.82008368200832</v>
      </c>
      <c r="E22" s="20">
        <v>186810</v>
      </c>
      <c r="F22" s="362">
        <f t="shared" ca="1" si="1"/>
        <v>2.059333012151384</v>
      </c>
      <c r="G22" s="20">
        <v>120900</v>
      </c>
      <c r="H22" s="362">
        <f t="shared" ca="1" si="2"/>
        <v>3.1820016542597189</v>
      </c>
    </row>
    <row r="23" spans="1:8" ht="14.1" customHeight="1" x14ac:dyDescent="0.2">
      <c r="A23" s="284" t="s">
        <v>121</v>
      </c>
      <c r="B23" s="285">
        <f>'- 29 -'!$D23</f>
        <v>1525816</v>
      </c>
      <c r="C23" s="285">
        <v>742</v>
      </c>
      <c r="D23" s="285">
        <f t="shared" ca="1" si="0"/>
        <v>2056.355795148248</v>
      </c>
      <c r="E23" s="285">
        <v>948680</v>
      </c>
      <c r="F23" s="361">
        <f t="shared" ca="1" si="1"/>
        <v>1.6083568748155332</v>
      </c>
      <c r="G23" s="285">
        <v>536870</v>
      </c>
      <c r="H23" s="361">
        <f t="shared" ca="1" si="2"/>
        <v>2.8420585989159388</v>
      </c>
    </row>
    <row r="24" spans="1:8" ht="14.1" customHeight="1" x14ac:dyDescent="0.2">
      <c r="A24" s="19" t="s">
        <v>122</v>
      </c>
      <c r="B24" s="20">
        <f>'- 29 -'!$D24</f>
        <v>2324091</v>
      </c>
      <c r="C24" s="20">
        <v>2701</v>
      </c>
      <c r="D24" s="20">
        <f t="shared" ca="1" si="0"/>
        <v>860.45575712698997</v>
      </c>
      <c r="E24" s="20">
        <v>975018</v>
      </c>
      <c r="F24" s="362">
        <f t="shared" ca="1" si="1"/>
        <v>2.3836390712786839</v>
      </c>
      <c r="G24" s="20">
        <v>633930</v>
      </c>
      <c r="H24" s="362">
        <f t="shared" ca="1" si="2"/>
        <v>3.6661634565330559</v>
      </c>
    </row>
    <row r="25" spans="1:8" ht="14.1" customHeight="1" x14ac:dyDescent="0.2">
      <c r="A25" s="284" t="s">
        <v>123</v>
      </c>
      <c r="B25" s="285">
        <f>'- 29 -'!$D25</f>
        <v>4011184</v>
      </c>
      <c r="C25" s="285">
        <v>2743</v>
      </c>
      <c r="D25" s="285">
        <f t="shared" ca="1" si="0"/>
        <v>1462.3346700692673</v>
      </c>
      <c r="E25" s="285">
        <v>910246</v>
      </c>
      <c r="F25" s="361">
        <f t="shared" ca="1" si="1"/>
        <v>4.4067032428596224</v>
      </c>
      <c r="G25" s="285">
        <v>436857</v>
      </c>
      <c r="H25" s="361">
        <f t="shared" ca="1" si="2"/>
        <v>9.1819153636086863</v>
      </c>
    </row>
    <row r="26" spans="1:8" ht="14.1" customHeight="1" x14ac:dyDescent="0.2">
      <c r="A26" s="19" t="s">
        <v>124</v>
      </c>
      <c r="B26" s="20">
        <f>'- 29 -'!$D26</f>
        <v>2743067</v>
      </c>
      <c r="C26" s="20">
        <v>1605</v>
      </c>
      <c r="D26" s="20">
        <f t="shared" ca="1" si="0"/>
        <v>1709.0760124610592</v>
      </c>
      <c r="E26" s="20">
        <v>1289672</v>
      </c>
      <c r="F26" s="362">
        <f t="shared" ca="1" si="1"/>
        <v>2.1269493328536249</v>
      </c>
      <c r="G26" s="20">
        <v>1006363</v>
      </c>
      <c r="H26" s="362">
        <f t="shared" ca="1" si="2"/>
        <v>2.7257232231312161</v>
      </c>
    </row>
    <row r="27" spans="1:8" ht="14.1" customHeight="1" x14ac:dyDescent="0.2">
      <c r="A27" s="284" t="s">
        <v>125</v>
      </c>
      <c r="B27" s="285">
        <f>'- 29 -'!$D27</f>
        <v>0</v>
      </c>
      <c r="C27" s="285">
        <v>0</v>
      </c>
      <c r="D27" s="285" t="str">
        <f ca="1">IF(AND(CELL("type",C27)="v",C27&gt;0),B27/C27,"")</f>
        <v/>
      </c>
      <c r="E27" s="285">
        <v>0</v>
      </c>
      <c r="F27" s="361" t="str">
        <f ca="1">IF(AND(CELL("type",E27)="v",E27&gt;0),B27/E27,"")</f>
        <v/>
      </c>
      <c r="G27" s="285">
        <v>0</v>
      </c>
      <c r="H27" s="361" t="str">
        <f ca="1">IF(AND(CELL("type",G27)="v",G27&gt;0),B27/G27,"")</f>
        <v/>
      </c>
    </row>
    <row r="28" spans="1:8" ht="14.1" customHeight="1" x14ac:dyDescent="0.2">
      <c r="A28" s="19" t="s">
        <v>126</v>
      </c>
      <c r="B28" s="20">
        <f>'- 29 -'!$D28</f>
        <v>1843707</v>
      </c>
      <c r="C28" s="20">
        <v>811</v>
      </c>
      <c r="D28" s="20">
        <f t="shared" ca="1" si="0"/>
        <v>2273.3748458692971</v>
      </c>
      <c r="E28" s="20">
        <v>1199725</v>
      </c>
      <c r="F28" s="362">
        <f t="shared" ca="1" si="1"/>
        <v>1.5367746775302673</v>
      </c>
      <c r="G28" s="20">
        <v>742960</v>
      </c>
      <c r="H28" s="362">
        <f t="shared" ca="1" si="2"/>
        <v>2.4815696672768386</v>
      </c>
    </row>
    <row r="29" spans="1:8" ht="14.1" customHeight="1" x14ac:dyDescent="0.2">
      <c r="A29" s="284" t="s">
        <v>127</v>
      </c>
      <c r="B29" s="285">
        <f>'- 29 -'!$D29</f>
        <v>2864865</v>
      </c>
      <c r="C29" s="285">
        <v>2783</v>
      </c>
      <c r="D29" s="285">
        <f t="shared" ca="1" si="0"/>
        <v>1029.4160977362558</v>
      </c>
      <c r="E29" s="285">
        <v>583390</v>
      </c>
      <c r="F29" s="361">
        <f t="shared" ca="1" si="1"/>
        <v>4.9107201014758566</v>
      </c>
      <c r="G29" s="285">
        <v>334020</v>
      </c>
      <c r="H29" s="361">
        <f t="shared" ca="1" si="2"/>
        <v>8.5769265313454284</v>
      </c>
    </row>
    <row r="30" spans="1:8" ht="14.1" customHeight="1" x14ac:dyDescent="0.2">
      <c r="A30" s="19" t="s">
        <v>128</v>
      </c>
      <c r="B30" s="20">
        <f>'- 29 -'!$D30</f>
        <v>1089070</v>
      </c>
      <c r="C30" s="20">
        <v>577</v>
      </c>
      <c r="D30" s="20">
        <f t="shared" ca="1" si="0"/>
        <v>1887.469670710572</v>
      </c>
      <c r="E30" s="20">
        <v>697302</v>
      </c>
      <c r="F30" s="362">
        <f t="shared" ca="1" si="1"/>
        <v>1.5618340403440689</v>
      </c>
      <c r="G30" s="20">
        <v>418043</v>
      </c>
      <c r="H30" s="362">
        <f t="shared" ca="1" si="2"/>
        <v>2.6051626268111177</v>
      </c>
    </row>
    <row r="31" spans="1:8" ht="14.1" customHeight="1" x14ac:dyDescent="0.2">
      <c r="A31" s="284" t="s">
        <v>129</v>
      </c>
      <c r="B31" s="285">
        <f>'- 29 -'!$D31</f>
        <v>1035687</v>
      </c>
      <c r="C31" s="285">
        <v>1137</v>
      </c>
      <c r="D31" s="285">
        <f t="shared" ca="1" si="0"/>
        <v>910.89445910290237</v>
      </c>
      <c r="E31" s="285">
        <v>604142</v>
      </c>
      <c r="F31" s="361">
        <f t="shared" ca="1" si="1"/>
        <v>1.7143105428856129</v>
      </c>
      <c r="G31" s="285">
        <v>391358</v>
      </c>
      <c r="H31" s="361">
        <f t="shared" ca="1" si="2"/>
        <v>2.6463928168071176</v>
      </c>
    </row>
    <row r="32" spans="1:8" ht="14.1" customHeight="1" x14ac:dyDescent="0.2">
      <c r="A32" s="19" t="s">
        <v>130</v>
      </c>
      <c r="B32" s="20">
        <f>'- 29 -'!$D32</f>
        <v>1948344</v>
      </c>
      <c r="C32" s="20">
        <v>1514</v>
      </c>
      <c r="D32" s="20">
        <f t="shared" ca="1" si="0"/>
        <v>1286.885072655218</v>
      </c>
      <c r="E32" s="20">
        <v>1126687</v>
      </c>
      <c r="F32" s="362">
        <f t="shared" ca="1" si="1"/>
        <v>1.7292681995975812</v>
      </c>
      <c r="G32" s="20">
        <v>744496</v>
      </c>
      <c r="H32" s="362">
        <f t="shared" ca="1" si="2"/>
        <v>2.6169972706367797</v>
      </c>
    </row>
    <row r="33" spans="1:8" ht="14.1" customHeight="1" x14ac:dyDescent="0.2">
      <c r="A33" s="284" t="s">
        <v>131</v>
      </c>
      <c r="B33" s="285">
        <f>'- 29 -'!$D33</f>
        <v>2289859</v>
      </c>
      <c r="C33" s="285">
        <v>1141</v>
      </c>
      <c r="D33" s="285">
        <f t="shared" ca="1" si="0"/>
        <v>2006.8878177037686</v>
      </c>
      <c r="E33" s="285">
        <v>1444850</v>
      </c>
      <c r="F33" s="361">
        <f t="shared" ca="1" si="1"/>
        <v>1.5848420251237152</v>
      </c>
      <c r="G33" s="285">
        <v>890590</v>
      </c>
      <c r="H33" s="361">
        <f t="shared" ca="1" si="2"/>
        <v>2.5711707968874564</v>
      </c>
    </row>
    <row r="34" spans="1:8" ht="14.1" customHeight="1" x14ac:dyDescent="0.2">
      <c r="A34" s="19" t="s">
        <v>132</v>
      </c>
      <c r="B34" s="20">
        <f>'- 29 -'!$D34</f>
        <v>2488688</v>
      </c>
      <c r="C34" s="20">
        <v>1526</v>
      </c>
      <c r="D34" s="20">
        <f t="shared" ca="1" si="0"/>
        <v>1630.8571428571429</v>
      </c>
      <c r="E34" s="20">
        <v>1498851</v>
      </c>
      <c r="F34" s="362">
        <f t="shared" ca="1" si="1"/>
        <v>1.6603971975866847</v>
      </c>
      <c r="G34" s="20">
        <v>963399</v>
      </c>
      <c r="H34" s="362">
        <f t="shared" ca="1" si="2"/>
        <v>2.5832370596191194</v>
      </c>
    </row>
    <row r="35" spans="1:8" ht="14.1" customHeight="1" x14ac:dyDescent="0.2">
      <c r="A35" s="284" t="s">
        <v>133</v>
      </c>
      <c r="B35" s="285">
        <f>'- 29 -'!$D35</f>
        <v>4282909</v>
      </c>
      <c r="C35" s="285">
        <v>3931</v>
      </c>
      <c r="D35" s="285">
        <f t="shared" ca="1" si="0"/>
        <v>1089.5214958025947</v>
      </c>
      <c r="E35" s="285">
        <v>970406</v>
      </c>
      <c r="F35" s="361">
        <f t="shared" ca="1" si="1"/>
        <v>4.4135227935523895</v>
      </c>
      <c r="G35" s="285">
        <v>496820</v>
      </c>
      <c r="H35" s="361">
        <f t="shared" ca="1" si="2"/>
        <v>8.6206453041342943</v>
      </c>
    </row>
    <row r="36" spans="1:8" ht="14.1" customHeight="1" x14ac:dyDescent="0.2">
      <c r="A36" s="19" t="s">
        <v>134</v>
      </c>
      <c r="B36" s="20">
        <f>'- 29 -'!$D36</f>
        <v>1585898</v>
      </c>
      <c r="C36" s="20">
        <v>922</v>
      </c>
      <c r="D36" s="20">
        <f t="shared" ca="1" si="0"/>
        <v>1720.062906724512</v>
      </c>
      <c r="E36" s="20">
        <v>822880</v>
      </c>
      <c r="F36" s="362">
        <f t="shared" ca="1" si="1"/>
        <v>1.9272530624149329</v>
      </c>
      <c r="G36" s="20">
        <v>520960</v>
      </c>
      <c r="H36" s="362">
        <f t="shared" ca="1" si="2"/>
        <v>3.0441838144963147</v>
      </c>
    </row>
    <row r="37" spans="1:8" ht="14.1" customHeight="1" x14ac:dyDescent="0.2">
      <c r="A37" s="284" t="s">
        <v>135</v>
      </c>
      <c r="B37" s="285">
        <f>'- 29 -'!$D37</f>
        <v>3094267</v>
      </c>
      <c r="C37" s="285">
        <v>3003</v>
      </c>
      <c r="D37" s="285">
        <f t="shared" ca="1" si="0"/>
        <v>1030.3919413919414</v>
      </c>
      <c r="E37" s="285">
        <v>1408220</v>
      </c>
      <c r="F37" s="361">
        <f t="shared" ca="1" si="1"/>
        <v>2.1972894860178096</v>
      </c>
      <c r="G37" s="285">
        <v>855440</v>
      </c>
      <c r="H37" s="361">
        <f t="shared" ca="1" si="2"/>
        <v>3.617164266342467</v>
      </c>
    </row>
    <row r="38" spans="1:8" ht="14.1" customHeight="1" x14ac:dyDescent="0.2">
      <c r="A38" s="19" t="s">
        <v>136</v>
      </c>
      <c r="B38" s="20">
        <f>'- 29 -'!$D38</f>
        <v>3330039</v>
      </c>
      <c r="C38" s="20">
        <v>2764</v>
      </c>
      <c r="D38" s="20">
        <f t="shared" ca="1" si="0"/>
        <v>1204.7897973950796</v>
      </c>
      <c r="E38" s="20">
        <v>722610</v>
      </c>
      <c r="F38" s="362">
        <f t="shared" ca="1" si="1"/>
        <v>4.6083489018972887</v>
      </c>
      <c r="G38" s="20">
        <v>396640</v>
      </c>
      <c r="H38" s="362">
        <f t="shared" ca="1" si="2"/>
        <v>8.3956207139975803</v>
      </c>
    </row>
    <row r="39" spans="1:8" ht="14.1" customHeight="1" x14ac:dyDescent="0.2">
      <c r="A39" s="284" t="s">
        <v>137</v>
      </c>
      <c r="B39" s="285">
        <f>'- 29 -'!$D39</f>
        <v>1959923</v>
      </c>
      <c r="C39" s="285">
        <v>767</v>
      </c>
      <c r="D39" s="285">
        <f t="shared" ca="1" si="0"/>
        <v>2555.3102998696218</v>
      </c>
      <c r="E39" s="285">
        <v>1097028</v>
      </c>
      <c r="F39" s="361">
        <f t="shared" ca="1" si="1"/>
        <v>1.7865751831311507</v>
      </c>
      <c r="G39" s="285">
        <v>659556</v>
      </c>
      <c r="H39" s="361">
        <f t="shared" ca="1" si="2"/>
        <v>2.9715793655125569</v>
      </c>
    </row>
    <row r="40" spans="1:8" ht="14.1" customHeight="1" x14ac:dyDescent="0.2">
      <c r="A40" s="19" t="s">
        <v>138</v>
      </c>
      <c r="B40" s="20">
        <f>'- 29 -'!$D40</f>
        <v>2731290</v>
      </c>
      <c r="C40" s="20">
        <v>1805</v>
      </c>
      <c r="D40" s="20">
        <f t="shared" ca="1" si="0"/>
        <v>1513.180055401662</v>
      </c>
      <c r="E40" s="20">
        <v>625295</v>
      </c>
      <c r="F40" s="362">
        <f t="shared" ca="1" si="1"/>
        <v>4.368002302913025</v>
      </c>
      <c r="G40" s="20">
        <v>401976</v>
      </c>
      <c r="H40" s="362">
        <f t="shared" ca="1" si="2"/>
        <v>6.7946593826497104</v>
      </c>
    </row>
    <row r="41" spans="1:8" ht="14.1" customHeight="1" x14ac:dyDescent="0.2">
      <c r="A41" s="284" t="s">
        <v>139</v>
      </c>
      <c r="B41" s="285">
        <f>'- 29 -'!$D41</f>
        <v>4549692</v>
      </c>
      <c r="C41" s="285">
        <v>3677</v>
      </c>
      <c r="D41" s="285">
        <f t="shared" ca="1" si="0"/>
        <v>1237.3380473211857</v>
      </c>
      <c r="E41" s="285">
        <v>2170210</v>
      </c>
      <c r="F41" s="361">
        <f t="shared" ca="1" si="1"/>
        <v>2.0964293778021483</v>
      </c>
      <c r="G41" s="285">
        <v>1564340</v>
      </c>
      <c r="H41" s="361">
        <f t="shared" ca="1" si="2"/>
        <v>2.9083779740977027</v>
      </c>
    </row>
    <row r="42" spans="1:8" ht="14.1" customHeight="1" x14ac:dyDescent="0.2">
      <c r="A42" s="19" t="s">
        <v>140</v>
      </c>
      <c r="B42" s="20">
        <f>'- 29 -'!$D42</f>
        <v>1459035</v>
      </c>
      <c r="C42" s="20">
        <v>1279</v>
      </c>
      <c r="D42" s="20">
        <f t="shared" ca="1" si="0"/>
        <v>1140.7623143080532</v>
      </c>
      <c r="E42" s="20">
        <v>777437</v>
      </c>
      <c r="F42" s="362">
        <f t="shared" ca="1" si="1"/>
        <v>1.8767244162549506</v>
      </c>
      <c r="G42" s="20">
        <v>660137</v>
      </c>
      <c r="H42" s="362">
        <f t="shared" ca="1" si="2"/>
        <v>2.2102003069059908</v>
      </c>
    </row>
    <row r="43" spans="1:8" ht="14.1" customHeight="1" x14ac:dyDescent="0.2">
      <c r="A43" s="284" t="s">
        <v>141</v>
      </c>
      <c r="B43" s="285">
        <f>'- 29 -'!$D43</f>
        <v>1161683</v>
      </c>
      <c r="C43" s="285">
        <v>514</v>
      </c>
      <c r="D43" s="285">
        <f t="shared" ca="1" si="0"/>
        <v>2260.0836575875487</v>
      </c>
      <c r="E43" s="285">
        <v>595404</v>
      </c>
      <c r="F43" s="361">
        <f t="shared" ca="1" si="1"/>
        <v>1.9510836339695401</v>
      </c>
      <c r="G43" s="285">
        <v>382608</v>
      </c>
      <c r="H43" s="361">
        <f t="shared" ca="1" si="2"/>
        <v>3.0362224522226402</v>
      </c>
    </row>
    <row r="44" spans="1:8" ht="14.1" customHeight="1" x14ac:dyDescent="0.2">
      <c r="A44" s="19" t="s">
        <v>142</v>
      </c>
      <c r="B44" s="20">
        <f>'- 29 -'!$D44</f>
        <v>1080159</v>
      </c>
      <c r="C44" s="20">
        <v>537</v>
      </c>
      <c r="D44" s="20">
        <f t="shared" ca="1" si="0"/>
        <v>2011.4692737430169</v>
      </c>
      <c r="E44" s="20">
        <v>705590</v>
      </c>
      <c r="F44" s="362">
        <f t="shared" ca="1" si="1"/>
        <v>1.5308592808855002</v>
      </c>
      <c r="G44" s="20">
        <v>502275</v>
      </c>
      <c r="H44" s="362">
        <f t="shared" ca="1" si="2"/>
        <v>2.150533074510975</v>
      </c>
    </row>
    <row r="45" spans="1:8" ht="14.1" customHeight="1" x14ac:dyDescent="0.2">
      <c r="A45" s="284" t="s">
        <v>143</v>
      </c>
      <c r="B45" s="285">
        <f>'- 29 -'!$D45</f>
        <v>734327</v>
      </c>
      <c r="C45" s="285">
        <v>1113</v>
      </c>
      <c r="D45" s="285">
        <f t="shared" ca="1" si="0"/>
        <v>659.77268643306377</v>
      </c>
      <c r="E45" s="285">
        <v>269915</v>
      </c>
      <c r="F45" s="361">
        <f t="shared" ca="1" si="1"/>
        <v>2.7205861104421762</v>
      </c>
      <c r="G45" s="285">
        <v>162615</v>
      </c>
      <c r="H45" s="361">
        <f t="shared" ca="1" si="2"/>
        <v>4.5157396304153981</v>
      </c>
    </row>
    <row r="46" spans="1:8" ht="14.1" customHeight="1" x14ac:dyDescent="0.2">
      <c r="A46" s="19" t="s">
        <v>144</v>
      </c>
      <c r="B46" s="20">
        <f>'- 29 -'!$D46</f>
        <v>6077627</v>
      </c>
      <c r="C46" s="20">
        <v>2123</v>
      </c>
      <c r="D46" s="20">
        <f t="shared" ca="1" si="0"/>
        <v>2862.7541215261422</v>
      </c>
      <c r="E46" s="20">
        <v>955266</v>
      </c>
      <c r="F46" s="362">
        <f t="shared" ca="1" si="1"/>
        <v>6.3622352308152914</v>
      </c>
      <c r="G46" s="20">
        <v>602160</v>
      </c>
      <c r="H46" s="362">
        <f t="shared" ca="1" si="2"/>
        <v>10.093043377175501</v>
      </c>
    </row>
    <row r="47" spans="1:8" ht="5.0999999999999996" customHeight="1" x14ac:dyDescent="0.2">
      <c r="A47"/>
      <c r="B47" s="22"/>
      <c r="C47" s="367"/>
      <c r="D47" s="22"/>
      <c r="E47" s="367"/>
      <c r="F47" s="364"/>
      <c r="G47" s="367"/>
      <c r="H47" s="364"/>
    </row>
    <row r="48" spans="1:8" ht="14.1" customHeight="1" x14ac:dyDescent="0.2">
      <c r="A48" s="286" t="s">
        <v>145</v>
      </c>
      <c r="B48" s="287">
        <f>SUM(B11:B46)</f>
        <v>88986411</v>
      </c>
      <c r="C48" s="287">
        <f>SUM(C11:C46)</f>
        <v>66934</v>
      </c>
      <c r="D48" s="287">
        <f>B48/C48</f>
        <v>1329.4650103086622</v>
      </c>
      <c r="E48" s="287">
        <f>SUM(E11:E46)</f>
        <v>34910107.5</v>
      </c>
      <c r="F48" s="365">
        <f>B48/E48</f>
        <v>2.549015668313253</v>
      </c>
      <c r="G48" s="287">
        <f>SUM(G11:G46)</f>
        <v>21829615.5</v>
      </c>
      <c r="H48" s="365">
        <f>B48/G48</f>
        <v>4.076407621563467</v>
      </c>
    </row>
    <row r="49" spans="1:8" ht="5.0999999999999996" customHeight="1" x14ac:dyDescent="0.2">
      <c r="A49" s="21" t="s">
        <v>7</v>
      </c>
      <c r="B49" s="22"/>
      <c r="C49" s="367"/>
      <c r="D49" s="22"/>
      <c r="E49" s="367"/>
      <c r="F49" s="364"/>
      <c r="G49" s="367"/>
      <c r="H49" s="364"/>
    </row>
    <row r="50" spans="1:8" ht="14.1" customHeight="1" x14ac:dyDescent="0.2">
      <c r="A50" s="19" t="s">
        <v>146</v>
      </c>
      <c r="B50" s="20">
        <f>'- 29 -'!$D50</f>
        <v>0</v>
      </c>
      <c r="C50" s="37" t="s">
        <v>95</v>
      </c>
      <c r="D50" s="20" t="str">
        <f ca="1">IF(AND(CELL("type",C50)="v",C50&gt;0),B50/C50,"")</f>
        <v/>
      </c>
      <c r="E50" s="37" t="s">
        <v>95</v>
      </c>
      <c r="F50" s="362" t="str">
        <f ca="1">IF(AND(CELL("type",E50)="v",E50&gt;0),B50/E50,"")</f>
        <v/>
      </c>
      <c r="G50" s="37" t="s">
        <v>95</v>
      </c>
      <c r="H50" s="362" t="str">
        <f ca="1">IF(AND(CELL("type",G50)="v",G50&gt;0),B50/G50,"")</f>
        <v/>
      </c>
    </row>
    <row r="51" spans="1:8" ht="14.1" customHeight="1" x14ac:dyDescent="0.2">
      <c r="A51" s="284" t="s">
        <v>601</v>
      </c>
      <c r="B51" s="285">
        <f>'- 29 -'!$D51</f>
        <v>0</v>
      </c>
      <c r="C51" s="285">
        <v>0</v>
      </c>
      <c r="D51" s="285" t="str">
        <f ca="1">IF(AND(CELL("type",C51)="v",C51&gt;0),B51/C51,"")</f>
        <v/>
      </c>
      <c r="E51" s="285">
        <v>0</v>
      </c>
      <c r="F51" s="361" t="str">
        <f ca="1">IF(AND(CELL("type",E51)="v",E51&gt;0),B51/E51,"")</f>
        <v/>
      </c>
      <c r="G51" s="285">
        <v>0</v>
      </c>
      <c r="H51" s="361" t="str">
        <f ca="1">IF(AND(CELL("type",G51)="v",G51&gt;0),B51/G51,"")</f>
        <v/>
      </c>
    </row>
    <row r="52" spans="1:8" ht="50.1" customHeight="1" x14ac:dyDescent="0.2"/>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E52"/>
  <sheetViews>
    <sheetView showGridLines="0" showZeros="0" workbookViewId="0"/>
  </sheetViews>
  <sheetFormatPr defaultColWidth="15.83203125" defaultRowHeight="12" x14ac:dyDescent="0.2"/>
  <cols>
    <col min="1" max="1" width="32.83203125" style="2" customWidth="1"/>
    <col min="2" max="2" width="22.83203125" style="2" customWidth="1"/>
    <col min="3" max="3" width="19.83203125" style="2" customWidth="1"/>
    <col min="4" max="4" width="15.83203125" style="2"/>
    <col min="5" max="5" width="41.83203125" style="2" customWidth="1"/>
    <col min="6" max="16384" width="15.83203125" style="2"/>
  </cols>
  <sheetData>
    <row r="1" spans="1:5" ht="6.95" customHeight="1" x14ac:dyDescent="0.2">
      <c r="A1" s="7"/>
      <c r="B1" s="8"/>
      <c r="C1" s="8"/>
      <c r="D1" s="8"/>
      <c r="E1" s="8"/>
    </row>
    <row r="2" spans="1:5" ht="15.95" customHeight="1" x14ac:dyDescent="0.2">
      <c r="A2" s="134"/>
      <c r="B2" s="9" t="s">
        <v>266</v>
      </c>
      <c r="C2" s="10"/>
      <c r="D2" s="10"/>
      <c r="E2" s="160"/>
    </row>
    <row r="3" spans="1:5" ht="15.95" customHeight="1" x14ac:dyDescent="0.2">
      <c r="A3" s="541"/>
      <c r="B3" s="11" t="str">
        <f>OPYEAR</f>
        <v>OPERATING FUND 2018/2019 ACTUAL</v>
      </c>
      <c r="C3" s="12"/>
      <c r="D3" s="12"/>
      <c r="E3" s="161"/>
    </row>
    <row r="4" spans="1:5" ht="15.95" customHeight="1" x14ac:dyDescent="0.2">
      <c r="B4" s="8"/>
      <c r="C4" s="8"/>
      <c r="D4" s="8"/>
      <c r="E4" s="8"/>
    </row>
    <row r="5" spans="1:5" ht="15.95" customHeight="1" x14ac:dyDescent="0.2">
      <c r="B5" s="8"/>
      <c r="C5" s="8"/>
      <c r="D5" s="8"/>
      <c r="E5" s="8"/>
    </row>
    <row r="6" spans="1:5" ht="15.95" customHeight="1" x14ac:dyDescent="0.2">
      <c r="B6" s="649" t="s">
        <v>507</v>
      </c>
      <c r="C6" s="657"/>
      <c r="D6" s="650"/>
    </row>
    <row r="7" spans="1:5" ht="15.95" customHeight="1" x14ac:dyDescent="0.2">
      <c r="B7" s="651"/>
      <c r="C7" s="658"/>
      <c r="D7" s="652"/>
    </row>
    <row r="8" spans="1:5" ht="15.95" customHeight="1" x14ac:dyDescent="0.2">
      <c r="A8" s="67"/>
      <c r="B8" s="162"/>
      <c r="C8" s="703" t="s">
        <v>506</v>
      </c>
      <c r="D8" s="602" t="s">
        <v>505</v>
      </c>
    </row>
    <row r="9" spans="1:5" ht="15.95" customHeight="1" x14ac:dyDescent="0.2">
      <c r="A9" s="35" t="s">
        <v>42</v>
      </c>
      <c r="B9" s="77" t="s">
        <v>43</v>
      </c>
      <c r="C9" s="704"/>
      <c r="D9" s="604"/>
    </row>
    <row r="10" spans="1:5" ht="5.0999999999999996" customHeight="1" x14ac:dyDescent="0.2">
      <c r="A10" s="6"/>
    </row>
    <row r="11" spans="1:5" ht="14.1" customHeight="1" x14ac:dyDescent="0.2">
      <c r="A11" s="284" t="s">
        <v>110</v>
      </c>
      <c r="B11" s="285">
        <f>SUM('- 29 -'!$B11,'- 29 -'!$D11,'- 30 -'!$D11)</f>
        <v>1294253</v>
      </c>
      <c r="C11" s="285">
        <v>677754</v>
      </c>
      <c r="D11" s="361">
        <f ca="1">IF(AND(CELL("type",C11)="v",C11&gt;0),B11/C11,"")</f>
        <v>1.9096205998046489</v>
      </c>
      <c r="E11" s="163"/>
    </row>
    <row r="12" spans="1:5" ht="14.1" customHeight="1" x14ac:dyDescent="0.2">
      <c r="A12" s="19" t="s">
        <v>111</v>
      </c>
      <c r="B12" s="20">
        <f>SUM('- 29 -'!$B12,'- 29 -'!$D12,'- 30 -'!$D12)</f>
        <v>2530572</v>
      </c>
      <c r="C12" s="20">
        <v>1143051</v>
      </c>
      <c r="D12" s="362">
        <f t="shared" ref="D12:D46" ca="1" si="0">IF(AND(CELL("type",C12)="v",C12&gt;0),B12/C12,"")</f>
        <v>2.2138749714579666</v>
      </c>
      <c r="E12" s="163"/>
    </row>
    <row r="13" spans="1:5" ht="14.1" customHeight="1" x14ac:dyDescent="0.2">
      <c r="A13" s="284" t="s">
        <v>112</v>
      </c>
      <c r="B13" s="285">
        <f>SUM('- 29 -'!$B13,'- 29 -'!$D13,'- 30 -'!$D13)</f>
        <v>2449618</v>
      </c>
      <c r="C13" s="285">
        <v>883717</v>
      </c>
      <c r="D13" s="361">
        <f t="shared" ca="1" si="0"/>
        <v>2.7719484857708974</v>
      </c>
      <c r="E13" s="163"/>
    </row>
    <row r="14" spans="1:5" ht="14.1" customHeight="1" x14ac:dyDescent="0.2">
      <c r="A14" s="19" t="s">
        <v>359</v>
      </c>
      <c r="B14" s="20">
        <f>SUM('- 29 -'!$B14,'- 29 -'!$D14,'- 30 -'!$D14)</f>
        <v>9367751</v>
      </c>
      <c r="C14" s="37" t="s">
        <v>95</v>
      </c>
      <c r="D14" s="362" t="str">
        <f t="shared" ca="1" si="0"/>
        <v/>
      </c>
      <c r="E14" s="163"/>
    </row>
    <row r="15" spans="1:5" ht="14.1" customHeight="1" x14ac:dyDescent="0.2">
      <c r="A15" s="284" t="s">
        <v>113</v>
      </c>
      <c r="B15" s="285">
        <f>SUM('- 29 -'!$B15,'- 29 -'!$D15,'- 30 -'!$D15)</f>
        <v>1877565</v>
      </c>
      <c r="C15" s="285">
        <v>942290</v>
      </c>
      <c r="D15" s="361">
        <f t="shared" ca="1" si="0"/>
        <v>1.9925553704273631</v>
      </c>
      <c r="E15" s="163"/>
    </row>
    <row r="16" spans="1:5" ht="14.1" customHeight="1" x14ac:dyDescent="0.2">
      <c r="A16" s="19" t="s">
        <v>114</v>
      </c>
      <c r="B16" s="20">
        <f>SUM('- 29 -'!$B16,'- 29 -'!$D16,'- 30 -'!$D16)</f>
        <v>457980</v>
      </c>
      <c r="C16" s="20">
        <v>60645</v>
      </c>
      <c r="D16" s="362">
        <f t="shared" ca="1" si="0"/>
        <v>7.5518179569626511</v>
      </c>
      <c r="E16" s="163"/>
    </row>
    <row r="17" spans="1:5" ht="14.1" customHeight="1" x14ac:dyDescent="0.2">
      <c r="A17" s="284" t="s">
        <v>115</v>
      </c>
      <c r="B17" s="285">
        <f>SUM('- 29 -'!$B17,'- 29 -'!$D17,'- 30 -'!$D17)</f>
        <v>1509608</v>
      </c>
      <c r="C17" s="285">
        <v>868392.82125000015</v>
      </c>
      <c r="D17" s="361">
        <f t="shared" ca="1" si="0"/>
        <v>1.7383929980294039</v>
      </c>
      <c r="E17" s="163"/>
    </row>
    <row r="18" spans="1:5" ht="14.1" customHeight="1" x14ac:dyDescent="0.2">
      <c r="A18" s="19" t="s">
        <v>116</v>
      </c>
      <c r="B18" s="20">
        <f>SUM('- 29 -'!$B18,'- 29 -'!$D18,'- 30 -'!$D18)</f>
        <v>9170041</v>
      </c>
      <c r="C18" s="20">
        <v>1810000</v>
      </c>
      <c r="D18" s="362">
        <f t="shared" ca="1" si="0"/>
        <v>5.066320994475138</v>
      </c>
      <c r="E18" s="163"/>
    </row>
    <row r="19" spans="1:5" ht="14.1" customHeight="1" x14ac:dyDescent="0.2">
      <c r="A19" s="284" t="s">
        <v>117</v>
      </c>
      <c r="B19" s="285">
        <f>SUM('- 29 -'!$B19,'- 29 -'!$D19,'- 30 -'!$D19)</f>
        <v>3051294</v>
      </c>
      <c r="C19" s="285">
        <v>923300</v>
      </c>
      <c r="D19" s="361">
        <f t="shared" ca="1" si="0"/>
        <v>3.3047698472869058</v>
      </c>
      <c r="E19" s="163"/>
    </row>
    <row r="20" spans="1:5" ht="14.1" customHeight="1" x14ac:dyDescent="0.2">
      <c r="A20" s="19" t="s">
        <v>118</v>
      </c>
      <c r="B20" s="20">
        <f>SUM('- 29 -'!$B20,'- 29 -'!$D20,'- 30 -'!$D20)</f>
        <v>3956368</v>
      </c>
      <c r="C20" s="20">
        <v>1607007</v>
      </c>
      <c r="D20" s="362">
        <f t="shared" ca="1" si="0"/>
        <v>2.4619482055772002</v>
      </c>
      <c r="E20" s="163"/>
    </row>
    <row r="21" spans="1:5" ht="14.1" customHeight="1" x14ac:dyDescent="0.2">
      <c r="A21" s="284" t="s">
        <v>119</v>
      </c>
      <c r="B21" s="285">
        <f>SUM('- 29 -'!$B21,'- 29 -'!$D21,'- 30 -'!$D21)</f>
        <v>2198632</v>
      </c>
      <c r="C21" s="285">
        <v>890396</v>
      </c>
      <c r="D21" s="361">
        <f t="shared" ca="1" si="0"/>
        <v>2.4692743453474635</v>
      </c>
      <c r="E21" s="163"/>
    </row>
    <row r="22" spans="1:5" ht="14.1" customHeight="1" x14ac:dyDescent="0.2">
      <c r="A22" s="19" t="s">
        <v>120</v>
      </c>
      <c r="B22" s="20">
        <f>SUM('- 29 -'!$B22,'- 29 -'!$D22,'- 30 -'!$D22)</f>
        <v>529041</v>
      </c>
      <c r="C22" s="20">
        <v>197792</v>
      </c>
      <c r="D22" s="362">
        <f t="shared" ca="1" si="0"/>
        <v>2.674734064067303</v>
      </c>
      <c r="E22" s="163"/>
    </row>
    <row r="23" spans="1:5" ht="14.1" customHeight="1" x14ac:dyDescent="0.2">
      <c r="A23" s="284" t="s">
        <v>121</v>
      </c>
      <c r="B23" s="285">
        <f>SUM('- 29 -'!$B23,'- 29 -'!$D23,'- 30 -'!$D23)</f>
        <v>1626153</v>
      </c>
      <c r="C23" s="285">
        <v>878143</v>
      </c>
      <c r="D23" s="361">
        <f t="shared" ca="1" si="0"/>
        <v>1.8518088739533312</v>
      </c>
      <c r="E23" s="163"/>
    </row>
    <row r="24" spans="1:5" ht="14.1" customHeight="1" x14ac:dyDescent="0.2">
      <c r="A24" s="19" t="s">
        <v>122</v>
      </c>
      <c r="B24" s="20">
        <f>SUM('- 29 -'!$B24,'- 29 -'!$D24,'- 30 -'!$D24)</f>
        <v>2539778</v>
      </c>
      <c r="C24" s="20">
        <v>976454</v>
      </c>
      <c r="D24" s="362">
        <f t="shared" ca="1" si="0"/>
        <v>2.6010216559100581</v>
      </c>
      <c r="E24" s="163"/>
    </row>
    <row r="25" spans="1:5" ht="14.1" customHeight="1" x14ac:dyDescent="0.2">
      <c r="A25" s="284" t="s">
        <v>123</v>
      </c>
      <c r="B25" s="285">
        <f>SUM('- 29 -'!$B25,'- 29 -'!$D25,'- 30 -'!$D25)</f>
        <v>4533026</v>
      </c>
      <c r="C25" s="285">
        <v>942456</v>
      </c>
      <c r="D25" s="361">
        <f t="shared" ca="1" si="0"/>
        <v>4.8098012002682351</v>
      </c>
      <c r="E25" s="163"/>
    </row>
    <row r="26" spans="1:5" ht="14.1" customHeight="1" x14ac:dyDescent="0.2">
      <c r="A26" s="19" t="s">
        <v>124</v>
      </c>
      <c r="B26" s="20">
        <f>SUM('- 29 -'!$B26,'- 29 -'!$D26,'- 30 -'!$D26)</f>
        <v>3198738</v>
      </c>
      <c r="C26" s="20">
        <v>1329672</v>
      </c>
      <c r="D26" s="362">
        <f t="shared" ca="1" si="0"/>
        <v>2.405659440824504</v>
      </c>
      <c r="E26" s="163"/>
    </row>
    <row r="27" spans="1:5" ht="14.1" customHeight="1" x14ac:dyDescent="0.2">
      <c r="A27" s="284" t="s">
        <v>125</v>
      </c>
      <c r="B27" s="285">
        <f>SUM('- 29 -'!$B27,'- 29 -'!$D27,'- 30 -'!$D27)</f>
        <v>120003</v>
      </c>
      <c r="C27" s="366" t="s">
        <v>95</v>
      </c>
      <c r="D27" s="363" t="str">
        <f t="shared" ca="1" si="0"/>
        <v/>
      </c>
      <c r="E27" s="163"/>
    </row>
    <row r="28" spans="1:5" ht="14.1" customHeight="1" x14ac:dyDescent="0.2">
      <c r="A28" s="19" t="s">
        <v>126</v>
      </c>
      <c r="B28" s="20">
        <f>SUM('- 29 -'!$B28,'- 29 -'!$D28,'- 30 -'!$D28)</f>
        <v>2009408</v>
      </c>
      <c r="C28" s="20">
        <v>1067545</v>
      </c>
      <c r="D28" s="362">
        <f t="shared" ca="1" si="0"/>
        <v>1.882270068240683</v>
      </c>
      <c r="E28" s="163"/>
    </row>
    <row r="29" spans="1:5" ht="14.1" customHeight="1" x14ac:dyDescent="0.2">
      <c r="A29" s="284" t="s">
        <v>127</v>
      </c>
      <c r="B29" s="285">
        <f>SUM('- 29 -'!$B29,'- 29 -'!$D29,'- 30 -'!$D29)</f>
        <v>3554051</v>
      </c>
      <c r="C29" s="285">
        <v>623129</v>
      </c>
      <c r="D29" s="361">
        <f t="shared" ca="1" si="0"/>
        <v>5.7035557645367172</v>
      </c>
      <c r="E29" s="163"/>
    </row>
    <row r="30" spans="1:5" ht="14.1" customHeight="1" x14ac:dyDescent="0.2">
      <c r="A30" s="19" t="s">
        <v>128</v>
      </c>
      <c r="B30" s="20">
        <f>SUM('- 29 -'!$B30,'- 29 -'!$D30,'- 30 -'!$D30)</f>
        <v>1274616</v>
      </c>
      <c r="C30" s="20">
        <v>709824</v>
      </c>
      <c r="D30" s="362">
        <f t="shared" ca="1" si="0"/>
        <v>1.7956789288612389</v>
      </c>
      <c r="E30" s="163"/>
    </row>
    <row r="31" spans="1:5" ht="14.1" customHeight="1" x14ac:dyDescent="0.2">
      <c r="A31" s="284" t="s">
        <v>129</v>
      </c>
      <c r="B31" s="285">
        <f>SUM('- 29 -'!$B31,'- 29 -'!$D31,'- 30 -'!$D31)</f>
        <v>1175262</v>
      </c>
      <c r="C31" s="285">
        <v>563276</v>
      </c>
      <c r="D31" s="361">
        <f t="shared" ca="1" si="0"/>
        <v>2.0864762567551254</v>
      </c>
      <c r="E31" s="163"/>
    </row>
    <row r="32" spans="1:5" ht="14.1" customHeight="1" x14ac:dyDescent="0.2">
      <c r="A32" s="19" t="s">
        <v>130</v>
      </c>
      <c r="B32" s="20">
        <f>SUM('- 29 -'!$B32,'- 29 -'!$D32,'- 30 -'!$D32)</f>
        <v>2208571</v>
      </c>
      <c r="C32" s="20">
        <v>1080773</v>
      </c>
      <c r="D32" s="362">
        <f t="shared" ca="1" si="0"/>
        <v>2.043510524411694</v>
      </c>
      <c r="E32" s="163"/>
    </row>
    <row r="33" spans="1:5" ht="14.1" customHeight="1" x14ac:dyDescent="0.2">
      <c r="A33" s="284" t="s">
        <v>131</v>
      </c>
      <c r="B33" s="285">
        <f>SUM('- 29 -'!$B33,'- 29 -'!$D33,'- 30 -'!$D33)</f>
        <v>2473401</v>
      </c>
      <c r="C33" s="285">
        <v>1483350</v>
      </c>
      <c r="D33" s="361">
        <f t="shared" ca="1" si="0"/>
        <v>1.6674426130043483</v>
      </c>
      <c r="E33" s="163"/>
    </row>
    <row r="34" spans="1:5" ht="14.1" customHeight="1" x14ac:dyDescent="0.2">
      <c r="A34" s="19" t="s">
        <v>132</v>
      </c>
      <c r="B34" s="20">
        <f>SUM('- 29 -'!$B34,'- 29 -'!$D34,'- 30 -'!$D34)</f>
        <v>2837301</v>
      </c>
      <c r="C34" s="20">
        <v>1314663</v>
      </c>
      <c r="D34" s="362">
        <f t="shared" ca="1" si="0"/>
        <v>2.1581964351320453</v>
      </c>
      <c r="E34" s="163"/>
    </row>
    <row r="35" spans="1:5" ht="14.1" customHeight="1" x14ac:dyDescent="0.2">
      <c r="A35" s="284" t="s">
        <v>133</v>
      </c>
      <c r="B35" s="285">
        <f>SUM('- 29 -'!$B35,'- 29 -'!$D35,'- 30 -'!$D35)</f>
        <v>4689333</v>
      </c>
      <c r="C35" s="285">
        <v>1288976</v>
      </c>
      <c r="D35" s="361">
        <f t="shared" ca="1" si="0"/>
        <v>3.6380297228187337</v>
      </c>
      <c r="E35" s="163"/>
    </row>
    <row r="36" spans="1:5" ht="14.1" customHeight="1" x14ac:dyDescent="0.2">
      <c r="A36" s="19" t="s">
        <v>134</v>
      </c>
      <c r="B36" s="20">
        <f>SUM('- 29 -'!$B36,'- 29 -'!$D36,'- 30 -'!$D36)</f>
        <v>1743255</v>
      </c>
      <c r="C36" s="20">
        <v>834195</v>
      </c>
      <c r="D36" s="362">
        <f t="shared" ca="1" si="0"/>
        <v>2.0897452034596227</v>
      </c>
      <c r="E36" s="163"/>
    </row>
    <row r="37" spans="1:5" ht="14.1" customHeight="1" x14ac:dyDescent="0.2">
      <c r="A37" s="284" t="s">
        <v>135</v>
      </c>
      <c r="B37" s="285">
        <f>SUM('- 29 -'!$B37,'- 29 -'!$D37,'- 30 -'!$D37)</f>
        <v>3464058</v>
      </c>
      <c r="C37" s="285">
        <v>1448220</v>
      </c>
      <c r="D37" s="361">
        <f t="shared" ca="1" si="0"/>
        <v>2.3919418320420931</v>
      </c>
      <c r="E37" s="163"/>
    </row>
    <row r="38" spans="1:5" ht="14.1" customHeight="1" x14ac:dyDescent="0.2">
      <c r="A38" s="19" t="s">
        <v>136</v>
      </c>
      <c r="B38" s="20">
        <f>SUM('- 29 -'!$B38,'- 29 -'!$D38,'- 30 -'!$D38)</f>
        <v>4237974</v>
      </c>
      <c r="C38" s="20">
        <v>1168055</v>
      </c>
      <c r="D38" s="362">
        <f t="shared" ca="1" si="0"/>
        <v>3.6282315473158371</v>
      </c>
      <c r="E38" s="163"/>
    </row>
    <row r="39" spans="1:5" ht="14.1" customHeight="1" x14ac:dyDescent="0.2">
      <c r="A39" s="284" t="s">
        <v>137</v>
      </c>
      <c r="B39" s="285">
        <f>SUM('- 29 -'!$B39,'- 29 -'!$D39,'- 30 -'!$D39)</f>
        <v>2065263</v>
      </c>
      <c r="C39" s="285">
        <v>1028273</v>
      </c>
      <c r="D39" s="361">
        <f t="shared" ca="1" si="0"/>
        <v>2.0084773207115232</v>
      </c>
      <c r="E39" s="163"/>
    </row>
    <row r="40" spans="1:5" ht="14.1" customHeight="1" x14ac:dyDescent="0.2">
      <c r="A40" s="19" t="s">
        <v>138</v>
      </c>
      <c r="B40" s="20">
        <f>SUM('- 29 -'!$B40,'- 29 -'!$D40,'- 30 -'!$D40)</f>
        <v>3016447</v>
      </c>
      <c r="C40" s="20">
        <v>893278</v>
      </c>
      <c r="D40" s="362">
        <f t="shared" ca="1" si="0"/>
        <v>3.3768289379118257</v>
      </c>
      <c r="E40" s="163"/>
    </row>
    <row r="41" spans="1:5" ht="14.1" customHeight="1" x14ac:dyDescent="0.2">
      <c r="A41" s="284" t="s">
        <v>139</v>
      </c>
      <c r="B41" s="285">
        <f>SUM('- 29 -'!$B41,'- 29 -'!$D41,'- 30 -'!$D41)</f>
        <v>5220019</v>
      </c>
      <c r="C41" s="285">
        <v>2346792</v>
      </c>
      <c r="D41" s="361">
        <f t="shared" ca="1" si="0"/>
        <v>2.2243211158040421</v>
      </c>
      <c r="E41" s="163"/>
    </row>
    <row r="42" spans="1:5" ht="14.1" customHeight="1" x14ac:dyDescent="0.2">
      <c r="A42" s="19" t="s">
        <v>140</v>
      </c>
      <c r="B42" s="20">
        <f>SUM('- 29 -'!$B42,'- 29 -'!$D42,'- 30 -'!$D42)</f>
        <v>1679087</v>
      </c>
      <c r="C42" s="20">
        <v>706836</v>
      </c>
      <c r="D42" s="362">
        <f t="shared" ca="1" si="0"/>
        <v>2.3754972864992729</v>
      </c>
      <c r="E42" s="163"/>
    </row>
    <row r="43" spans="1:5" ht="14.1" customHeight="1" x14ac:dyDescent="0.2">
      <c r="A43" s="284" t="s">
        <v>141</v>
      </c>
      <c r="B43" s="285">
        <f>SUM('- 29 -'!$B43,'- 29 -'!$D43,'- 30 -'!$D43)</f>
        <v>1313666</v>
      </c>
      <c r="C43" s="285">
        <v>586009</v>
      </c>
      <c r="D43" s="361">
        <f t="shared" ca="1" si="0"/>
        <v>2.2417164241504821</v>
      </c>
      <c r="E43" s="163"/>
    </row>
    <row r="44" spans="1:5" ht="14.1" customHeight="1" x14ac:dyDescent="0.2">
      <c r="A44" s="19" t="s">
        <v>142</v>
      </c>
      <c r="B44" s="20">
        <f>SUM('- 29 -'!$B44,'- 29 -'!$D44,'- 30 -'!$D44)</f>
        <v>1179311</v>
      </c>
      <c r="C44" s="20">
        <v>740425</v>
      </c>
      <c r="D44" s="362">
        <f t="shared" ca="1" si="0"/>
        <v>1.5927487591585914</v>
      </c>
      <c r="E44" s="163"/>
    </row>
    <row r="45" spans="1:5" ht="14.1" customHeight="1" x14ac:dyDescent="0.2">
      <c r="A45" s="284" t="s">
        <v>143</v>
      </c>
      <c r="B45" s="285">
        <f>SUM('- 29 -'!$B45,'- 29 -'!$D45,'- 30 -'!$D45)</f>
        <v>861124</v>
      </c>
      <c r="C45" s="285">
        <v>312471</v>
      </c>
      <c r="D45" s="361">
        <f t="shared" ca="1" si="0"/>
        <v>2.755852543116001</v>
      </c>
      <c r="E45" s="163"/>
    </row>
    <row r="46" spans="1:5" ht="14.1" customHeight="1" x14ac:dyDescent="0.2">
      <c r="A46" s="19" t="s">
        <v>144</v>
      </c>
      <c r="B46" s="20">
        <f>SUM('- 29 -'!$B46,'- 29 -'!$D46,'- 30 -'!$D46)</f>
        <v>7199146</v>
      </c>
      <c r="C46" s="20">
        <v>1331520</v>
      </c>
      <c r="D46" s="362">
        <f t="shared" ca="1" si="0"/>
        <v>5.4067126291756793</v>
      </c>
      <c r="E46" s="163"/>
    </row>
    <row r="47" spans="1:5" ht="5.0999999999999996" customHeight="1" x14ac:dyDescent="0.2">
      <c r="A47"/>
      <c r="B47" s="22"/>
      <c r="C47" s="367"/>
      <c r="D47" s="364"/>
      <c r="E47" s="163"/>
    </row>
    <row r="48" spans="1:5" ht="14.1" customHeight="1" x14ac:dyDescent="0.2">
      <c r="A48" s="286" t="s">
        <v>145</v>
      </c>
      <c r="B48" s="287">
        <f>SUM(B11:B46)</f>
        <v>102611714</v>
      </c>
      <c r="C48" s="287">
        <f>SUM(C11:C46)</f>
        <v>33658679.821249999</v>
      </c>
      <c r="D48" s="365">
        <f>B48/C48</f>
        <v>3.0485959207234665</v>
      </c>
      <c r="E48" s="163"/>
    </row>
    <row r="49" spans="1:5" ht="5.0999999999999996" customHeight="1" x14ac:dyDescent="0.2">
      <c r="A49" s="21" t="s">
        <v>7</v>
      </c>
      <c r="B49" s="22"/>
      <c r="C49" s="367"/>
      <c r="D49" s="364"/>
    </row>
    <row r="50" spans="1:5" ht="14.1" customHeight="1" x14ac:dyDescent="0.2">
      <c r="A50" s="19" t="s">
        <v>146</v>
      </c>
      <c r="B50" s="20">
        <f>SUM('- 29 -'!$B50,'- 29 -'!$D50,'- 30 -'!$D50)</f>
        <v>76279</v>
      </c>
      <c r="C50" s="37" t="s">
        <v>95</v>
      </c>
      <c r="D50" s="362" t="str">
        <f ca="1">IF(AND(CELL("type",C50)="v",C50&gt;0),B50/C50,"")</f>
        <v/>
      </c>
      <c r="E50" s="163"/>
    </row>
    <row r="51" spans="1:5" ht="14.1" customHeight="1" x14ac:dyDescent="0.2">
      <c r="A51" s="284" t="s">
        <v>601</v>
      </c>
      <c r="B51" s="285">
        <f>SUM('- 29 -'!$B51,'- 29 -'!$D51,'- 30 -'!$D51)</f>
        <v>0</v>
      </c>
      <c r="C51" s="285">
        <v>0</v>
      </c>
      <c r="D51" s="361" t="str">
        <f ca="1">IF(AND(CELL("type",C51)="v",C51&gt;0),B51/C51,"")</f>
        <v/>
      </c>
      <c r="E51" s="163"/>
    </row>
    <row r="52" spans="1:5" ht="50.1" customHeight="1" x14ac:dyDescent="0.2"/>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I54"/>
  <sheetViews>
    <sheetView showGridLines="0" showZeros="0" workbookViewId="0"/>
  </sheetViews>
  <sheetFormatPr defaultColWidth="15.83203125" defaultRowHeight="12" x14ac:dyDescent="0.2"/>
  <cols>
    <col min="1" max="1" width="32.83203125" style="2" customWidth="1"/>
    <col min="2" max="2" width="18.83203125" style="2" customWidth="1"/>
    <col min="3" max="3" width="15.83203125" style="2"/>
    <col min="4" max="4" width="15.83203125" style="2" customWidth="1"/>
    <col min="5" max="5" width="15.83203125" style="2"/>
    <col min="6" max="6" width="17.83203125" style="2" customWidth="1"/>
    <col min="7" max="8" width="15.83203125" style="2"/>
    <col min="9" max="9" width="0" style="2" hidden="1" customWidth="1"/>
    <col min="10" max="16384" width="15.83203125" style="2"/>
  </cols>
  <sheetData>
    <row r="1" spans="1:9" ht="6.95" customHeight="1" x14ac:dyDescent="0.2">
      <c r="A1" s="7"/>
      <c r="B1" s="8"/>
      <c r="C1" s="8"/>
      <c r="D1" s="8"/>
      <c r="E1" s="8"/>
      <c r="F1" s="8"/>
    </row>
    <row r="2" spans="1:9" ht="15.95" customHeight="1" x14ac:dyDescent="0.2">
      <c r="A2" s="9" t="s">
        <v>262</v>
      </c>
      <c r="B2" s="143"/>
      <c r="C2" s="158"/>
      <c r="D2" s="10"/>
      <c r="E2" s="10"/>
      <c r="F2" s="10"/>
      <c r="G2" s="10"/>
    </row>
    <row r="3" spans="1:9" ht="15.95" customHeight="1" x14ac:dyDescent="0.2">
      <c r="A3" s="11" t="str">
        <f>OPYEAR</f>
        <v>OPERATING FUND 2018/2019 ACTUAL</v>
      </c>
      <c r="B3" s="11"/>
      <c r="C3" s="159"/>
      <c r="D3" s="12"/>
      <c r="E3" s="12"/>
      <c r="F3" s="12"/>
      <c r="G3" s="12"/>
    </row>
    <row r="4" spans="1:9" ht="15.95" customHeight="1" x14ac:dyDescent="0.2">
      <c r="B4" s="8"/>
      <c r="C4" s="8"/>
      <c r="D4" s="69"/>
      <c r="E4" s="8"/>
      <c r="F4" s="8"/>
    </row>
    <row r="5" spans="1:9" ht="15.95" customHeight="1" x14ac:dyDescent="0.2">
      <c r="B5" s="8"/>
      <c r="C5" s="8"/>
      <c r="D5" s="8"/>
      <c r="E5" s="8"/>
      <c r="F5" s="8"/>
    </row>
    <row r="6" spans="1:9" ht="15.95" customHeight="1" x14ac:dyDescent="0.2">
      <c r="B6" s="368"/>
      <c r="C6" s="369"/>
      <c r="D6" s="370"/>
      <c r="E6" s="371"/>
      <c r="F6" s="709" t="s">
        <v>508</v>
      </c>
      <c r="G6" s="710"/>
    </row>
    <row r="7" spans="1:9" ht="15.95" customHeight="1" x14ac:dyDescent="0.2">
      <c r="B7" s="706" t="s">
        <v>29</v>
      </c>
      <c r="C7" s="707"/>
      <c r="D7" s="707"/>
      <c r="E7" s="708"/>
      <c r="F7" s="711"/>
      <c r="G7" s="712"/>
      <c r="I7" s="4" t="s">
        <v>31</v>
      </c>
    </row>
    <row r="8" spans="1:9" ht="15.95" customHeight="1" x14ac:dyDescent="0.2">
      <c r="A8" s="67"/>
      <c r="B8" s="76" t="s">
        <v>7</v>
      </c>
      <c r="C8" s="602" t="s">
        <v>509</v>
      </c>
      <c r="D8" s="602" t="s">
        <v>510</v>
      </c>
      <c r="E8" s="602" t="s">
        <v>511</v>
      </c>
      <c r="F8" s="76" t="s">
        <v>7</v>
      </c>
      <c r="G8" s="602" t="s">
        <v>512</v>
      </c>
      <c r="I8" s="4" t="s">
        <v>41</v>
      </c>
    </row>
    <row r="9" spans="1:9" ht="15.95" customHeight="1" x14ac:dyDescent="0.2">
      <c r="A9" s="35" t="s">
        <v>42</v>
      </c>
      <c r="B9" s="77" t="s">
        <v>43</v>
      </c>
      <c r="C9" s="609"/>
      <c r="D9" s="604"/>
      <c r="E9" s="604"/>
      <c r="F9" s="77" t="s">
        <v>43</v>
      </c>
      <c r="G9" s="604"/>
      <c r="I9" s="415" t="str">
        <f>+Data!AB9</f>
        <v>Sept. 30 / 18</v>
      </c>
    </row>
    <row r="10" spans="1:9" ht="5.0999999999999996" customHeight="1" x14ac:dyDescent="0.2">
      <c r="A10" s="6"/>
    </row>
    <row r="11" spans="1:9" ht="14.1" customHeight="1" x14ac:dyDescent="0.2">
      <c r="A11" s="284" t="s">
        <v>110</v>
      </c>
      <c r="B11" s="285">
        <f>'- 31 -'!D11</f>
        <v>1599495</v>
      </c>
      <c r="C11" s="285">
        <f>B11/'- 7 -'!E11</f>
        <v>882.23662437948155</v>
      </c>
      <c r="D11" s="361">
        <f>B11/I11</f>
        <v>5.7667513925693576</v>
      </c>
      <c r="E11" s="285">
        <f>I11/'- 7 -'!E11</f>
        <v>152.98676227247657</v>
      </c>
      <c r="F11" s="285">
        <f>'- 31 -'!F11</f>
        <v>151462</v>
      </c>
      <c r="G11" s="361">
        <f>F11/I11</f>
        <v>0.54607466695509532</v>
      </c>
      <c r="I11" s="2">
        <f>+Data!AB11</f>
        <v>277365</v>
      </c>
    </row>
    <row r="12" spans="1:9" ht="14.1" customHeight="1" x14ac:dyDescent="0.2">
      <c r="A12" s="19" t="s">
        <v>111</v>
      </c>
      <c r="B12" s="20">
        <f>'- 31 -'!D12</f>
        <v>2698785</v>
      </c>
      <c r="C12" s="20">
        <f>B12/'- 7 -'!E12</f>
        <v>1269.0191708163466</v>
      </c>
      <c r="D12" s="362">
        <f t="shared" ref="D12:D46" si="0">B12/I12</f>
        <v>6.9137745965789588</v>
      </c>
      <c r="E12" s="20">
        <f>I12/'- 7 -'!E12</f>
        <v>183.54939882539369</v>
      </c>
      <c r="F12" s="20">
        <f>'- 31 -'!F12</f>
        <v>550426</v>
      </c>
      <c r="G12" s="362">
        <f t="shared" ref="G12:G48" si="1">F12/I12</f>
        <v>1.4100868709795593</v>
      </c>
      <c r="I12" s="2">
        <f>+Data!AB12</f>
        <v>390349</v>
      </c>
    </row>
    <row r="13" spans="1:9" ht="14.1" customHeight="1" x14ac:dyDescent="0.2">
      <c r="A13" s="284" t="s">
        <v>112</v>
      </c>
      <c r="B13" s="285">
        <f>'- 31 -'!D13</f>
        <v>6958053</v>
      </c>
      <c r="C13" s="285">
        <f>B13/'- 7 -'!E13</f>
        <v>812.38213660245185</v>
      </c>
      <c r="D13" s="361">
        <f t="shared" si="0"/>
        <v>6.5608215013775926</v>
      </c>
      <c r="E13" s="285">
        <f>I13/'- 7 -'!E13</f>
        <v>123.82323409223585</v>
      </c>
      <c r="F13" s="285">
        <f>'- 31 -'!F13</f>
        <v>652856</v>
      </c>
      <c r="G13" s="361">
        <f t="shared" si="1"/>
        <v>0.61558480254510417</v>
      </c>
      <c r="I13" s="2">
        <f>+Data!AB13</f>
        <v>1060546</v>
      </c>
    </row>
    <row r="14" spans="1:9" ht="14.1" customHeight="1" x14ac:dyDescent="0.2">
      <c r="A14" s="19" t="s">
        <v>359</v>
      </c>
      <c r="B14" s="20">
        <f>'- 31 -'!D14</f>
        <v>8565056</v>
      </c>
      <c r="C14" s="37">
        <f>B14/'- 7 -'!E14</f>
        <v>1583.4823442410798</v>
      </c>
      <c r="D14" s="362">
        <f t="shared" si="0"/>
        <v>8.6798293839438898</v>
      </c>
      <c r="E14" s="37">
        <f>I14/'- 7 -'!E14</f>
        <v>182.43242743575522</v>
      </c>
      <c r="F14" s="37">
        <f>'- 31 -'!F14</f>
        <v>1357761</v>
      </c>
      <c r="G14" s="362">
        <f t="shared" si="1"/>
        <v>1.3759552563547792</v>
      </c>
      <c r="I14" s="2">
        <f>+Data!AB14</f>
        <v>986777</v>
      </c>
    </row>
    <row r="15" spans="1:9" ht="14.1" customHeight="1" x14ac:dyDescent="0.2">
      <c r="A15" s="284" t="s">
        <v>113</v>
      </c>
      <c r="B15" s="285">
        <f>'- 31 -'!D15</f>
        <v>2151808</v>
      </c>
      <c r="C15" s="285">
        <f>B15/'- 7 -'!E15</f>
        <v>1523.5117530444631</v>
      </c>
      <c r="D15" s="361">
        <f t="shared" si="0"/>
        <v>7.38808050704883</v>
      </c>
      <c r="E15" s="285">
        <f>I15/'- 7 -'!E15</f>
        <v>206.21212121212119</v>
      </c>
      <c r="F15" s="285">
        <f>'- 31 -'!F15</f>
        <v>126720</v>
      </c>
      <c r="G15" s="361">
        <f t="shared" si="1"/>
        <v>0.43508415335068362</v>
      </c>
      <c r="I15" s="2">
        <f>+Data!AB15</f>
        <v>291254</v>
      </c>
    </row>
    <row r="16" spans="1:9" ht="14.1" customHeight="1" x14ac:dyDescent="0.2">
      <c r="A16" s="19" t="s">
        <v>114</v>
      </c>
      <c r="B16" s="20">
        <f>'- 31 -'!D16</f>
        <v>1990050</v>
      </c>
      <c r="C16" s="20">
        <f>B16/'- 7 -'!E16</f>
        <v>2201.6262860935944</v>
      </c>
      <c r="D16" s="362">
        <f t="shared" si="0"/>
        <v>9.4879496531502543</v>
      </c>
      <c r="E16" s="20">
        <f>I16/'- 7 -'!E16</f>
        <v>232.04447394623298</v>
      </c>
      <c r="F16" s="20">
        <f>'- 31 -'!F16</f>
        <v>102931</v>
      </c>
      <c r="G16" s="362">
        <f t="shared" si="1"/>
        <v>0.49074352189563519</v>
      </c>
      <c r="I16" s="2">
        <f>+Data!AB16</f>
        <v>209745</v>
      </c>
    </row>
    <row r="17" spans="1:9" ht="14.1" customHeight="1" x14ac:dyDescent="0.2">
      <c r="A17" s="284" t="s">
        <v>115</v>
      </c>
      <c r="B17" s="285">
        <f>'- 31 -'!D17</f>
        <v>1523217</v>
      </c>
      <c r="C17" s="285">
        <f>B17/'- 7 -'!E17</f>
        <v>1063.348957346444</v>
      </c>
      <c r="D17" s="361">
        <f t="shared" si="0"/>
        <v>5.8097473901816672</v>
      </c>
      <c r="E17" s="285">
        <f>I17/'- 7 -'!E17</f>
        <v>183.02843237960366</v>
      </c>
      <c r="F17" s="285">
        <f>'- 31 -'!F17</f>
        <v>60215</v>
      </c>
      <c r="G17" s="361">
        <f t="shared" si="1"/>
        <v>0.22966782743351019</v>
      </c>
      <c r="I17" s="2">
        <f>+Data!AB17</f>
        <v>262183</v>
      </c>
    </row>
    <row r="18" spans="1:9" ht="14.1" customHeight="1" x14ac:dyDescent="0.2">
      <c r="A18" s="19" t="s">
        <v>116</v>
      </c>
      <c r="B18" s="20">
        <f>'- 31 -'!D18</f>
        <v>17331016</v>
      </c>
      <c r="C18" s="20">
        <f>B18/'- 7 -'!E18</f>
        <v>2889.9476404869101</v>
      </c>
      <c r="D18" s="362">
        <f>B18/I18</f>
        <v>11.889794311070375</v>
      </c>
      <c r="E18" s="20">
        <f>I18/'- 7 -'!E18</f>
        <v>243.06119726529931</v>
      </c>
      <c r="F18" s="20">
        <f>'- 31 -'!F18</f>
        <v>2163427</v>
      </c>
      <c r="G18" s="362">
        <f>F18/I18</f>
        <v>1.4842004667825619</v>
      </c>
      <c r="I18" s="2">
        <f>+Data!AB18</f>
        <v>1457638</v>
      </c>
    </row>
    <row r="19" spans="1:9" ht="14.1" customHeight="1" x14ac:dyDescent="0.2">
      <c r="A19" s="284" t="s">
        <v>117</v>
      </c>
      <c r="B19" s="285">
        <f>'- 31 -'!D19</f>
        <v>3851624</v>
      </c>
      <c r="C19" s="285">
        <f>B19/'- 7 -'!E19</f>
        <v>872.49382716049388</v>
      </c>
      <c r="D19" s="361">
        <f t="shared" si="0"/>
        <v>6.0476067855370834</v>
      </c>
      <c r="E19" s="285">
        <f>I19/'- 7 -'!E19</f>
        <v>144.27092535961037</v>
      </c>
      <c r="F19" s="285">
        <f>'- 31 -'!F19</f>
        <v>130968</v>
      </c>
      <c r="G19" s="361">
        <f t="shared" si="1"/>
        <v>0.20563870343736065</v>
      </c>
      <c r="I19" s="2">
        <f>+Data!AB19</f>
        <v>636884</v>
      </c>
    </row>
    <row r="20" spans="1:9" ht="14.1" customHeight="1" x14ac:dyDescent="0.2">
      <c r="A20" s="19" t="s">
        <v>118</v>
      </c>
      <c r="B20" s="20">
        <f>'- 31 -'!D20</f>
        <v>7515750</v>
      </c>
      <c r="C20" s="20">
        <f>B20/'- 7 -'!E20</f>
        <v>953.59385903698535</v>
      </c>
      <c r="D20" s="362">
        <f t="shared" si="0"/>
        <v>7.0809779536461281</v>
      </c>
      <c r="E20" s="20">
        <f>I20/'- 7 -'!E20</f>
        <v>134.6697963585612</v>
      </c>
      <c r="F20" s="20">
        <f>'- 31 -'!F20</f>
        <v>660403</v>
      </c>
      <c r="G20" s="362">
        <f t="shared" si="1"/>
        <v>0.62219992462785001</v>
      </c>
      <c r="I20" s="2">
        <f>+Data!AB20</f>
        <v>1061400</v>
      </c>
    </row>
    <row r="21" spans="1:9" ht="14.1" customHeight="1" x14ac:dyDescent="0.2">
      <c r="A21" s="284" t="s">
        <v>119</v>
      </c>
      <c r="B21" s="285">
        <f>'- 31 -'!D21</f>
        <v>2900627</v>
      </c>
      <c r="C21" s="285">
        <f>B21/'- 7 -'!E21</f>
        <v>1020.7006122879865</v>
      </c>
      <c r="D21" s="361">
        <f t="shared" si="0"/>
        <v>6.3156786580559752</v>
      </c>
      <c r="E21" s="285">
        <f>I21/'- 7 -'!E21</f>
        <v>161.61376592300653</v>
      </c>
      <c r="F21" s="285">
        <f>'- 31 -'!F21</f>
        <v>372886</v>
      </c>
      <c r="G21" s="361">
        <f t="shared" si="1"/>
        <v>0.81190313407682557</v>
      </c>
      <c r="I21" s="2">
        <f>+Data!AB21</f>
        <v>459274</v>
      </c>
    </row>
    <row r="22" spans="1:9" ht="14.1" customHeight="1" x14ac:dyDescent="0.2">
      <c r="A22" s="19" t="s">
        <v>120</v>
      </c>
      <c r="B22" s="20">
        <f>'- 31 -'!D22</f>
        <v>2382487</v>
      </c>
      <c r="C22" s="20">
        <f>B22/'- 7 -'!E22</f>
        <v>1622.2844886286259</v>
      </c>
      <c r="D22" s="362">
        <f t="shared" si="0"/>
        <v>6.9890609232357841</v>
      </c>
      <c r="E22" s="20">
        <f>I22/'- 7 -'!E22</f>
        <v>232.11766308048482</v>
      </c>
      <c r="F22" s="20">
        <f>'- 31 -'!F22</f>
        <v>247191</v>
      </c>
      <c r="G22" s="362">
        <f t="shared" si="1"/>
        <v>0.72513846189950948</v>
      </c>
      <c r="I22" s="2">
        <f>+Data!AB22</f>
        <v>340888</v>
      </c>
    </row>
    <row r="23" spans="1:9" ht="14.1" customHeight="1" x14ac:dyDescent="0.2">
      <c r="A23" s="284" t="s">
        <v>121</v>
      </c>
      <c r="B23" s="285">
        <f>'- 31 -'!D23</f>
        <v>1306260</v>
      </c>
      <c r="C23" s="285">
        <f>B23/'- 7 -'!E23</f>
        <v>1358.5647425897037</v>
      </c>
      <c r="D23" s="361">
        <f t="shared" si="0"/>
        <v>5.6001131803683508</v>
      </c>
      <c r="E23" s="285">
        <f>I23/'- 7 -'!E23</f>
        <v>242.59594383775351</v>
      </c>
      <c r="F23" s="285">
        <f>'- 31 -'!F23</f>
        <v>98802</v>
      </c>
      <c r="G23" s="361">
        <f t="shared" si="1"/>
        <v>0.42357752855232017</v>
      </c>
      <c r="I23" s="2">
        <f>+Data!AB23</f>
        <v>233256</v>
      </c>
    </row>
    <row r="24" spans="1:9" ht="14.1" customHeight="1" x14ac:dyDescent="0.2">
      <c r="A24" s="19" t="s">
        <v>122</v>
      </c>
      <c r="B24" s="20">
        <f>'- 31 -'!D24</f>
        <v>5280263</v>
      </c>
      <c r="C24" s="20">
        <f>B24/'- 7 -'!E24</f>
        <v>1378.8027470231877</v>
      </c>
      <c r="D24" s="362">
        <f t="shared" si="0"/>
        <v>7.4189234947571334</v>
      </c>
      <c r="E24" s="20">
        <f>I24/'- 7 -'!E24</f>
        <v>185.84943597242531</v>
      </c>
      <c r="F24" s="20">
        <f>'- 31 -'!F24</f>
        <v>504574</v>
      </c>
      <c r="G24" s="362">
        <f t="shared" si="1"/>
        <v>0.70894118407427542</v>
      </c>
      <c r="I24" s="2">
        <f>+Data!AB24</f>
        <v>711729</v>
      </c>
    </row>
    <row r="25" spans="1:9" ht="14.1" customHeight="1" x14ac:dyDescent="0.2">
      <c r="A25" s="284" t="s">
        <v>123</v>
      </c>
      <c r="B25" s="285">
        <f>'- 31 -'!D25</f>
        <v>17792407</v>
      </c>
      <c r="C25" s="285">
        <f>B25/'- 7 -'!E25</f>
        <v>1195.589683974277</v>
      </c>
      <c r="D25" s="361">
        <f t="shared" si="0"/>
        <v>7.6716143825681726</v>
      </c>
      <c r="E25" s="285">
        <f>I25/'- 7 -'!E25</f>
        <v>155.84590470174777</v>
      </c>
      <c r="F25" s="285">
        <f>'- 31 -'!F25</f>
        <v>695080</v>
      </c>
      <c r="G25" s="361">
        <f t="shared" si="1"/>
        <v>0.29970007571406643</v>
      </c>
      <c r="I25" s="2">
        <f>+Data!AB25</f>
        <v>2319252</v>
      </c>
    </row>
    <row r="26" spans="1:9" ht="14.1" customHeight="1" x14ac:dyDescent="0.2">
      <c r="A26" s="19" t="s">
        <v>124</v>
      </c>
      <c r="B26" s="20">
        <f>'- 31 -'!D26</f>
        <v>4122288</v>
      </c>
      <c r="C26" s="20">
        <f>B26/'- 7 -'!E26</f>
        <v>1373.6381206264577</v>
      </c>
      <c r="D26" s="362">
        <f t="shared" si="0"/>
        <v>5.3549908223272711</v>
      </c>
      <c r="E26" s="20">
        <f>I26/'- 7 -'!E26</f>
        <v>256.51549483505499</v>
      </c>
      <c r="F26" s="20">
        <f>'- 31 -'!F26</f>
        <v>173774</v>
      </c>
      <c r="G26" s="362">
        <f t="shared" si="1"/>
        <v>0.22573827329849325</v>
      </c>
      <c r="I26" s="2">
        <f>+Data!AB26</f>
        <v>769803</v>
      </c>
    </row>
    <row r="27" spans="1:9" ht="14.1" customHeight="1" x14ac:dyDescent="0.2">
      <c r="A27" s="284" t="s">
        <v>125</v>
      </c>
      <c r="B27" s="285">
        <f>'- 31 -'!D27</f>
        <v>4137636</v>
      </c>
      <c r="C27" s="366">
        <f>B27/'- 7 -'!E27</f>
        <v>1392.5057885951214</v>
      </c>
      <c r="D27" s="363">
        <f t="shared" si="0"/>
        <v>8.8482681487786046</v>
      </c>
      <c r="E27" s="366">
        <f>I27/'- 7 -'!E27</f>
        <v>157.37608367885412</v>
      </c>
      <c r="F27" s="366">
        <f>'- 31 -'!F27</f>
        <v>190328</v>
      </c>
      <c r="G27" s="363">
        <f t="shared" si="1"/>
        <v>0.40701337194009679</v>
      </c>
      <c r="I27" s="2">
        <f>+Data!AB27</f>
        <v>467621</v>
      </c>
    </row>
    <row r="28" spans="1:9" ht="14.1" customHeight="1" x14ac:dyDescent="0.2">
      <c r="A28" s="19" t="s">
        <v>126</v>
      </c>
      <c r="B28" s="20">
        <f>'- 31 -'!D28</f>
        <v>3071155</v>
      </c>
      <c r="C28" s="20">
        <f>B28/'- 7 -'!E28</f>
        <v>1558.9619289340101</v>
      </c>
      <c r="D28" s="362">
        <f t="shared" si="0"/>
        <v>6.928391435487546</v>
      </c>
      <c r="E28" s="20">
        <f>I28/'- 7 -'!E28</f>
        <v>225.01065989847714</v>
      </c>
      <c r="F28" s="20">
        <f>'- 31 -'!F28</f>
        <v>188599</v>
      </c>
      <c r="G28" s="362">
        <f t="shared" si="1"/>
        <v>0.42547110007196498</v>
      </c>
      <c r="I28" s="2">
        <f>+Data!AB28+Data!AC28</f>
        <v>443271</v>
      </c>
    </row>
    <row r="29" spans="1:9" ht="14.1" customHeight="1" x14ac:dyDescent="0.2">
      <c r="A29" s="284" t="s">
        <v>127</v>
      </c>
      <c r="B29" s="285">
        <f>'- 31 -'!D29</f>
        <v>15027047</v>
      </c>
      <c r="C29" s="285">
        <f>B29/'- 7 -'!E29</f>
        <v>1083.2255901964318</v>
      </c>
      <c r="D29" s="361">
        <f t="shared" si="0"/>
        <v>8.1480708105100952</v>
      </c>
      <c r="E29" s="285">
        <f>I29/'- 7 -'!E29</f>
        <v>132.9425842494143</v>
      </c>
      <c r="F29" s="285">
        <f>'- 31 -'!F29</f>
        <v>2337227</v>
      </c>
      <c r="G29" s="361">
        <f t="shared" si="1"/>
        <v>1.2673076151446174</v>
      </c>
      <c r="I29" s="2">
        <f>+Data!AB29</f>
        <v>1844246</v>
      </c>
    </row>
    <row r="30" spans="1:9" ht="14.1" customHeight="1" x14ac:dyDescent="0.2">
      <c r="A30" s="19" t="s">
        <v>128</v>
      </c>
      <c r="B30" s="20">
        <f>'- 31 -'!D30</f>
        <v>1211918</v>
      </c>
      <c r="C30" s="20">
        <f>B30/'- 7 -'!E30</f>
        <v>1184.0918417195896</v>
      </c>
      <c r="D30" s="362">
        <f t="shared" si="0"/>
        <v>5.7786053164858746</v>
      </c>
      <c r="E30" s="20">
        <f>I30/'- 7 -'!E30</f>
        <v>204.90962383976552</v>
      </c>
      <c r="F30" s="20">
        <f>'- 31 -'!F30</f>
        <v>135830</v>
      </c>
      <c r="G30" s="362">
        <f t="shared" si="1"/>
        <v>0.64765764691858385</v>
      </c>
      <c r="I30" s="2">
        <f>+Data!AB30</f>
        <v>209725</v>
      </c>
    </row>
    <row r="31" spans="1:9" ht="14.1" customHeight="1" x14ac:dyDescent="0.2">
      <c r="A31" s="284" t="s">
        <v>129</v>
      </c>
      <c r="B31" s="285">
        <f>'- 31 -'!D31</f>
        <v>3393694</v>
      </c>
      <c r="C31" s="285">
        <f>B31/'- 7 -'!E31</f>
        <v>1015.3160807778609</v>
      </c>
      <c r="D31" s="361">
        <f t="shared" si="0"/>
        <v>5.5937675130049511</v>
      </c>
      <c r="E31" s="285">
        <f>I31/'- 7 -'!E31</f>
        <v>181.50845175766642</v>
      </c>
      <c r="F31" s="285">
        <f>'- 31 -'!F31</f>
        <v>180888</v>
      </c>
      <c r="G31" s="361">
        <f t="shared" si="1"/>
        <v>0.29815458255589328</v>
      </c>
      <c r="I31" s="2">
        <f>+Data!AB31</f>
        <v>606692</v>
      </c>
    </row>
    <row r="32" spans="1:9" ht="14.1" customHeight="1" x14ac:dyDescent="0.2">
      <c r="A32" s="19" t="s">
        <v>130</v>
      </c>
      <c r="B32" s="20">
        <f>'- 31 -'!D32</f>
        <v>2545332</v>
      </c>
      <c r="C32" s="20">
        <f>B32/'- 7 -'!E32</f>
        <v>1143.1987424208398</v>
      </c>
      <c r="D32" s="362">
        <f t="shared" si="0"/>
        <v>6.600553907433147</v>
      </c>
      <c r="E32" s="20">
        <f>I32/'- 7 -'!E32</f>
        <v>173.19739501459691</v>
      </c>
      <c r="F32" s="20">
        <f>'- 31 -'!F32</f>
        <v>336479</v>
      </c>
      <c r="G32" s="362">
        <f t="shared" si="1"/>
        <v>0.8725572059830301</v>
      </c>
      <c r="I32" s="2">
        <f>+Data!AB32</f>
        <v>385624</v>
      </c>
    </row>
    <row r="33" spans="1:9" ht="14.1" customHeight="1" x14ac:dyDescent="0.2">
      <c r="A33" s="284" t="s">
        <v>131</v>
      </c>
      <c r="B33" s="285">
        <f>'- 31 -'!D33</f>
        <v>2745284</v>
      </c>
      <c r="C33" s="285">
        <f>B33/'- 7 -'!E33</f>
        <v>1340.3398105653746</v>
      </c>
      <c r="D33" s="361">
        <f t="shared" si="0"/>
        <v>5.5803559268632297</v>
      </c>
      <c r="E33" s="285">
        <f>I33/'- 7 -'!E33</f>
        <v>240.18894639195392</v>
      </c>
      <c r="F33" s="285">
        <f>'- 31 -'!F33</f>
        <v>278143</v>
      </c>
      <c r="G33" s="361">
        <f t="shared" si="1"/>
        <v>0.56538301267392344</v>
      </c>
      <c r="I33" s="2">
        <f>+Data!AB33</f>
        <v>491955</v>
      </c>
    </row>
    <row r="34" spans="1:9" ht="14.1" customHeight="1" x14ac:dyDescent="0.2">
      <c r="A34" s="19" t="s">
        <v>132</v>
      </c>
      <c r="B34" s="20">
        <f>'- 31 -'!D34</f>
        <v>2226183</v>
      </c>
      <c r="C34" s="20">
        <f>B34/'- 7 -'!E34</f>
        <v>1020.2582058497328</v>
      </c>
      <c r="D34" s="362">
        <f t="shared" si="0"/>
        <v>5.904399556543372</v>
      </c>
      <c r="E34" s="20">
        <f>I34/'- 7 -'!E34</f>
        <v>172.79626761015226</v>
      </c>
      <c r="F34" s="20">
        <f>'- 31 -'!F34</f>
        <v>199263</v>
      </c>
      <c r="G34" s="362">
        <f t="shared" si="1"/>
        <v>0.5284958014842005</v>
      </c>
      <c r="I34" s="2">
        <f>+Data!AB34</f>
        <v>377038</v>
      </c>
    </row>
    <row r="35" spans="1:9" ht="14.1" customHeight="1" x14ac:dyDescent="0.2">
      <c r="A35" s="284" t="s">
        <v>133</v>
      </c>
      <c r="B35" s="285">
        <f>'- 31 -'!D35</f>
        <v>19218512</v>
      </c>
      <c r="C35" s="285">
        <f>B35/'- 7 -'!E35</f>
        <v>1196.2970432617492</v>
      </c>
      <c r="D35" s="361">
        <f t="shared" si="0"/>
        <v>7.851276646158623</v>
      </c>
      <c r="E35" s="285">
        <f>I35/'- 7 -'!E35</f>
        <v>152.36974789915968</v>
      </c>
      <c r="F35" s="285">
        <f>'- 31 -'!F35</f>
        <v>585032</v>
      </c>
      <c r="G35" s="361">
        <f t="shared" si="1"/>
        <v>0.2390012337508477</v>
      </c>
      <c r="I35" s="2">
        <f>+Data!AB35</f>
        <v>2447820</v>
      </c>
    </row>
    <row r="36" spans="1:9" ht="14.1" customHeight="1" x14ac:dyDescent="0.2">
      <c r="A36" s="19" t="s">
        <v>134</v>
      </c>
      <c r="B36" s="20">
        <f>'- 31 -'!D36</f>
        <v>2506950</v>
      </c>
      <c r="C36" s="20">
        <f>B36/'- 7 -'!E36</f>
        <v>1493.1209053007742</v>
      </c>
      <c r="D36" s="362">
        <f t="shared" si="0"/>
        <v>7.7880018266599151</v>
      </c>
      <c r="E36" s="20">
        <f>I36/'- 7 -'!E36</f>
        <v>191.7206670637284</v>
      </c>
      <c r="F36" s="20">
        <f>'- 31 -'!F36</f>
        <v>122519</v>
      </c>
      <c r="G36" s="362">
        <f t="shared" si="1"/>
        <v>0.38061317369733982</v>
      </c>
      <c r="I36" s="2">
        <f>+Data!AB36</f>
        <v>321899</v>
      </c>
    </row>
    <row r="37" spans="1:9" ht="14.1" customHeight="1" x14ac:dyDescent="0.2">
      <c r="A37" s="284" t="s">
        <v>135</v>
      </c>
      <c r="B37" s="285">
        <f>'- 31 -'!D37</f>
        <v>4143699</v>
      </c>
      <c r="C37" s="285">
        <f>B37/'- 7 -'!E37</f>
        <v>955.42979017754203</v>
      </c>
      <c r="D37" s="361">
        <f t="shared" si="0"/>
        <v>7.0144090218894579</v>
      </c>
      <c r="E37" s="285">
        <f>I37/'- 7 -'!E37</f>
        <v>136.20959188379064</v>
      </c>
      <c r="F37" s="285">
        <f>'- 31 -'!F37</f>
        <v>437105</v>
      </c>
      <c r="G37" s="361">
        <f t="shared" si="1"/>
        <v>0.73992663451495666</v>
      </c>
      <c r="I37" s="2">
        <f>+Data!AB37</f>
        <v>590741</v>
      </c>
    </row>
    <row r="38" spans="1:9" ht="14.1" customHeight="1" x14ac:dyDescent="0.2">
      <c r="A38" s="19" t="s">
        <v>136</v>
      </c>
      <c r="B38" s="20">
        <f>'- 31 -'!D38</f>
        <v>10998354</v>
      </c>
      <c r="C38" s="20">
        <f>B38/'- 7 -'!E38</f>
        <v>972.76332664089944</v>
      </c>
      <c r="D38" s="362">
        <f t="shared" si="0"/>
        <v>7.9695329879352199</v>
      </c>
      <c r="E38" s="20">
        <f>I38/'- 7 -'!E38</f>
        <v>122.06026728461124</v>
      </c>
      <c r="F38" s="20">
        <f>'- 31 -'!F38</f>
        <v>725360</v>
      </c>
      <c r="G38" s="362">
        <f t="shared" si="1"/>
        <v>0.52560414477736317</v>
      </c>
      <c r="I38" s="2">
        <f>+Data!AB38</f>
        <v>1380050</v>
      </c>
    </row>
    <row r="39" spans="1:9" ht="14.1" customHeight="1" x14ac:dyDescent="0.2">
      <c r="A39" s="284" t="s">
        <v>137</v>
      </c>
      <c r="B39" s="285">
        <f>'- 31 -'!D39</f>
        <v>2029162</v>
      </c>
      <c r="C39" s="285">
        <f>B39/'- 7 -'!E39</f>
        <v>1350.0745176314038</v>
      </c>
      <c r="D39" s="361">
        <f t="shared" si="0"/>
        <v>6.390195973458713</v>
      </c>
      <c r="E39" s="285">
        <f>I39/'- 7 -'!E39</f>
        <v>211.2727877578177</v>
      </c>
      <c r="F39" s="285">
        <f>'- 31 -'!F39</f>
        <v>93263</v>
      </c>
      <c r="G39" s="361">
        <f t="shared" si="1"/>
        <v>0.2937019553257354</v>
      </c>
      <c r="I39" s="2">
        <f>+Data!AB39</f>
        <v>317543</v>
      </c>
    </row>
    <row r="40" spans="1:9" ht="14.1" customHeight="1" x14ac:dyDescent="0.2">
      <c r="A40" s="19" t="s">
        <v>138</v>
      </c>
      <c r="B40" s="20">
        <f>'- 31 -'!D40</f>
        <v>7942073</v>
      </c>
      <c r="C40" s="20">
        <f>B40/'- 7 -'!E40</f>
        <v>968.4569094290157</v>
      </c>
      <c r="D40" s="362">
        <f t="shared" si="0"/>
        <v>5.4433179123402216</v>
      </c>
      <c r="E40" s="20">
        <f>I40/'- 7 -'!E40</f>
        <v>177.9166539645764</v>
      </c>
      <c r="F40" s="20">
        <f>'- 31 -'!F40</f>
        <v>1238144</v>
      </c>
      <c r="G40" s="362">
        <f t="shared" si="1"/>
        <v>0.84859600424934034</v>
      </c>
      <c r="I40" s="2">
        <f>+Data!AB40</f>
        <v>1459050</v>
      </c>
    </row>
    <row r="41" spans="1:9" ht="14.1" customHeight="1" x14ac:dyDescent="0.2">
      <c r="A41" s="284" t="s">
        <v>139</v>
      </c>
      <c r="B41" s="285">
        <f>'- 31 -'!D41</f>
        <v>5152896</v>
      </c>
      <c r="C41" s="285">
        <f>B41/'- 7 -'!E41</f>
        <v>1157.3039865244245</v>
      </c>
      <c r="D41" s="361">
        <f t="shared" si="0"/>
        <v>6.9349303868592997</v>
      </c>
      <c r="E41" s="285">
        <f>I41/'- 7 -'!E41</f>
        <v>166.88040426726559</v>
      </c>
      <c r="F41" s="285">
        <f>'- 31 -'!F41</f>
        <v>295026</v>
      </c>
      <c r="G41" s="361">
        <f t="shared" si="1"/>
        <v>0.39705532040886365</v>
      </c>
      <c r="I41" s="2">
        <f>+Data!AB41</f>
        <v>743035</v>
      </c>
    </row>
    <row r="42" spans="1:9" ht="14.1" customHeight="1" x14ac:dyDescent="0.2">
      <c r="A42" s="19" t="s">
        <v>140</v>
      </c>
      <c r="B42" s="20">
        <f>'- 31 -'!D42</f>
        <v>1880695</v>
      </c>
      <c r="C42" s="20">
        <f>B42/'- 7 -'!E42</f>
        <v>1360.3580470162749</v>
      </c>
      <c r="D42" s="362">
        <f t="shared" si="0"/>
        <v>5.8572572005182382</v>
      </c>
      <c r="E42" s="20">
        <f>I42/'- 7 -'!E42</f>
        <v>232.2517179023508</v>
      </c>
      <c r="F42" s="20">
        <f>'- 31 -'!F42</f>
        <v>254504</v>
      </c>
      <c r="G42" s="362">
        <f t="shared" si="1"/>
        <v>0.79263005780346818</v>
      </c>
      <c r="I42" s="2">
        <f>+Data!AB42</f>
        <v>321088</v>
      </c>
    </row>
    <row r="43" spans="1:9" ht="14.1" customHeight="1" x14ac:dyDescent="0.2">
      <c r="A43" s="284" t="s">
        <v>141</v>
      </c>
      <c r="B43" s="285">
        <f>'- 31 -'!D43</f>
        <v>780049</v>
      </c>
      <c r="C43" s="285">
        <f>B43/'- 7 -'!E43</f>
        <v>786.73625819465451</v>
      </c>
      <c r="D43" s="361">
        <f t="shared" si="0"/>
        <v>4.2719471188074349</v>
      </c>
      <c r="E43" s="285">
        <f>I43/'- 7 -'!E43</f>
        <v>184.16338880484116</v>
      </c>
      <c r="F43" s="285">
        <f>'- 31 -'!F43</f>
        <v>169932</v>
      </c>
      <c r="G43" s="361">
        <f t="shared" si="1"/>
        <v>0.93063450859264618</v>
      </c>
      <c r="I43" s="2">
        <f>+Data!AB43</f>
        <v>182598</v>
      </c>
    </row>
    <row r="44" spans="1:9" ht="14.1" customHeight="1" x14ac:dyDescent="0.2">
      <c r="A44" s="19" t="s">
        <v>142</v>
      </c>
      <c r="B44" s="20">
        <f>'- 31 -'!D44</f>
        <v>953533</v>
      </c>
      <c r="C44" s="20">
        <f>B44/'- 7 -'!E44</f>
        <v>1343.0042253521126</v>
      </c>
      <c r="D44" s="362">
        <f t="shared" si="0"/>
        <v>5.2766799293884574</v>
      </c>
      <c r="E44" s="20">
        <f>I44/'- 7 -'!E44</f>
        <v>254.51690140845071</v>
      </c>
      <c r="F44" s="20">
        <f>'- 31 -'!F44</f>
        <v>61350</v>
      </c>
      <c r="G44" s="362">
        <f t="shared" si="1"/>
        <v>0.33949985335377159</v>
      </c>
      <c r="I44" s="2">
        <f>+Data!AB44</f>
        <v>180707</v>
      </c>
    </row>
    <row r="45" spans="1:9" ht="14.1" customHeight="1" x14ac:dyDescent="0.2">
      <c r="A45" s="284" t="s">
        <v>143</v>
      </c>
      <c r="B45" s="285">
        <f>'- 31 -'!D45</f>
        <v>1652358</v>
      </c>
      <c r="C45" s="285">
        <f>B45/'- 7 -'!E45</f>
        <v>909.13782668500687</v>
      </c>
      <c r="D45" s="361">
        <f t="shared" si="0"/>
        <v>7.5452548711602656</v>
      </c>
      <c r="E45" s="285">
        <f>I45/'- 7 -'!E45</f>
        <v>120.49133425034388</v>
      </c>
      <c r="F45" s="285">
        <f>'- 31 -'!F45</f>
        <v>215896</v>
      </c>
      <c r="G45" s="361">
        <f t="shared" si="1"/>
        <v>0.98585799546104214</v>
      </c>
      <c r="I45" s="2">
        <f>+Data!AB45</f>
        <v>218993</v>
      </c>
    </row>
    <row r="46" spans="1:9" ht="14.1" customHeight="1" x14ac:dyDescent="0.2">
      <c r="A46" s="19" t="s">
        <v>144</v>
      </c>
      <c r="B46" s="20">
        <f>'- 31 -'!D46</f>
        <v>38625206</v>
      </c>
      <c r="C46" s="20">
        <f>B46/'- 7 -'!E46</f>
        <v>1296.6917666806546</v>
      </c>
      <c r="D46" s="362">
        <f t="shared" si="0"/>
        <v>7.6230809674442401</v>
      </c>
      <c r="E46" s="20">
        <f>I46/'- 7 -'!E46</f>
        <v>170.10074695761645</v>
      </c>
      <c r="F46" s="20">
        <f>'- 31 -'!F46</f>
        <v>5619239</v>
      </c>
      <c r="G46" s="362">
        <f t="shared" si="1"/>
        <v>1.1090145091373855</v>
      </c>
      <c r="I46" s="2">
        <f>+Data!AB46</f>
        <v>5066876</v>
      </c>
    </row>
    <row r="47" spans="1:9" ht="5.0999999999999996" customHeight="1" x14ac:dyDescent="0.2">
      <c r="A47"/>
      <c r="B47" s="22"/>
      <c r="C47" s="367"/>
      <c r="D47" s="364"/>
      <c r="E47" s="367"/>
      <c r="F47" s="367"/>
      <c r="G47" s="364"/>
      <c r="I47"/>
    </row>
    <row r="48" spans="1:9" ht="14.1" customHeight="1" x14ac:dyDescent="0.2">
      <c r="A48" s="286" t="s">
        <v>145</v>
      </c>
      <c r="B48" s="287">
        <f>SUM(B11:B46)</f>
        <v>218210922</v>
      </c>
      <c r="C48" s="287">
        <f>B48/'- 7 -'!E48</f>
        <v>1220.3594324316794</v>
      </c>
      <c r="D48" s="365">
        <f>B48/I48</f>
        <v>7.4032757007102479</v>
      </c>
      <c r="E48" s="287">
        <f>I48/'- 7 -'!E48</f>
        <v>164.84046816122242</v>
      </c>
      <c r="F48" s="287">
        <f>SUM(F11:F46)</f>
        <v>21713603</v>
      </c>
      <c r="G48" s="365">
        <f t="shared" si="1"/>
        <v>0.7366807673575988</v>
      </c>
      <c r="I48" s="2">
        <f>+Data!AB48</f>
        <v>29474915</v>
      </c>
    </row>
    <row r="49" spans="1:9" ht="5.0999999999999996" customHeight="1" x14ac:dyDescent="0.2">
      <c r="A49" s="21" t="s">
        <v>7</v>
      </c>
      <c r="B49" s="22"/>
      <c r="C49" s="367"/>
      <c r="D49" s="364"/>
      <c r="E49" s="367"/>
      <c r="F49" s="367"/>
      <c r="G49" s="364"/>
    </row>
    <row r="50" spans="1:9" ht="14.1" customHeight="1" x14ac:dyDescent="0.2">
      <c r="A50" s="19" t="s">
        <v>146</v>
      </c>
      <c r="B50" s="20">
        <f>'- 31 -'!D50</f>
        <v>400730</v>
      </c>
      <c r="C50" s="20">
        <f>B50/'- 7 -'!E50</f>
        <v>2220.1108033240998</v>
      </c>
      <c r="D50" s="362">
        <f>B50/I50</f>
        <v>5.4852441962330269</v>
      </c>
      <c r="E50" s="20">
        <f>I50/'- 7 -'!E50</f>
        <v>404.74238227146816</v>
      </c>
      <c r="F50" s="20">
        <f>'- 31 -'!F50</f>
        <v>13544</v>
      </c>
      <c r="G50" s="362">
        <f>F50/I50</f>
        <v>0.18539202803328952</v>
      </c>
      <c r="I50" s="2">
        <f>+Data!AB50</f>
        <v>73056</v>
      </c>
    </row>
    <row r="51" spans="1:9" ht="14.1" customHeight="1" x14ac:dyDescent="0.2">
      <c r="A51" s="284" t="s">
        <v>601</v>
      </c>
      <c r="B51" s="285">
        <f>'- 31 -'!D51</f>
        <v>4067220</v>
      </c>
      <c r="C51" s="285">
        <f>B51/'- 7 -'!E51</f>
        <v>3392.1768140116765</v>
      </c>
      <c r="D51" s="363" t="s">
        <v>95</v>
      </c>
      <c r="E51" s="285">
        <f>I51/'- 7 -'!E51</f>
        <v>0</v>
      </c>
      <c r="F51" s="285">
        <f>'- 31 -'!F51</f>
        <v>0</v>
      </c>
      <c r="G51" s="363" t="s">
        <v>95</v>
      </c>
    </row>
    <row r="52" spans="1:9" ht="50.1" customHeight="1" x14ac:dyDescent="0.2">
      <c r="A52" s="23"/>
      <c r="B52" s="23"/>
      <c r="C52" s="23"/>
      <c r="D52" s="23"/>
      <c r="E52" s="23"/>
      <c r="F52" s="23"/>
      <c r="G52" s="23"/>
      <c r="I52" s="221"/>
    </row>
    <row r="53" spans="1:9" ht="15" customHeight="1" x14ac:dyDescent="0.2">
      <c r="A53" s="133" t="s">
        <v>634</v>
      </c>
    </row>
    <row r="54" spans="1:9" ht="12" customHeight="1" x14ac:dyDescent="0.2">
      <c r="A54" s="25" t="s">
        <v>347</v>
      </c>
    </row>
  </sheetData>
  <mergeCells count="6">
    <mergeCell ref="B7:E7"/>
    <mergeCell ref="F6:G7"/>
    <mergeCell ref="C8:C9"/>
    <mergeCell ref="D8:D9"/>
    <mergeCell ref="E8:E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J56"/>
  <sheetViews>
    <sheetView showGridLines="0" showZeros="0" workbookViewId="0"/>
  </sheetViews>
  <sheetFormatPr defaultColWidth="15.83203125" defaultRowHeight="12" x14ac:dyDescent="0.2"/>
  <cols>
    <col min="1" max="1" width="32.83203125" style="2" customWidth="1"/>
    <col min="2" max="2" width="13.83203125" style="2" customWidth="1"/>
    <col min="3" max="3" width="8.83203125" style="2" customWidth="1"/>
    <col min="4" max="4" width="9.83203125" style="2" customWidth="1"/>
    <col min="5" max="5" width="14.83203125" style="2" customWidth="1"/>
    <col min="6" max="6" width="8.83203125" style="2" customWidth="1"/>
    <col min="7" max="7" width="9.83203125" style="2" customWidth="1"/>
    <col min="8" max="8" width="14.83203125" style="2" customWidth="1"/>
    <col min="9" max="9" width="8.83203125" style="2" customWidth="1"/>
    <col min="10" max="10" width="9.83203125" style="2" customWidth="1"/>
    <col min="11" max="16384" width="15.83203125" style="2"/>
  </cols>
  <sheetData>
    <row r="1" spans="1:10" ht="6.95" customHeight="1" x14ac:dyDescent="0.2">
      <c r="A1" s="7"/>
      <c r="B1" s="8"/>
      <c r="C1" s="8"/>
      <c r="D1" s="8"/>
      <c r="E1" s="8"/>
      <c r="F1" s="8"/>
      <c r="G1" s="8"/>
      <c r="H1" s="8"/>
      <c r="I1" s="8"/>
      <c r="J1" s="8"/>
    </row>
    <row r="2" spans="1:10" ht="15.95" customHeight="1" x14ac:dyDescent="0.2">
      <c r="A2" s="134"/>
      <c r="B2" s="9" t="s">
        <v>284</v>
      </c>
      <c r="C2" s="10"/>
      <c r="D2" s="10"/>
      <c r="E2" s="10"/>
      <c r="F2" s="10"/>
      <c r="G2" s="10"/>
      <c r="H2" s="73"/>
      <c r="I2" s="153"/>
      <c r="J2" s="81"/>
    </row>
    <row r="3" spans="1:10" ht="15.95" customHeight="1" x14ac:dyDescent="0.2">
      <c r="A3" s="541"/>
      <c r="B3" s="11" t="str">
        <f>OPYEAR</f>
        <v>OPERATING FUND 2018/2019 ACTUAL</v>
      </c>
      <c r="C3" s="12"/>
      <c r="D3" s="12"/>
      <c r="E3" s="12"/>
      <c r="F3" s="12"/>
      <c r="G3" s="12"/>
      <c r="H3" s="75"/>
      <c r="I3" s="75"/>
      <c r="J3" s="66"/>
    </row>
    <row r="4" spans="1:10" ht="15.95" customHeight="1" x14ac:dyDescent="0.2">
      <c r="B4" s="8"/>
      <c r="C4" s="8"/>
      <c r="D4" s="8"/>
      <c r="E4" s="8"/>
      <c r="F4" s="8"/>
      <c r="G4" s="8"/>
      <c r="H4" s="8"/>
      <c r="I4" s="8"/>
      <c r="J4" s="8"/>
    </row>
    <row r="5" spans="1:10" ht="14.1" customHeight="1" x14ac:dyDescent="0.2"/>
    <row r="6" spans="1:10" ht="18" customHeight="1" x14ac:dyDescent="0.2">
      <c r="B6" s="393" t="s">
        <v>265</v>
      </c>
      <c r="C6" s="155"/>
      <c r="D6" s="156"/>
      <c r="E6" s="156"/>
      <c r="F6" s="156"/>
      <c r="G6" s="156"/>
      <c r="H6" s="156"/>
      <c r="I6" s="156"/>
      <c r="J6" s="157"/>
    </row>
    <row r="7" spans="1:10" ht="15.95" customHeight="1" x14ac:dyDescent="0.2">
      <c r="B7" s="713" t="s">
        <v>72</v>
      </c>
      <c r="C7" s="714"/>
      <c r="D7" s="715"/>
      <c r="E7" s="713" t="s">
        <v>67</v>
      </c>
      <c r="F7" s="714"/>
      <c r="G7" s="715"/>
      <c r="H7" s="713" t="s">
        <v>274</v>
      </c>
      <c r="I7" s="714"/>
      <c r="J7" s="715"/>
    </row>
    <row r="8" spans="1:10" ht="15.95" customHeight="1" x14ac:dyDescent="0.2">
      <c r="A8" s="67"/>
      <c r="B8" s="139"/>
      <c r="C8" s="68"/>
      <c r="D8" s="602" t="s">
        <v>473</v>
      </c>
      <c r="E8" s="139"/>
      <c r="F8" s="137"/>
      <c r="G8" s="602" t="s">
        <v>473</v>
      </c>
      <c r="H8" s="139"/>
      <c r="I8" s="137"/>
      <c r="J8" s="602" t="s">
        <v>473</v>
      </c>
    </row>
    <row r="9" spans="1:10" ht="15.95" customHeight="1" x14ac:dyDescent="0.2">
      <c r="A9" s="35" t="s">
        <v>42</v>
      </c>
      <c r="B9" s="77" t="s">
        <v>43</v>
      </c>
      <c r="C9" s="77" t="s">
        <v>44</v>
      </c>
      <c r="D9" s="604"/>
      <c r="E9" s="77" t="s">
        <v>43</v>
      </c>
      <c r="F9" s="77" t="s">
        <v>44</v>
      </c>
      <c r="G9" s="604"/>
      <c r="H9" s="77" t="s">
        <v>43</v>
      </c>
      <c r="I9" s="77" t="s">
        <v>44</v>
      </c>
      <c r="J9" s="604"/>
    </row>
    <row r="10" spans="1:10" ht="5.0999999999999996" customHeight="1" x14ac:dyDescent="0.2">
      <c r="A10" s="6"/>
    </row>
    <row r="11" spans="1:10" ht="14.1" customHeight="1" x14ac:dyDescent="0.2">
      <c r="A11" s="284" t="s">
        <v>110</v>
      </c>
      <c r="B11" s="285">
        <v>144215</v>
      </c>
      <c r="C11" s="291">
        <f>B11/'- 3 -'!$D11*100</f>
        <v>0.71782544012383143</v>
      </c>
      <c r="D11" s="285">
        <f>B11/'- 7 -'!$E11</f>
        <v>79.544953116381691</v>
      </c>
      <c r="E11" s="285">
        <v>193640</v>
      </c>
      <c r="F11" s="291">
        <f>E11/'- 3 -'!$D11*100</f>
        <v>0.96383675918301648</v>
      </c>
      <c r="G11" s="285">
        <f>E11/'- 7 -'!$E11</f>
        <v>106.80639823496966</v>
      </c>
      <c r="H11" s="285">
        <v>127644</v>
      </c>
      <c r="I11" s="291">
        <f>H11/'- 3 -'!$D11*100</f>
        <v>0.63534383024766028</v>
      </c>
      <c r="J11" s="285">
        <f>H11/'- 7 -'!$E11</f>
        <v>70.404853833425264</v>
      </c>
    </row>
    <row r="12" spans="1:10" ht="14.1" customHeight="1" x14ac:dyDescent="0.2">
      <c r="A12" s="19" t="s">
        <v>111</v>
      </c>
      <c r="B12" s="20">
        <v>307940</v>
      </c>
      <c r="C12" s="70">
        <f>B12/'- 3 -'!$D12*100</f>
        <v>0.90865092690715632</v>
      </c>
      <c r="D12" s="20">
        <f>B12/'- 7 -'!$E12</f>
        <v>144.79914608284312</v>
      </c>
      <c r="E12" s="20">
        <v>145936</v>
      </c>
      <c r="F12" s="70">
        <f>E12/'- 3 -'!$D12*100</f>
        <v>0.43061921695500022</v>
      </c>
      <c r="G12" s="20">
        <f>E12/'- 7 -'!$E12</f>
        <v>68.621836015931009</v>
      </c>
      <c r="H12" s="20">
        <v>533347</v>
      </c>
      <c r="I12" s="70">
        <f>H12/'- 3 -'!$D12*100</f>
        <v>1.5737684156431484</v>
      </c>
      <c r="J12" s="20">
        <f>H12/'- 7 -'!$E12</f>
        <v>250.78973230449481</v>
      </c>
    </row>
    <row r="13" spans="1:10" ht="14.1" customHeight="1" x14ac:dyDescent="0.2">
      <c r="A13" s="284" t="s">
        <v>112</v>
      </c>
      <c r="B13" s="285">
        <v>516380</v>
      </c>
      <c r="C13" s="291">
        <f>B13/'- 3 -'!$D13*100</f>
        <v>0.51172827230722473</v>
      </c>
      <c r="D13" s="285">
        <f>B13/'- 7 -'!$E13</f>
        <v>60.289550496205486</v>
      </c>
      <c r="E13" s="285">
        <v>655896</v>
      </c>
      <c r="F13" s="291">
        <f>E13/'- 3 -'!$D13*100</f>
        <v>0.6499874644510234</v>
      </c>
      <c r="G13" s="285">
        <f>E13/'- 7 -'!$E13</f>
        <v>76.578633975481608</v>
      </c>
      <c r="H13" s="285">
        <v>1576190</v>
      </c>
      <c r="I13" s="291">
        <f>H13/'- 3 -'!$D13*100</f>
        <v>1.5619911412679122</v>
      </c>
      <c r="J13" s="285">
        <f>H13/'- 7 -'!$E13</f>
        <v>184.02685347343842</v>
      </c>
    </row>
    <row r="14" spans="1:10" ht="14.1" customHeight="1" x14ac:dyDescent="0.2">
      <c r="A14" s="19" t="s">
        <v>359</v>
      </c>
      <c r="B14" s="20">
        <v>526166</v>
      </c>
      <c r="C14" s="70">
        <f>B14/'- 3 -'!$D14*100</f>
        <v>0.57632786574027206</v>
      </c>
      <c r="D14" s="20">
        <f>B14/'- 7 -'!$E14</f>
        <v>97.276021445738579</v>
      </c>
      <c r="E14" s="20">
        <v>300828</v>
      </c>
      <c r="F14" s="70">
        <f>E14/'- 3 -'!$D14*100</f>
        <v>0.32950734025937545</v>
      </c>
      <c r="G14" s="20">
        <f>E14/'- 7 -'!$E14</f>
        <v>55.616195230171932</v>
      </c>
      <c r="H14" s="20">
        <v>805056</v>
      </c>
      <c r="I14" s="70">
        <f>H14/'- 3 -'!$D14*100</f>
        <v>0.88180575385220716</v>
      </c>
      <c r="J14" s="20">
        <f>H14/'- 7 -'!$E14</f>
        <v>148.83638380476984</v>
      </c>
    </row>
    <row r="15" spans="1:10" ht="14.1" customHeight="1" x14ac:dyDescent="0.2">
      <c r="A15" s="284" t="s">
        <v>113</v>
      </c>
      <c r="B15" s="285">
        <v>140031</v>
      </c>
      <c r="C15" s="291">
        <f>B15/'- 3 -'!$D15*100</f>
        <v>0.69135778331827746</v>
      </c>
      <c r="D15" s="285">
        <f>B15/'- 7 -'!$E15</f>
        <v>99.144010195412065</v>
      </c>
      <c r="E15" s="285">
        <v>161031</v>
      </c>
      <c r="F15" s="291">
        <f>E15/'- 3 -'!$D15*100</f>
        <v>0.79503849294460183</v>
      </c>
      <c r="G15" s="285">
        <f>E15/'- 7 -'!$E15</f>
        <v>114.01231945624468</v>
      </c>
      <c r="H15" s="285">
        <v>43031</v>
      </c>
      <c r="I15" s="291">
        <f>H15/'- 3 -'!$D15*100</f>
        <v>0.21245164837763636</v>
      </c>
      <c r="J15" s="285">
        <f>H15/'- 7 -'!$E15</f>
        <v>30.466581704899461</v>
      </c>
    </row>
    <row r="16" spans="1:10" ht="14.1" customHeight="1" x14ac:dyDescent="0.2">
      <c r="A16" s="19" t="s">
        <v>114</v>
      </c>
      <c r="B16" s="20">
        <v>0</v>
      </c>
      <c r="C16" s="70">
        <f>B16/'- 3 -'!$D16*100</f>
        <v>0</v>
      </c>
      <c r="D16" s="20">
        <f>B16/'- 7 -'!$E16</f>
        <v>0</v>
      </c>
      <c r="E16" s="20">
        <v>93687</v>
      </c>
      <c r="F16" s="70">
        <f>E16/'- 3 -'!$D16*100</f>
        <v>0.62308691758894552</v>
      </c>
      <c r="G16" s="20">
        <f>E16/'- 7 -'!$E16</f>
        <v>103.6475273813475</v>
      </c>
      <c r="H16" s="20">
        <v>211709</v>
      </c>
      <c r="I16" s="70">
        <f>H16/'- 3 -'!$D16*100</f>
        <v>1.4080193435144477</v>
      </c>
      <c r="J16" s="20">
        <f>H16/'- 7 -'!$E16</f>
        <v>234.21728067264078</v>
      </c>
    </row>
    <row r="17" spans="1:10" ht="14.1" customHeight="1" x14ac:dyDescent="0.2">
      <c r="A17" s="284" t="s">
        <v>115</v>
      </c>
      <c r="B17" s="285">
        <v>117116</v>
      </c>
      <c r="C17" s="291">
        <f>B17/'- 3 -'!$D17*100</f>
        <v>0.63671959905302122</v>
      </c>
      <c r="D17" s="285">
        <f>B17/'- 7 -'!$E17</f>
        <v>81.758000658203102</v>
      </c>
      <c r="E17" s="285">
        <v>118304</v>
      </c>
      <c r="F17" s="291">
        <f>E17/'- 3 -'!$D17*100</f>
        <v>0.64317834835862409</v>
      </c>
      <c r="G17" s="285">
        <f>E17/'- 7 -'!$E17</f>
        <v>82.587336571160719</v>
      </c>
      <c r="H17" s="285">
        <v>142145</v>
      </c>
      <c r="I17" s="291">
        <f>H17/'- 3 -'!$D17*100</f>
        <v>0.77279370374151868</v>
      </c>
      <c r="J17" s="285">
        <f>H17/'- 7 -'!$E17</f>
        <v>99.230600460742167</v>
      </c>
    </row>
    <row r="18" spans="1:10" ht="14.1" customHeight="1" x14ac:dyDescent="0.2">
      <c r="A18" s="19" t="s">
        <v>116</v>
      </c>
      <c r="B18" s="20">
        <v>359579</v>
      </c>
      <c r="C18" s="70">
        <f>B18/'- 3 -'!$D18*100</f>
        <v>0.26732561471531757</v>
      </c>
      <c r="D18" s="20">
        <f>B18/'- 7 -'!$E18</f>
        <v>59.959813239953313</v>
      </c>
      <c r="E18" s="20">
        <v>0</v>
      </c>
      <c r="F18" s="70">
        <f>E18/'- 3 -'!$D18*100</f>
        <v>0</v>
      </c>
      <c r="G18" s="20">
        <f>E18/'- 7 -'!$E18</f>
        <v>0</v>
      </c>
      <c r="H18" s="20">
        <v>2080334</v>
      </c>
      <c r="I18" s="70">
        <f>H18/'- 3 -'!$D18*100</f>
        <v>1.5466046831521738</v>
      </c>
      <c r="J18" s="20">
        <f>H18/'- 7 -'!$E18</f>
        <v>346.89578122394528</v>
      </c>
    </row>
    <row r="19" spans="1:10" ht="14.1" customHeight="1" x14ac:dyDescent="0.2">
      <c r="A19" s="284" t="s">
        <v>117</v>
      </c>
      <c r="B19" s="285">
        <v>467457</v>
      </c>
      <c r="C19" s="291">
        <f>B19/'- 3 -'!$D19*100</f>
        <v>0.93308055269877999</v>
      </c>
      <c r="D19" s="285">
        <f>B19/'- 7 -'!$E19</f>
        <v>105.8912674142032</v>
      </c>
      <c r="E19" s="285">
        <v>295168</v>
      </c>
      <c r="F19" s="291">
        <f>E19/'- 3 -'!$D19*100</f>
        <v>0.58917829999121529</v>
      </c>
      <c r="G19" s="285">
        <f>E19/'- 7 -'!$E19</f>
        <v>66.863291425982553</v>
      </c>
      <c r="H19" s="285">
        <v>1234251</v>
      </c>
      <c r="I19" s="291">
        <f>H19/'- 3 -'!$D19*100</f>
        <v>2.4636610538488504</v>
      </c>
      <c r="J19" s="285">
        <f>H19/'- 7 -'!$E19</f>
        <v>279.59021406727828</v>
      </c>
    </row>
    <row r="20" spans="1:10" ht="14.1" customHeight="1" x14ac:dyDescent="0.2">
      <c r="A20" s="19" t="s">
        <v>118</v>
      </c>
      <c r="B20" s="20">
        <v>734536</v>
      </c>
      <c r="C20" s="70">
        <f>B20/'- 3 -'!$D20*100</f>
        <v>0.84025082105183058</v>
      </c>
      <c r="D20" s="20">
        <f>B20/'- 7 -'!$E20</f>
        <v>93.197487787857639</v>
      </c>
      <c r="E20" s="20">
        <v>326662</v>
      </c>
      <c r="F20" s="70">
        <f>E20/'- 3 -'!$D20*100</f>
        <v>0.37367537289722097</v>
      </c>
      <c r="G20" s="20">
        <f>E20/'- 7 -'!$E20</f>
        <v>41.446678931675443</v>
      </c>
      <c r="H20" s="20">
        <v>1881262</v>
      </c>
      <c r="I20" s="70">
        <f>H20/'- 3 -'!$D20*100</f>
        <v>2.1520142513281977</v>
      </c>
      <c r="J20" s="20">
        <f>H20/'- 7 -'!$E20</f>
        <v>238.69339592717122</v>
      </c>
    </row>
    <row r="21" spans="1:10" ht="14.1" customHeight="1" x14ac:dyDescent="0.2">
      <c r="A21" s="284" t="s">
        <v>119</v>
      </c>
      <c r="B21" s="285">
        <v>358047</v>
      </c>
      <c r="C21" s="291">
        <f>B21/'- 3 -'!$D21*100</f>
        <v>0.96120428348754516</v>
      </c>
      <c r="D21" s="285">
        <f>B21/'- 7 -'!$E21</f>
        <v>125.99303258498134</v>
      </c>
      <c r="E21" s="285">
        <v>138842</v>
      </c>
      <c r="F21" s="291">
        <f>E21/'- 3 -'!$D21*100</f>
        <v>0.37273186237554778</v>
      </c>
      <c r="G21" s="285">
        <f>E21/'- 7 -'!$E21</f>
        <v>48.857062425223447</v>
      </c>
      <c r="H21" s="285">
        <v>411592</v>
      </c>
      <c r="I21" s="291">
        <f>H21/'- 3 -'!$D21*100</f>
        <v>1.1049498905149482</v>
      </c>
      <c r="J21" s="285">
        <f>H21/'- 7 -'!$E21</f>
        <v>144.83496375536632</v>
      </c>
    </row>
    <row r="22" spans="1:10" ht="14.1" customHeight="1" x14ac:dyDescent="0.2">
      <c r="A22" s="19" t="s">
        <v>120</v>
      </c>
      <c r="B22" s="20">
        <v>171849</v>
      </c>
      <c r="C22" s="70">
        <f>B22/'- 3 -'!$D22*100</f>
        <v>0.8193979638092439</v>
      </c>
      <c r="D22" s="20">
        <f>B22/'- 7 -'!$E22</f>
        <v>117.0155249897862</v>
      </c>
      <c r="E22" s="20">
        <v>11585</v>
      </c>
      <c r="F22" s="70">
        <f>E22/'- 3 -'!$D22*100</f>
        <v>5.5238758507352902E-2</v>
      </c>
      <c r="G22" s="20">
        <f>E22/'- 7 -'!$E22</f>
        <v>7.8884652049571029</v>
      </c>
      <c r="H22" s="20">
        <v>193590</v>
      </c>
      <c r="I22" s="70">
        <f>H22/'- 3 -'!$D22*100</f>
        <v>0.92306182645131196</v>
      </c>
      <c r="J22" s="20">
        <f>H22/'- 7 -'!$E22</f>
        <v>131.81941985564484</v>
      </c>
    </row>
    <row r="23" spans="1:10" ht="14.1" customHeight="1" x14ac:dyDescent="0.2">
      <c r="A23" s="284" t="s">
        <v>121</v>
      </c>
      <c r="B23" s="285">
        <v>121152</v>
      </c>
      <c r="C23" s="291">
        <f>B23/'- 3 -'!$D23*100</f>
        <v>0.75878847625075119</v>
      </c>
      <c r="D23" s="285">
        <f>B23/'- 7 -'!$E23</f>
        <v>126.00312012480499</v>
      </c>
      <c r="E23" s="285">
        <v>56673</v>
      </c>
      <c r="F23" s="291">
        <f>E23/'- 3 -'!$D23*100</f>
        <v>0.35494931420495596</v>
      </c>
      <c r="G23" s="285">
        <f>E23/'- 7 -'!$E23</f>
        <v>58.942277691107641</v>
      </c>
      <c r="H23" s="285">
        <v>341615</v>
      </c>
      <c r="I23" s="291">
        <f>H23/'- 3 -'!$D23*100</f>
        <v>2.1395728119585344</v>
      </c>
      <c r="J23" s="285">
        <f>H23/'- 7 -'!$E23</f>
        <v>355.29381175247011</v>
      </c>
    </row>
    <row r="24" spans="1:10" ht="14.1" customHeight="1" x14ac:dyDescent="0.2">
      <c r="A24" s="19" t="s">
        <v>122</v>
      </c>
      <c r="B24" s="20">
        <v>469447</v>
      </c>
      <c r="C24" s="70">
        <f>B24/'- 3 -'!$D24*100</f>
        <v>0.81069539683365865</v>
      </c>
      <c r="D24" s="20">
        <f>B24/'- 7 -'!$E24</f>
        <v>122.58382076457072</v>
      </c>
      <c r="E24" s="20">
        <v>507039</v>
      </c>
      <c r="F24" s="70">
        <f>E24/'- 3 -'!$D24*100</f>
        <v>0.87561361200549026</v>
      </c>
      <c r="G24" s="20">
        <f>E24/'- 7 -'!$E24</f>
        <v>132.39998955504493</v>
      </c>
      <c r="H24" s="20">
        <v>1262998</v>
      </c>
      <c r="I24" s="70">
        <f>H24/'- 3 -'!$D24*100</f>
        <v>2.1810910812298667</v>
      </c>
      <c r="J24" s="20">
        <f>H24/'- 7 -'!$E24</f>
        <v>329.79893461458119</v>
      </c>
    </row>
    <row r="25" spans="1:10" ht="14.1" customHeight="1" x14ac:dyDescent="0.2">
      <c r="A25" s="284" t="s">
        <v>123</v>
      </c>
      <c r="B25" s="285">
        <v>936749</v>
      </c>
      <c r="C25" s="291">
        <f>B25/'- 3 -'!$D25*100</f>
        <v>0.48213546582493561</v>
      </c>
      <c r="D25" s="285">
        <f>B25/'- 7 -'!$E25</f>
        <v>62.946370374352391</v>
      </c>
      <c r="E25" s="285">
        <v>1213390</v>
      </c>
      <c r="F25" s="291">
        <f>E25/'- 3 -'!$D25*100</f>
        <v>0.6245198584437438</v>
      </c>
      <c r="G25" s="285">
        <f>E25/'- 7 -'!$E25</f>
        <v>81.535711645846902</v>
      </c>
      <c r="H25" s="285">
        <v>2378636</v>
      </c>
      <c r="I25" s="291">
        <f>H25/'- 3 -'!$D25*100</f>
        <v>1.2242604752051631</v>
      </c>
      <c r="J25" s="285">
        <f>H25/'- 7 -'!$E25</f>
        <v>159.83630902383464</v>
      </c>
    </row>
    <row r="26" spans="1:10" ht="14.1" customHeight="1" x14ac:dyDescent="0.2">
      <c r="A26" s="19" t="s">
        <v>124</v>
      </c>
      <c r="B26" s="20">
        <v>392975</v>
      </c>
      <c r="C26" s="70">
        <f>B26/'- 3 -'!$D26*100</f>
        <v>0.96005609625054944</v>
      </c>
      <c r="D26" s="20">
        <f>B26/'- 7 -'!$E26</f>
        <v>130.94801732755749</v>
      </c>
      <c r="E26" s="20">
        <v>462010</v>
      </c>
      <c r="F26" s="70">
        <f>E26/'- 3 -'!$D26*100</f>
        <v>1.128711793444154</v>
      </c>
      <c r="G26" s="20">
        <f>E26/'- 7 -'!$E26</f>
        <v>153.95201599466844</v>
      </c>
      <c r="H26" s="20">
        <v>380130</v>
      </c>
      <c r="I26" s="70">
        <f>H26/'- 3 -'!$D26*100</f>
        <v>0.92867516729492039</v>
      </c>
      <c r="J26" s="20">
        <f>H26/'- 7 -'!$E26</f>
        <v>126.66777740753082</v>
      </c>
    </row>
    <row r="27" spans="1:10" ht="14.1" customHeight="1" x14ac:dyDescent="0.2">
      <c r="A27" s="284" t="s">
        <v>125</v>
      </c>
      <c r="B27" s="285">
        <v>177961</v>
      </c>
      <c r="C27" s="291">
        <f>B27/'- 3 -'!$D27*100</f>
        <v>0.43162355807351255</v>
      </c>
      <c r="D27" s="285">
        <f>B27/'- 7 -'!$E27</f>
        <v>59.89210327930644</v>
      </c>
      <c r="E27" s="285">
        <v>150445</v>
      </c>
      <c r="F27" s="291">
        <f>E27/'- 3 -'!$D27*100</f>
        <v>0.36488672346395895</v>
      </c>
      <c r="G27" s="285">
        <f>E27/'- 7 -'!$E27</f>
        <v>50.631697269937</v>
      </c>
      <c r="H27" s="285">
        <v>215938</v>
      </c>
      <c r="I27" s="291">
        <f>H27/'- 3 -'!$D27*100</f>
        <v>0.52373232271833814</v>
      </c>
      <c r="J27" s="285">
        <f>H27/'- 7 -'!$E27</f>
        <v>72.673119379677985</v>
      </c>
    </row>
    <row r="28" spans="1:10" ht="14.1" customHeight="1" x14ac:dyDescent="0.2">
      <c r="A28" s="19" t="s">
        <v>126</v>
      </c>
      <c r="B28" s="20">
        <v>238005</v>
      </c>
      <c r="C28" s="70">
        <f>B28/'- 3 -'!$D28*100</f>
        <v>0.81884988619085819</v>
      </c>
      <c r="D28" s="20">
        <f>B28/'- 7 -'!$E28</f>
        <v>120.81472081218274</v>
      </c>
      <c r="E28" s="20">
        <v>379493</v>
      </c>
      <c r="F28" s="70">
        <f>E28/'- 3 -'!$D28*100</f>
        <v>1.3056355953035748</v>
      </c>
      <c r="G28" s="20">
        <f>E28/'- 7 -'!$E28</f>
        <v>192.63604060913707</v>
      </c>
      <c r="H28" s="20">
        <v>243857</v>
      </c>
      <c r="I28" s="70">
        <f>H28/'- 3 -'!$D28*100</f>
        <v>0.83898353688722538</v>
      </c>
      <c r="J28" s="20">
        <f>H28/'- 7 -'!$E28</f>
        <v>123.78527918781725</v>
      </c>
    </row>
    <row r="29" spans="1:10" ht="14.1" customHeight="1" x14ac:dyDescent="0.2">
      <c r="A29" s="284" t="s">
        <v>127</v>
      </c>
      <c r="B29" s="285">
        <v>920008</v>
      </c>
      <c r="C29" s="291">
        <f>B29/'- 3 -'!$D29*100</f>
        <v>0.55189223937021148</v>
      </c>
      <c r="D29" s="285">
        <f>B29/'- 7 -'!$E29</f>
        <v>66.318832222021982</v>
      </c>
      <c r="E29" s="285">
        <v>884164</v>
      </c>
      <c r="F29" s="291">
        <f>E29/'- 3 -'!$D29*100</f>
        <v>0.53039022479209275</v>
      </c>
      <c r="G29" s="285">
        <f>E29/'- 7 -'!$E29</f>
        <v>63.735015318075327</v>
      </c>
      <c r="H29" s="285">
        <v>1211744</v>
      </c>
      <c r="I29" s="291">
        <f>H29/'- 3 -'!$D29*100</f>
        <v>0.72689814621548676</v>
      </c>
      <c r="J29" s="285">
        <f>H29/'- 7 -'!$E29</f>
        <v>87.348639394485488</v>
      </c>
    </row>
    <row r="30" spans="1:10" ht="14.1" customHeight="1" x14ac:dyDescent="0.2">
      <c r="A30" s="19" t="s">
        <v>128</v>
      </c>
      <c r="B30" s="20">
        <v>118054</v>
      </c>
      <c r="C30" s="70">
        <f>B30/'- 3 -'!$D30*100</f>
        <v>0.76589103553133908</v>
      </c>
      <c r="D30" s="20">
        <f>B30/'- 7 -'!$E30</f>
        <v>115.34342940889105</v>
      </c>
      <c r="E30" s="20">
        <v>125753</v>
      </c>
      <c r="F30" s="70">
        <f>E30/'- 3 -'!$D30*100</f>
        <v>0.81583932260806491</v>
      </c>
      <c r="G30" s="20">
        <f>E30/'- 7 -'!$E30</f>
        <v>122.86565705911089</v>
      </c>
      <c r="H30" s="20">
        <v>132179</v>
      </c>
      <c r="I30" s="70">
        <f>H30/'- 3 -'!$D30*100</f>
        <v>0.8575288527749747</v>
      </c>
      <c r="J30" s="20">
        <f>H30/'- 7 -'!$E30</f>
        <v>129.14411333659012</v>
      </c>
    </row>
    <row r="31" spans="1:10" ht="14.1" customHeight="1" x14ac:dyDescent="0.2">
      <c r="A31" s="284" t="s">
        <v>129</v>
      </c>
      <c r="B31" s="285">
        <v>269870</v>
      </c>
      <c r="C31" s="291">
        <f>B31/'- 3 -'!$D31*100</f>
        <v>0.69648810191752442</v>
      </c>
      <c r="D31" s="285">
        <f>B31/'- 7 -'!$E31</f>
        <v>80.738967838444282</v>
      </c>
      <c r="E31" s="285">
        <v>172396</v>
      </c>
      <c r="F31" s="291">
        <f>E31/'- 3 -'!$D31*100</f>
        <v>0.44492445554590554</v>
      </c>
      <c r="G31" s="285">
        <f>E31/'- 7 -'!$E31</f>
        <v>51.576963350785341</v>
      </c>
      <c r="H31" s="285">
        <v>306842</v>
      </c>
      <c r="I31" s="291">
        <f>H31/'- 3 -'!$D31*100</f>
        <v>0.79190648152287035</v>
      </c>
      <c r="J31" s="285">
        <f>H31/'- 7 -'!$E31</f>
        <v>91.800149588631271</v>
      </c>
    </row>
    <row r="32" spans="1:10" ht="14.1" customHeight="1" x14ac:dyDescent="0.2">
      <c r="A32" s="19" t="s">
        <v>130</v>
      </c>
      <c r="B32" s="20">
        <v>222471</v>
      </c>
      <c r="C32" s="70">
        <f>B32/'- 3 -'!$D32*100</f>
        <v>0.73960782045233997</v>
      </c>
      <c r="D32" s="20">
        <f>B32/'- 7 -'!$E32</f>
        <v>99.919604760835398</v>
      </c>
      <c r="E32" s="20">
        <v>160294</v>
      </c>
      <c r="F32" s="70">
        <f>E32/'- 3 -'!$D32*100</f>
        <v>0.53289955082499463</v>
      </c>
      <c r="G32" s="20">
        <f>E32/'- 7 -'!$E32</f>
        <v>71.993712104199417</v>
      </c>
      <c r="H32" s="20">
        <v>302437</v>
      </c>
      <c r="I32" s="70">
        <f>H32/'- 3 -'!$D32*100</f>
        <v>1.0054558589395666</v>
      </c>
      <c r="J32" s="20">
        <f>H32/'- 7 -'!$E32</f>
        <v>135.83516730294184</v>
      </c>
    </row>
    <row r="33" spans="1:10" ht="14.1" customHeight="1" x14ac:dyDescent="0.2">
      <c r="A33" s="284" t="s">
        <v>131</v>
      </c>
      <c r="B33" s="285">
        <v>400077</v>
      </c>
      <c r="C33" s="291">
        <f>B33/'- 3 -'!$D33*100</f>
        <v>1.427614346404255</v>
      </c>
      <c r="D33" s="285">
        <f>B33/'- 7 -'!$E33</f>
        <v>195.33102236109755</v>
      </c>
      <c r="E33" s="285">
        <v>301075</v>
      </c>
      <c r="F33" s="291">
        <f>E33/'- 3 -'!$D33*100</f>
        <v>1.0743406627815673</v>
      </c>
      <c r="G33" s="285">
        <f>E33/'- 7 -'!$E33</f>
        <v>146.99492237086224</v>
      </c>
      <c r="H33" s="285">
        <v>288724</v>
      </c>
      <c r="I33" s="291">
        <f>H33/'- 3 -'!$D33*100</f>
        <v>1.030267984790983</v>
      </c>
      <c r="J33" s="285">
        <f>H33/'- 7 -'!$E33</f>
        <v>140.96474953617812</v>
      </c>
    </row>
    <row r="34" spans="1:10" ht="14.1" customHeight="1" x14ac:dyDescent="0.2">
      <c r="A34" s="19" t="s">
        <v>132</v>
      </c>
      <c r="B34" s="20">
        <v>322594</v>
      </c>
      <c r="C34" s="70">
        <f>B34/'- 3 -'!$D34*100</f>
        <v>1.0486682121103212</v>
      </c>
      <c r="D34" s="20">
        <f>B34/'- 7 -'!$E34</f>
        <v>147.8446181908175</v>
      </c>
      <c r="E34" s="20">
        <v>299312</v>
      </c>
      <c r="F34" s="70">
        <f>E34/'- 3 -'!$D34*100</f>
        <v>0.97298455613918555</v>
      </c>
      <c r="G34" s="20">
        <f>E34/'- 7 -'!$E34</f>
        <v>137.17449289177719</v>
      </c>
      <c r="H34" s="20">
        <v>351512</v>
      </c>
      <c r="I34" s="70">
        <f>H34/'- 3 -'!$D34*100</f>
        <v>1.1426730211204277</v>
      </c>
      <c r="J34" s="20">
        <f>H34/'- 7 -'!$E34</f>
        <v>161.09771858587155</v>
      </c>
    </row>
    <row r="35" spans="1:10" ht="14.1" customHeight="1" x14ac:dyDescent="0.2">
      <c r="A35" s="284" t="s">
        <v>133</v>
      </c>
      <c r="B35" s="285">
        <v>821295</v>
      </c>
      <c r="C35" s="291">
        <f>B35/'- 3 -'!$D35*100</f>
        <v>0.42586863925367818</v>
      </c>
      <c r="D35" s="285">
        <f>B35/'- 7 -'!$E35</f>
        <v>51.123249299719888</v>
      </c>
      <c r="E35" s="285">
        <v>718079</v>
      </c>
      <c r="F35" s="291">
        <f>E35/'- 3 -'!$D35*100</f>
        <v>0.37234772719502979</v>
      </c>
      <c r="G35" s="285">
        <f>E35/'- 7 -'!$E35</f>
        <v>44.698350451291631</v>
      </c>
      <c r="H35" s="285">
        <v>704772</v>
      </c>
      <c r="I35" s="291">
        <f>H35/'- 3 -'!$D35*100</f>
        <v>0.36544760728373277</v>
      </c>
      <c r="J35" s="285">
        <f>H35/'- 7 -'!$E35</f>
        <v>43.870028011204482</v>
      </c>
    </row>
    <row r="36" spans="1:10" ht="14.1" customHeight="1" x14ac:dyDescent="0.2">
      <c r="A36" s="19" t="s">
        <v>134</v>
      </c>
      <c r="B36" s="20">
        <v>192923</v>
      </c>
      <c r="C36" s="70">
        <f>B36/'- 3 -'!$D36*100</f>
        <v>0.80323597641823785</v>
      </c>
      <c r="D36" s="20">
        <f>B36/'- 7 -'!$E36</f>
        <v>114.90351399642644</v>
      </c>
      <c r="E36" s="20">
        <v>316484</v>
      </c>
      <c r="F36" s="70">
        <f>E36/'- 3 -'!$D36*100</f>
        <v>1.3176828826047158</v>
      </c>
      <c r="G36" s="20">
        <f>E36/'- 7 -'!$E36</f>
        <v>188.49553305539013</v>
      </c>
      <c r="H36" s="20">
        <v>287089</v>
      </c>
      <c r="I36" s="70">
        <f>H36/'- 3 -'!$D36*100</f>
        <v>1.1952966376944971</v>
      </c>
      <c r="J36" s="20">
        <f>H36/'- 7 -'!$E36</f>
        <v>170.98808814770697</v>
      </c>
    </row>
    <row r="37" spans="1:10" ht="14.1" customHeight="1" x14ac:dyDescent="0.2">
      <c r="A37" s="284" t="s">
        <v>135</v>
      </c>
      <c r="B37" s="285">
        <v>283237</v>
      </c>
      <c r="C37" s="291">
        <f>B37/'- 3 -'!$D37*100</f>
        <v>0.52799952963475349</v>
      </c>
      <c r="D37" s="285">
        <f>B37/'- 7 -'!$E37</f>
        <v>65.30712474060411</v>
      </c>
      <c r="E37" s="285">
        <v>926624</v>
      </c>
      <c r="F37" s="291">
        <f>E37/'- 3 -'!$D37*100</f>
        <v>1.7273768474749904</v>
      </c>
      <c r="G37" s="285">
        <f>E37/'- 7 -'!$E37</f>
        <v>213.65552225040349</v>
      </c>
      <c r="H37" s="285">
        <v>604635</v>
      </c>
      <c r="I37" s="291">
        <f>H37/'- 3 -'!$D37*100</f>
        <v>1.1271373288119462</v>
      </c>
      <c r="J37" s="285">
        <f>H37/'- 7 -'!$E37</f>
        <v>139.41318884021211</v>
      </c>
    </row>
    <row r="38" spans="1:10" ht="14.1" customHeight="1" x14ac:dyDescent="0.2">
      <c r="A38" s="19" t="s">
        <v>136</v>
      </c>
      <c r="B38" s="20">
        <v>328823</v>
      </c>
      <c r="C38" s="70">
        <f>B38/'- 3 -'!$D38*100</f>
        <v>0.22799347582118384</v>
      </c>
      <c r="D38" s="20">
        <f>B38/'- 7 -'!$E38</f>
        <v>29.083166022483042</v>
      </c>
      <c r="E38" s="20">
        <v>727495</v>
      </c>
      <c r="F38" s="70">
        <f>E38/'- 3 -'!$D38*100</f>
        <v>0.50441761583749345</v>
      </c>
      <c r="G38" s="20">
        <f>E38/'- 7 -'!$E38</f>
        <v>64.344215172072211</v>
      </c>
      <c r="H38" s="20">
        <v>1145513</v>
      </c>
      <c r="I38" s="70">
        <f>H38/'- 3 -'!$D38*100</f>
        <v>0.79425554315954716</v>
      </c>
      <c r="J38" s="20">
        <f>H38/'- 7 -'!$E38</f>
        <v>101.31634575413707</v>
      </c>
    </row>
    <row r="39" spans="1:10" ht="14.1" customHeight="1" x14ac:dyDescent="0.2">
      <c r="A39" s="284" t="s">
        <v>137</v>
      </c>
      <c r="B39" s="285">
        <v>175500</v>
      </c>
      <c r="C39" s="291">
        <f>B39/'- 3 -'!$D39*100</f>
        <v>0.78606235745341413</v>
      </c>
      <c r="D39" s="285">
        <f>B39/'- 7 -'!$E39</f>
        <v>116.76646706586827</v>
      </c>
      <c r="E39" s="285">
        <v>110451</v>
      </c>
      <c r="F39" s="291">
        <f>E39/'- 3 -'!$D39*100</f>
        <v>0.49470868058739059</v>
      </c>
      <c r="G39" s="285">
        <f>E39/'- 7 -'!$E39</f>
        <v>73.487025948103792</v>
      </c>
      <c r="H39" s="285">
        <v>124597</v>
      </c>
      <c r="I39" s="291">
        <f>H39/'- 3 -'!$D39*100</f>
        <v>0.55806844188958993</v>
      </c>
      <c r="J39" s="285">
        <f>H39/'- 7 -'!$E39</f>
        <v>82.898868928809051</v>
      </c>
    </row>
    <row r="40" spans="1:10" ht="14.1" customHeight="1" x14ac:dyDescent="0.2">
      <c r="A40" s="19" t="s">
        <v>138</v>
      </c>
      <c r="B40" s="20">
        <v>695426</v>
      </c>
      <c r="C40" s="70">
        <f>B40/'- 3 -'!$D40*100</f>
        <v>0.65213220785686588</v>
      </c>
      <c r="D40" s="20">
        <f>B40/'- 7 -'!$E40</f>
        <v>84.800292656159499</v>
      </c>
      <c r="E40" s="20">
        <v>650510</v>
      </c>
      <c r="F40" s="70">
        <f>E40/'- 3 -'!$D40*100</f>
        <v>0.61001245644104451</v>
      </c>
      <c r="G40" s="20">
        <f>E40/'- 7 -'!$E40</f>
        <v>79.323232631161787</v>
      </c>
      <c r="H40" s="20">
        <v>974890</v>
      </c>
      <c r="I40" s="70">
        <f>H40/'- 3 -'!$D40*100</f>
        <v>0.91419815784509073</v>
      </c>
      <c r="J40" s="20">
        <f>H40/'- 7 -'!$E40</f>
        <v>118.87815138859251</v>
      </c>
    </row>
    <row r="41" spans="1:10" ht="14.1" customHeight="1" x14ac:dyDescent="0.2">
      <c r="A41" s="284" t="s">
        <v>139</v>
      </c>
      <c r="B41" s="285">
        <v>398488</v>
      </c>
      <c r="C41" s="291">
        <f>B41/'- 3 -'!$D41*100</f>
        <v>0.60813075000360917</v>
      </c>
      <c r="D41" s="285">
        <f>B41/'- 7 -'!$E41</f>
        <v>89.497585626052782</v>
      </c>
      <c r="E41" s="285">
        <v>667770</v>
      </c>
      <c r="F41" s="291">
        <f>E41/'- 3 -'!$D41*100</f>
        <v>1.0190808027592051</v>
      </c>
      <c r="G41" s="285">
        <f>E41/'- 7 -'!$E41</f>
        <v>149.97641774284111</v>
      </c>
      <c r="H41" s="285">
        <v>486209</v>
      </c>
      <c r="I41" s="291">
        <f>H41/'- 3 -'!$D41*100</f>
        <v>0.74200137476788475</v>
      </c>
      <c r="J41" s="285">
        <f>H41/'- 7 -'!$E41</f>
        <v>109.19910162829871</v>
      </c>
    </row>
    <row r="42" spans="1:10" ht="14.1" customHeight="1" x14ac:dyDescent="0.2">
      <c r="A42" s="19" t="s">
        <v>140</v>
      </c>
      <c r="B42" s="20">
        <v>195463</v>
      </c>
      <c r="C42" s="70">
        <f>B42/'- 3 -'!$D42*100</f>
        <v>0.93733283364755504</v>
      </c>
      <c r="D42" s="20">
        <f>B42/'- 7 -'!$E42</f>
        <v>141.38372513562388</v>
      </c>
      <c r="E42" s="20">
        <v>170811</v>
      </c>
      <c r="F42" s="70">
        <f>E42/'- 3 -'!$D42*100</f>
        <v>0.8191154266954489</v>
      </c>
      <c r="G42" s="20">
        <f>E42/'- 7 -'!$E42</f>
        <v>123.55226039783001</v>
      </c>
      <c r="H42" s="20">
        <v>496301</v>
      </c>
      <c r="I42" s="70">
        <f>H42/'- 3 -'!$D42*100</f>
        <v>2.3799860979935601</v>
      </c>
      <c r="J42" s="20">
        <f>H42/'- 7 -'!$E42</f>
        <v>358.98806509945751</v>
      </c>
    </row>
    <row r="43" spans="1:10" ht="14.1" customHeight="1" x14ac:dyDescent="0.2">
      <c r="A43" s="284" t="s">
        <v>141</v>
      </c>
      <c r="B43" s="285">
        <v>61191</v>
      </c>
      <c r="C43" s="291">
        <f>B43/'- 3 -'!$D43*100</f>
        <v>0.44431290589905603</v>
      </c>
      <c r="D43" s="285">
        <f>B43/'- 7 -'!$E43</f>
        <v>61.715582450832073</v>
      </c>
      <c r="E43" s="285">
        <v>92500</v>
      </c>
      <c r="F43" s="291">
        <f>E43/'- 3 -'!$D43*100</f>
        <v>0.67165014128977596</v>
      </c>
      <c r="G43" s="285">
        <f>E43/'- 7 -'!$E43</f>
        <v>93.292990418557736</v>
      </c>
      <c r="H43" s="285">
        <v>194001</v>
      </c>
      <c r="I43" s="291">
        <f>H43/'- 3 -'!$D43*100</f>
        <v>1.4086572871390035</v>
      </c>
      <c r="J43" s="285">
        <f>H43/'- 7 -'!$E43</f>
        <v>195.66414523449319</v>
      </c>
    </row>
    <row r="44" spans="1:10" ht="14.1" customHeight="1" x14ac:dyDescent="0.2">
      <c r="A44" s="19" t="s">
        <v>142</v>
      </c>
      <c r="B44" s="20">
        <v>122660</v>
      </c>
      <c r="C44" s="70">
        <f>B44/'- 3 -'!$D44*100</f>
        <v>1.1004770737681202</v>
      </c>
      <c r="D44" s="20">
        <f>B44/'- 7 -'!$E44</f>
        <v>172.7605633802817</v>
      </c>
      <c r="E44" s="20">
        <v>101064</v>
      </c>
      <c r="F44" s="70">
        <f>E44/'- 3 -'!$D44*100</f>
        <v>0.90672277012311497</v>
      </c>
      <c r="G44" s="20">
        <f>E44/'- 7 -'!$E44</f>
        <v>142.34366197183098</v>
      </c>
      <c r="H44" s="20">
        <v>95651</v>
      </c>
      <c r="I44" s="70">
        <f>H44/'- 3 -'!$D44*100</f>
        <v>0.85815858945862111</v>
      </c>
      <c r="J44" s="20">
        <f>H44/'- 7 -'!$E44</f>
        <v>134.71971830985916</v>
      </c>
    </row>
    <row r="45" spans="1:10" ht="14.1" customHeight="1" x14ac:dyDescent="0.2">
      <c r="A45" s="284" t="s">
        <v>143</v>
      </c>
      <c r="B45" s="285">
        <v>232739</v>
      </c>
      <c r="C45" s="291">
        <f>B45/'- 3 -'!$D45*100</f>
        <v>1.134510400649531</v>
      </c>
      <c r="D45" s="285">
        <f>B45/'- 7 -'!$E45</f>
        <v>128.05447042640989</v>
      </c>
      <c r="E45" s="285">
        <v>79150</v>
      </c>
      <c r="F45" s="291">
        <f>E45/'- 3 -'!$D45*100</f>
        <v>0.38582488629499306</v>
      </c>
      <c r="G45" s="285">
        <f>E45/'- 7 -'!$E45</f>
        <v>43.548830811554332</v>
      </c>
      <c r="H45" s="285">
        <v>254636</v>
      </c>
      <c r="I45" s="291">
        <f>H45/'- 3 -'!$D45*100</f>
        <v>1.241249598820112</v>
      </c>
      <c r="J45" s="285">
        <f>H45/'- 7 -'!$E45</f>
        <v>140.10233837689134</v>
      </c>
    </row>
    <row r="46" spans="1:10" ht="14.1" customHeight="1" x14ac:dyDescent="0.2">
      <c r="A46" s="19" t="s">
        <v>144</v>
      </c>
      <c r="B46" s="20">
        <v>2049044</v>
      </c>
      <c r="C46" s="70">
        <f>B46/'- 3 -'!$D46*100</f>
        <v>0.51041258675420242</v>
      </c>
      <c r="D46" s="20">
        <f>B46/'- 7 -'!$E46</f>
        <v>68.788720100713391</v>
      </c>
      <c r="E46" s="20">
        <v>3862863</v>
      </c>
      <c r="F46" s="70">
        <f>E46/'- 3 -'!$D46*100</f>
        <v>0.96223111661199023</v>
      </c>
      <c r="G46" s="20">
        <f>E46/'- 7 -'!$E46</f>
        <v>129.68067142257658</v>
      </c>
      <c r="H46" s="20">
        <v>3832823</v>
      </c>
      <c r="I46" s="70">
        <f>H46/'- 3 -'!$D46*100</f>
        <v>0.95474821526575437</v>
      </c>
      <c r="J46" s="20">
        <f>H46/'- 7 -'!$E46</f>
        <v>128.6721947125472</v>
      </c>
    </row>
    <row r="47" spans="1:10" ht="5.0999999999999996" customHeight="1" x14ac:dyDescent="0.2">
      <c r="A47" s="21"/>
      <c r="B47" s="22"/>
      <c r="C47"/>
      <c r="D47"/>
      <c r="E47"/>
      <c r="F47"/>
      <c r="G47"/>
      <c r="H47"/>
      <c r="I47"/>
      <c r="J47"/>
    </row>
    <row r="48" spans="1:10" ht="14.1" customHeight="1" x14ac:dyDescent="0.2">
      <c r="A48" s="286" t="s">
        <v>145</v>
      </c>
      <c r="B48" s="287">
        <f>SUM(B11:B46)</f>
        <v>13989468</v>
      </c>
      <c r="C48" s="294">
        <f>B48/'- 3 -'!$D48*100</f>
        <v>0.58381771040605546</v>
      </c>
      <c r="D48" s="287">
        <f>B48/'- 7 -'!$E48</f>
        <v>78.237051894685365</v>
      </c>
      <c r="E48" s="287">
        <v>15577424</v>
      </c>
      <c r="F48" s="294">
        <f>E48/'- 3 -'!$D48*100</f>
        <v>0.65008733811066566</v>
      </c>
      <c r="G48" s="287">
        <f>E48/'- 7 -'!$E48</f>
        <v>87.117803898870008</v>
      </c>
      <c r="H48" s="287">
        <v>25857880</v>
      </c>
      <c r="I48" s="294">
        <f>H48/'- 3 -'!$D48*100</f>
        <v>1.0791181121079467</v>
      </c>
      <c r="J48" s="287">
        <f>H48/'- 7 -'!$E48</f>
        <v>144.61195375310533</v>
      </c>
    </row>
    <row r="49" spans="1:10" ht="5.0999999999999996" customHeight="1" x14ac:dyDescent="0.2">
      <c r="A49" s="21" t="s">
        <v>7</v>
      </c>
      <c r="B49" s="22"/>
      <c r="C49"/>
      <c r="D49"/>
      <c r="E49"/>
      <c r="F49"/>
      <c r="G49"/>
      <c r="H49"/>
      <c r="I49"/>
      <c r="J49"/>
    </row>
    <row r="50" spans="1:10" ht="14.1" customHeight="1" x14ac:dyDescent="0.2">
      <c r="A50" s="19" t="s">
        <v>146</v>
      </c>
      <c r="B50" s="20">
        <v>0</v>
      </c>
      <c r="C50" s="70">
        <f>B50/'- 3 -'!$D50*100</f>
        <v>0</v>
      </c>
      <c r="D50" s="20">
        <f>B50/'- 7 -'!$E50</f>
        <v>0</v>
      </c>
      <c r="E50" s="20">
        <v>15210</v>
      </c>
      <c r="F50" s="70">
        <f>E50/'- 3 -'!$D50*100</f>
        <v>0.44771993984480812</v>
      </c>
      <c r="G50" s="20">
        <f>E50/'- 7 -'!$E50</f>
        <v>84.26592797783934</v>
      </c>
      <c r="H50" s="20">
        <v>36897</v>
      </c>
      <c r="I50" s="70">
        <f>H50/'- 3 -'!$D50*100</f>
        <v>1.0860961617655414</v>
      </c>
      <c r="J50" s="20">
        <f>H50/'- 7 -'!$E50</f>
        <v>204.41551246537395</v>
      </c>
    </row>
    <row r="51" spans="1:10" ht="14.1" customHeight="1" x14ac:dyDescent="0.2">
      <c r="A51" s="284" t="s">
        <v>601</v>
      </c>
      <c r="B51" s="285">
        <v>41911</v>
      </c>
      <c r="C51" s="291">
        <f>B51/'- 3 -'!$D51*100</f>
        <v>0.13338206388526985</v>
      </c>
      <c r="D51" s="285">
        <f>B51/'- 7 -'!$E51</f>
        <v>34.954962468723934</v>
      </c>
      <c r="E51" s="285">
        <v>260266</v>
      </c>
      <c r="F51" s="291">
        <f>E51/'- 3 -'!$D51*100</f>
        <v>0.82829844764294913</v>
      </c>
      <c r="G51" s="285">
        <f>E51/'- 7 -'!$E51</f>
        <v>217.06922435362802</v>
      </c>
      <c r="H51" s="285">
        <v>265291</v>
      </c>
      <c r="I51" s="291">
        <f>H51/'- 3 -'!$D51*100</f>
        <v>0.84429054687760063</v>
      </c>
      <c r="J51" s="285">
        <f>H51/'- 7 -'!$E51</f>
        <v>221.26021684737282</v>
      </c>
    </row>
    <row r="52" spans="1:10" ht="50.1" customHeight="1" x14ac:dyDescent="0.2">
      <c r="A52" s="23"/>
      <c r="B52" s="23"/>
      <c r="C52" s="23"/>
      <c r="D52" s="23"/>
      <c r="E52" s="23"/>
      <c r="F52" s="23"/>
      <c r="G52" s="23"/>
      <c r="H52" s="23"/>
      <c r="I52" s="23"/>
      <c r="J52" s="23"/>
    </row>
    <row r="53" spans="1:10" ht="15" customHeight="1" x14ac:dyDescent="0.2">
      <c r="A53" s="625" t="s">
        <v>513</v>
      </c>
      <c r="B53" s="625"/>
      <c r="C53" s="625"/>
      <c r="D53" s="625"/>
      <c r="E53" s="625"/>
      <c r="F53" s="625"/>
      <c r="G53" s="625"/>
      <c r="H53" s="625"/>
      <c r="I53" s="625"/>
      <c r="J53" s="625"/>
    </row>
    <row r="54" spans="1:10" ht="12" customHeight="1" x14ac:dyDescent="0.2">
      <c r="A54" s="626"/>
      <c r="B54" s="626"/>
      <c r="C54" s="626"/>
      <c r="D54" s="626"/>
      <c r="E54" s="626"/>
      <c r="F54" s="626"/>
      <c r="G54" s="626"/>
      <c r="H54" s="626"/>
      <c r="I54" s="626"/>
      <c r="J54" s="626"/>
    </row>
    <row r="55" spans="1:10" ht="12" customHeight="1" x14ac:dyDescent="0.2">
      <c r="A55" s="626"/>
      <c r="B55" s="626"/>
      <c r="C55" s="626"/>
      <c r="D55" s="626"/>
      <c r="E55" s="626"/>
      <c r="F55" s="626"/>
      <c r="G55" s="626"/>
      <c r="H55" s="626"/>
      <c r="I55" s="626"/>
      <c r="J55" s="626"/>
    </row>
    <row r="56" spans="1:10" x14ac:dyDescent="0.2">
      <c r="A56" s="133" t="s">
        <v>414</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autoPageBreaks="0" fitToPage="1"/>
  </sheetPr>
  <dimension ref="A1:H54"/>
  <sheetViews>
    <sheetView showGridLines="0" showZeros="0" workbookViewId="0"/>
  </sheetViews>
  <sheetFormatPr defaultColWidth="15.83203125" defaultRowHeight="12" x14ac:dyDescent="0.2"/>
  <cols>
    <col min="1" max="1" width="32.83203125" style="2" customWidth="1"/>
    <col min="2" max="2" width="18.83203125" style="2" customWidth="1"/>
    <col min="3" max="3" width="9.83203125" style="2" customWidth="1"/>
    <col min="4" max="4" width="10.83203125" style="2" customWidth="1"/>
    <col min="5" max="5" width="18.83203125" style="2" customWidth="1"/>
    <col min="6" max="6" width="9.83203125" style="2" customWidth="1"/>
    <col min="7" max="7" width="10.83203125" style="2" customWidth="1"/>
    <col min="8" max="8" width="22.1640625" style="2" customWidth="1"/>
    <col min="9" max="16384" width="15.83203125" style="2"/>
  </cols>
  <sheetData>
    <row r="1" spans="1:8" ht="6.95" customHeight="1" x14ac:dyDescent="0.2">
      <c r="A1" s="7"/>
      <c r="B1" s="7"/>
      <c r="C1" s="7"/>
      <c r="D1" s="7"/>
      <c r="E1" s="8"/>
      <c r="F1" s="8"/>
      <c r="G1" s="8"/>
    </row>
    <row r="2" spans="1:8" ht="15.95" customHeight="1" x14ac:dyDescent="0.2">
      <c r="A2" s="134"/>
      <c r="B2" s="9" t="s">
        <v>284</v>
      </c>
      <c r="C2" s="141"/>
      <c r="D2" s="141"/>
      <c r="E2" s="9"/>
      <c r="F2" s="142"/>
      <c r="G2" s="143"/>
      <c r="H2" s="144"/>
    </row>
    <row r="3" spans="1:8" ht="15.95" customHeight="1" x14ac:dyDescent="0.2">
      <c r="A3" s="541"/>
      <c r="B3" s="11" t="str">
        <f>OPYEAR</f>
        <v>OPERATING FUND 2018/2019 ACTUAL</v>
      </c>
      <c r="C3" s="145"/>
      <c r="D3" s="145"/>
      <c r="E3" s="11"/>
      <c r="F3" s="146"/>
      <c r="G3" s="146"/>
      <c r="H3" s="147"/>
    </row>
    <row r="4" spans="1:8" ht="15.95" customHeight="1" x14ac:dyDescent="0.2">
      <c r="E4" s="8"/>
      <c r="F4" s="8"/>
      <c r="G4" s="8"/>
    </row>
    <row r="5" spans="1:8" ht="18" customHeight="1" x14ac:dyDescent="0.2">
      <c r="B5" s="559" t="s">
        <v>265</v>
      </c>
      <c r="C5" s="560"/>
      <c r="D5" s="561"/>
      <c r="E5" s="148"/>
      <c r="F5" s="149"/>
      <c r="G5" s="150"/>
    </row>
    <row r="6" spans="1:8" ht="15.95" customHeight="1" x14ac:dyDescent="0.2">
      <c r="B6" s="676" t="s">
        <v>514</v>
      </c>
      <c r="C6" s="680"/>
      <c r="D6" s="677"/>
      <c r="E6" s="321"/>
      <c r="F6" s="322"/>
      <c r="G6" s="323"/>
    </row>
    <row r="7" spans="1:8" ht="15.95" customHeight="1" x14ac:dyDescent="0.2">
      <c r="B7" s="678"/>
      <c r="C7" s="681"/>
      <c r="D7" s="679"/>
      <c r="E7" s="716" t="s">
        <v>31</v>
      </c>
      <c r="F7" s="717"/>
      <c r="G7" s="718"/>
    </row>
    <row r="8" spans="1:8" ht="15.95" customHeight="1" x14ac:dyDescent="0.2">
      <c r="A8" s="67"/>
      <c r="B8" s="139"/>
      <c r="C8" s="68"/>
      <c r="D8" s="608" t="s">
        <v>473</v>
      </c>
      <c r="E8" s="139"/>
      <c r="F8" s="137"/>
      <c r="G8" s="608" t="s">
        <v>473</v>
      </c>
    </row>
    <row r="9" spans="1:8" ht="15.95" customHeight="1" x14ac:dyDescent="0.2">
      <c r="A9" s="35" t="s">
        <v>42</v>
      </c>
      <c r="B9" s="77" t="s">
        <v>43</v>
      </c>
      <c r="C9" s="77" t="s">
        <v>44</v>
      </c>
      <c r="D9" s="604"/>
      <c r="E9" s="77" t="s">
        <v>43</v>
      </c>
      <c r="F9" s="77" t="s">
        <v>44</v>
      </c>
      <c r="G9" s="604"/>
    </row>
    <row r="10" spans="1:8" ht="5.0999999999999996" customHeight="1" x14ac:dyDescent="0.2">
      <c r="A10" s="6"/>
      <c r="B10" s="6"/>
      <c r="C10" s="6"/>
      <c r="D10" s="6"/>
    </row>
    <row r="11" spans="1:8" ht="14.1" customHeight="1" x14ac:dyDescent="0.2">
      <c r="A11" s="284" t="s">
        <v>110</v>
      </c>
      <c r="B11" s="285">
        <f>'- 26 -'!B11</f>
        <v>11947</v>
      </c>
      <c r="C11" s="291">
        <f>'- 26 -'!C11</f>
        <v>5.9465801290846401E-2</v>
      </c>
      <c r="D11" s="285">
        <f>'- 26 -'!D11</f>
        <v>6.5896304467733042</v>
      </c>
      <c r="E11" s="285">
        <f>SUM('- 37 -'!B11,'- 37 -'!E11,'- 37 -'!H11,B11)</f>
        <v>477446</v>
      </c>
      <c r="F11" s="291">
        <f>E11/'- 3 -'!D11*100</f>
        <v>2.3764718308453543</v>
      </c>
      <c r="G11" s="285">
        <f>E11/'- 7 -'!E11</f>
        <v>263.3458356315499</v>
      </c>
    </row>
    <row r="12" spans="1:8" ht="14.1" customHeight="1" x14ac:dyDescent="0.2">
      <c r="A12" s="19" t="s">
        <v>111</v>
      </c>
      <c r="B12" s="20">
        <f>'- 26 -'!B12</f>
        <v>83405</v>
      </c>
      <c r="C12" s="70">
        <f>'- 26 -'!C12</f>
        <v>0.24610648359645182</v>
      </c>
      <c r="D12" s="20">
        <f>'- 26 -'!D12</f>
        <v>39.218590566472464</v>
      </c>
      <c r="E12" s="20">
        <f>SUM('- 37 -'!B12,'- 37 -'!E12,'- 37 -'!H12,B12)</f>
        <v>1070628</v>
      </c>
      <c r="F12" s="70">
        <f>E12/'- 3 -'!D12*100</f>
        <v>3.1591450431017569</v>
      </c>
      <c r="G12" s="20">
        <f>E12/'- 7 -'!E12</f>
        <v>503.42930496974139</v>
      </c>
    </row>
    <row r="13" spans="1:8" ht="14.1" customHeight="1" x14ac:dyDescent="0.2">
      <c r="A13" s="284" t="s">
        <v>112</v>
      </c>
      <c r="B13" s="285">
        <f>'- 26 -'!B13</f>
        <v>352736</v>
      </c>
      <c r="C13" s="291">
        <f>'- 26 -'!C13</f>
        <v>0.34955843344157639</v>
      </c>
      <c r="D13" s="285">
        <f>'- 26 -'!D13</f>
        <v>41.183420899007587</v>
      </c>
      <c r="E13" s="285">
        <f>SUM('- 37 -'!B13,'- 37 -'!E13,'- 37 -'!H13,B13)</f>
        <v>3101202</v>
      </c>
      <c r="F13" s="291">
        <f>E13/'- 3 -'!D13*100</f>
        <v>3.0732653114677366</v>
      </c>
      <c r="G13" s="285">
        <f>E13/'- 7 -'!E13</f>
        <v>362.07845884413308</v>
      </c>
    </row>
    <row r="14" spans="1:8" ht="14.1" customHeight="1" x14ac:dyDescent="0.2">
      <c r="A14" s="19" t="s">
        <v>359</v>
      </c>
      <c r="B14" s="20">
        <f>'- 26 -'!B14</f>
        <v>114240</v>
      </c>
      <c r="C14" s="70">
        <f>'- 26 -'!C14</f>
        <v>0.1251310335182598</v>
      </c>
      <c r="D14" s="20">
        <f>'- 26 -'!D14</f>
        <v>21.120354963948973</v>
      </c>
      <c r="E14" s="20">
        <f>SUM('- 37 -'!B14,'- 37 -'!E14,'- 37 -'!H14,B14)</f>
        <v>1746290</v>
      </c>
      <c r="F14" s="70">
        <f>E14/'- 3 -'!D14*100</f>
        <v>1.9127719933701146</v>
      </c>
      <c r="G14" s="20">
        <f>E14/'- 7 -'!E14</f>
        <v>322.84895544462933</v>
      </c>
    </row>
    <row r="15" spans="1:8" ht="14.1" customHeight="1" x14ac:dyDescent="0.2">
      <c r="A15" s="284" t="s">
        <v>113</v>
      </c>
      <c r="B15" s="285">
        <f>'- 26 -'!B15</f>
        <v>40794</v>
      </c>
      <c r="C15" s="291">
        <f>'- 26 -'!C15</f>
        <v>0.20140718421410836</v>
      </c>
      <c r="D15" s="285">
        <f>'- 26 -'!D15</f>
        <v>28.882752761257432</v>
      </c>
      <c r="E15" s="285">
        <f>SUM('- 37 -'!B15,'- 37 -'!E15,'- 37 -'!H15,B15)</f>
        <v>384887</v>
      </c>
      <c r="F15" s="291">
        <f>E15/'- 3 -'!D15*100</f>
        <v>1.900255108854624</v>
      </c>
      <c r="G15" s="285">
        <f>E15/'- 7 -'!E15</f>
        <v>272.50566411781364</v>
      </c>
    </row>
    <row r="16" spans="1:8" ht="14.1" customHeight="1" x14ac:dyDescent="0.2">
      <c r="A16" s="19" t="s">
        <v>114</v>
      </c>
      <c r="B16" s="20">
        <f>'- 26 -'!B16</f>
        <v>35578</v>
      </c>
      <c r="C16" s="70">
        <f>'- 26 -'!C16</f>
        <v>0.2366196628558872</v>
      </c>
      <c r="D16" s="20">
        <f>'- 26 -'!D16</f>
        <v>39.360548733266953</v>
      </c>
      <c r="E16" s="20">
        <f>SUM('- 37 -'!B16,'- 37 -'!E16,'- 37 -'!H16,B16)</f>
        <v>340974</v>
      </c>
      <c r="F16" s="70">
        <f>E16/'- 3 -'!D16*100</f>
        <v>2.2677259239592806</v>
      </c>
      <c r="G16" s="20">
        <f>E16/'- 7 -'!E16</f>
        <v>377.22535678725524</v>
      </c>
    </row>
    <row r="17" spans="1:7" ht="14.1" customHeight="1" x14ac:dyDescent="0.2">
      <c r="A17" s="284" t="s">
        <v>115</v>
      </c>
      <c r="B17" s="285">
        <f>'- 26 -'!B17</f>
        <v>94460</v>
      </c>
      <c r="C17" s="291">
        <f>'- 26 -'!C17</f>
        <v>0.51354668300273554</v>
      </c>
      <c r="D17" s="285">
        <f>'- 26 -'!D17</f>
        <v>65.941978398970804</v>
      </c>
      <c r="E17" s="285">
        <f>SUM('- 37 -'!B17,'- 37 -'!E17,'- 37 -'!H17,B17)</f>
        <v>472025</v>
      </c>
      <c r="F17" s="291">
        <f>E17/'- 3 -'!D17*100</f>
        <v>2.5662383341558996</v>
      </c>
      <c r="G17" s="285">
        <f>E17/'- 7 -'!E17</f>
        <v>329.51791608907678</v>
      </c>
    </row>
    <row r="18" spans="1:7" ht="14.1" customHeight="1" x14ac:dyDescent="0.2">
      <c r="A18" s="19" t="s">
        <v>116</v>
      </c>
      <c r="B18" s="20">
        <f>'- 26 -'!B18</f>
        <v>749632</v>
      </c>
      <c r="C18" s="70">
        <f>'- 26 -'!C18</f>
        <v>0.55730683719091756</v>
      </c>
      <c r="D18" s="20">
        <f>'- 26 -'!D18</f>
        <v>125.00116725029181</v>
      </c>
      <c r="E18" s="20">
        <f>SUM('- 37 -'!B18,'- 37 -'!E18,'- 37 -'!H18,B18)</f>
        <v>3189545</v>
      </c>
      <c r="F18" s="70">
        <f>E18/'- 3 -'!D18*100</f>
        <v>2.3712371350584087</v>
      </c>
      <c r="G18" s="20">
        <f>E18/'- 7 -'!E18</f>
        <v>531.85676171419038</v>
      </c>
    </row>
    <row r="19" spans="1:7" ht="14.1" customHeight="1" x14ac:dyDescent="0.2">
      <c r="A19" s="284" t="s">
        <v>117</v>
      </c>
      <c r="B19" s="285">
        <f>'- 26 -'!B19</f>
        <v>141147</v>
      </c>
      <c r="C19" s="291">
        <f>'- 26 -'!C19</f>
        <v>0.28174039702427112</v>
      </c>
      <c r="D19" s="285">
        <f>'- 26 -'!D19</f>
        <v>31.973496432212027</v>
      </c>
      <c r="E19" s="285">
        <f>SUM('- 37 -'!B19,'- 37 -'!E19,'- 37 -'!H19,B19)</f>
        <v>2138023</v>
      </c>
      <c r="F19" s="291">
        <f>E19/'- 3 -'!D19*100</f>
        <v>4.2676603035631162</v>
      </c>
      <c r="G19" s="285">
        <f>E19/'- 7 -'!E19</f>
        <v>484.31826933967608</v>
      </c>
    </row>
    <row r="20" spans="1:7" ht="14.1" customHeight="1" x14ac:dyDescent="0.2">
      <c r="A20" s="19" t="s">
        <v>118</v>
      </c>
      <c r="B20" s="20">
        <f>'- 26 -'!B20</f>
        <v>102437</v>
      </c>
      <c r="C20" s="70">
        <f>'- 26 -'!C20</f>
        <v>0.11717978881373597</v>
      </c>
      <c r="D20" s="20">
        <f>'- 26 -'!D20</f>
        <v>12.997145213474592</v>
      </c>
      <c r="E20" s="20">
        <f>SUM('- 37 -'!B20,'- 37 -'!E20,'- 37 -'!H20,B20)</f>
        <v>3044897</v>
      </c>
      <c r="F20" s="70">
        <f>E20/'- 3 -'!D20*100</f>
        <v>3.4831202340909848</v>
      </c>
      <c r="G20" s="20">
        <f>E20/'- 7 -'!E20</f>
        <v>386.33470786017892</v>
      </c>
    </row>
    <row r="21" spans="1:7" ht="14.1" customHeight="1" x14ac:dyDescent="0.2">
      <c r="A21" s="284" t="s">
        <v>119</v>
      </c>
      <c r="B21" s="285">
        <f>'- 26 -'!B21</f>
        <v>37707</v>
      </c>
      <c r="C21" s="291">
        <f>'- 26 -'!C21</f>
        <v>0.10122729674446333</v>
      </c>
      <c r="D21" s="285">
        <f>'- 26 -'!D21</f>
        <v>13.268702934759659</v>
      </c>
      <c r="E21" s="285">
        <f>SUM('- 37 -'!B21,'- 37 -'!E21,'- 37 -'!H21,B21)</f>
        <v>946188</v>
      </c>
      <c r="F21" s="291">
        <f>E21/'- 3 -'!D21*100</f>
        <v>2.5401133331225045</v>
      </c>
      <c r="G21" s="285">
        <f>E21/'- 7 -'!E21</f>
        <v>332.95376170033074</v>
      </c>
    </row>
    <row r="22" spans="1:7" ht="14.1" customHeight="1" x14ac:dyDescent="0.2">
      <c r="A22" s="19" t="s">
        <v>120</v>
      </c>
      <c r="B22" s="20">
        <f>'- 26 -'!B22</f>
        <v>22663</v>
      </c>
      <c r="C22" s="70">
        <f>'- 26 -'!C22</f>
        <v>0.10806007631006809</v>
      </c>
      <c r="D22" s="20">
        <f>'- 26 -'!D22</f>
        <v>15.431703663352854</v>
      </c>
      <c r="E22" s="20">
        <f>SUM('- 37 -'!B22,'- 37 -'!E22,'- 37 -'!H22,B22)</f>
        <v>399687</v>
      </c>
      <c r="F22" s="70">
        <f>E22/'- 3 -'!D22*100</f>
        <v>1.9057586250779766</v>
      </c>
      <c r="G22" s="20">
        <f>E22/'- 7 -'!E22</f>
        <v>272.155113713741</v>
      </c>
    </row>
    <row r="23" spans="1:7" ht="14.1" customHeight="1" x14ac:dyDescent="0.2">
      <c r="A23" s="284" t="s">
        <v>121</v>
      </c>
      <c r="B23" s="285">
        <f>'- 26 -'!B23</f>
        <v>47195</v>
      </c>
      <c r="C23" s="291">
        <f>'- 26 -'!C23</f>
        <v>0.29558754404924559</v>
      </c>
      <c r="D23" s="285">
        <f>'- 26 -'!D23</f>
        <v>49.08476339053562</v>
      </c>
      <c r="E23" s="285">
        <f>SUM('- 37 -'!B23,'- 37 -'!E23,'- 37 -'!H23,B23)</f>
        <v>566635</v>
      </c>
      <c r="F23" s="291">
        <f>E23/'- 3 -'!D23*100</f>
        <v>3.5488981464634874</v>
      </c>
      <c r="G23" s="285">
        <f>E23/'- 7 -'!E23</f>
        <v>589.32397295891838</v>
      </c>
    </row>
    <row r="24" spans="1:7" ht="14.1" customHeight="1" x14ac:dyDescent="0.2">
      <c r="A24" s="19" t="s">
        <v>122</v>
      </c>
      <c r="B24" s="20">
        <f>'- 26 -'!B24</f>
        <v>169058</v>
      </c>
      <c r="C24" s="70">
        <f>'- 26 -'!C24</f>
        <v>0.29194891520854249</v>
      </c>
      <c r="D24" s="20">
        <f>'- 26 -'!D24</f>
        <v>44.145080426154166</v>
      </c>
      <c r="E24" s="20">
        <f>SUM('- 37 -'!B24,'- 37 -'!E24,'- 37 -'!H24,B24)</f>
        <v>2408542</v>
      </c>
      <c r="F24" s="70">
        <f>E24/'- 3 -'!D24*100</f>
        <v>4.1593490052775577</v>
      </c>
      <c r="G24" s="20">
        <f>E24/'- 7 -'!E24</f>
        <v>628.92782536035099</v>
      </c>
    </row>
    <row r="25" spans="1:7" ht="14.1" customHeight="1" x14ac:dyDescent="0.2">
      <c r="A25" s="284" t="s">
        <v>123</v>
      </c>
      <c r="B25" s="285">
        <f>'- 26 -'!B25</f>
        <v>937103</v>
      </c>
      <c r="C25" s="291">
        <f>'- 26 -'!C25</f>
        <v>0.48231766613142329</v>
      </c>
      <c r="D25" s="285">
        <f>'- 26 -'!D25</f>
        <v>62.970157979263121</v>
      </c>
      <c r="E25" s="285">
        <f>SUM('- 37 -'!B25,'- 37 -'!E25,'- 37 -'!H25,B25)</f>
        <v>5465878</v>
      </c>
      <c r="F25" s="291">
        <f>E25/'- 3 -'!D25*100</f>
        <v>2.8132334656052658</v>
      </c>
      <c r="G25" s="285">
        <f>E25/'- 7 -'!E25</f>
        <v>367.28854902329704</v>
      </c>
    </row>
    <row r="26" spans="1:7" ht="14.1" customHeight="1" x14ac:dyDescent="0.2">
      <c r="A26" s="19" t="s">
        <v>124</v>
      </c>
      <c r="B26" s="20">
        <f>'- 26 -'!B26</f>
        <v>24864</v>
      </c>
      <c r="C26" s="70">
        <f>'- 26 -'!C26</f>
        <v>6.0743901716836093E-2</v>
      </c>
      <c r="D26" s="20">
        <f>'- 26 -'!D26</f>
        <v>8.2852382539153613</v>
      </c>
      <c r="E26" s="20">
        <f>SUM('- 37 -'!B26,'- 37 -'!E26,'- 37 -'!H26,B26)</f>
        <v>1259979</v>
      </c>
      <c r="F26" s="70">
        <f>E26/'- 3 -'!D26*100</f>
        <v>3.0781869587064596</v>
      </c>
      <c r="G26" s="20">
        <f>E26/'- 7 -'!E26</f>
        <v>419.85304898367212</v>
      </c>
    </row>
    <row r="27" spans="1:7" ht="14.1" customHeight="1" x14ac:dyDescent="0.2">
      <c r="A27" s="284" t="s">
        <v>125</v>
      </c>
      <c r="B27" s="285">
        <f>'- 26 -'!B27</f>
        <v>198597</v>
      </c>
      <c r="C27" s="291">
        <f>'- 26 -'!C27</f>
        <v>0.4816737586478238</v>
      </c>
      <c r="D27" s="285">
        <f>'- 26 -'!D27</f>
        <v>66.837071240105544</v>
      </c>
      <c r="E27" s="285">
        <f>SUM('- 37 -'!B27,'- 37 -'!E27,'- 37 -'!H27,B27)</f>
        <v>742941</v>
      </c>
      <c r="F27" s="291">
        <f>E27/'- 3 -'!D27*100</f>
        <v>1.8019163629036334</v>
      </c>
      <c r="G27" s="285">
        <f>E27/'- 7 -'!E27</f>
        <v>250.03399116902696</v>
      </c>
    </row>
    <row r="28" spans="1:7" ht="14.1" customHeight="1" x14ac:dyDescent="0.2">
      <c r="A28" s="19" t="s">
        <v>126</v>
      </c>
      <c r="B28" s="20">
        <f>'- 26 -'!B28</f>
        <v>81783</v>
      </c>
      <c r="C28" s="70">
        <f>'- 26 -'!C28</f>
        <v>0.28137224109723302</v>
      </c>
      <c r="D28" s="20">
        <f>'- 26 -'!D28</f>
        <v>41.514213197969546</v>
      </c>
      <c r="E28" s="20">
        <f>SUM('- 37 -'!B28,'- 37 -'!E28,'- 37 -'!H28,B28)</f>
        <v>943138</v>
      </c>
      <c r="F28" s="70">
        <f>E28/'- 3 -'!D28*100</f>
        <v>3.2448412594788913</v>
      </c>
      <c r="G28" s="20">
        <f>E28/'- 7 -'!E28</f>
        <v>478.75025380710662</v>
      </c>
    </row>
    <row r="29" spans="1:7" ht="14.1" customHeight="1" x14ac:dyDescent="0.2">
      <c r="A29" s="284" t="s">
        <v>127</v>
      </c>
      <c r="B29" s="285">
        <f>'- 26 -'!B29</f>
        <v>1534456</v>
      </c>
      <c r="C29" s="291">
        <f>'- 26 -'!C29</f>
        <v>0.92048586322625148</v>
      </c>
      <c r="D29" s="285">
        <f>'- 26 -'!D29</f>
        <v>110.61135339700847</v>
      </c>
      <c r="E29" s="285">
        <f>SUM('- 37 -'!B29,'- 37 -'!E29,'- 37 -'!H29,B29)</f>
        <v>4550372</v>
      </c>
      <c r="F29" s="291">
        <f>E29/'- 3 -'!D29*100</f>
        <v>2.7296664736040426</v>
      </c>
      <c r="G29" s="285">
        <f>E29/'- 7 -'!E29</f>
        <v>328.01384033159127</v>
      </c>
    </row>
    <row r="30" spans="1:7" ht="14.1" customHeight="1" x14ac:dyDescent="0.2">
      <c r="A30" s="19" t="s">
        <v>128</v>
      </c>
      <c r="B30" s="20">
        <f>'- 26 -'!B30</f>
        <v>37259</v>
      </c>
      <c r="C30" s="70">
        <f>'- 26 -'!C30</f>
        <v>0.2417227208977431</v>
      </c>
      <c r="D30" s="20">
        <f>'- 26 -'!D30</f>
        <v>36.403517342452368</v>
      </c>
      <c r="E30" s="20">
        <f>SUM('- 37 -'!B30,'- 37 -'!E30,'- 37 -'!H30,B30)</f>
        <v>413245</v>
      </c>
      <c r="F30" s="70">
        <f>E30/'- 3 -'!D30*100</f>
        <v>2.6809819318121217</v>
      </c>
      <c r="G30" s="20">
        <f>E30/'- 7 -'!E30</f>
        <v>403.75671714704447</v>
      </c>
    </row>
    <row r="31" spans="1:7" ht="14.1" customHeight="1" x14ac:dyDescent="0.2">
      <c r="A31" s="284" t="s">
        <v>129</v>
      </c>
      <c r="B31" s="285">
        <f>'- 26 -'!B31</f>
        <v>84248</v>
      </c>
      <c r="C31" s="291">
        <f>'- 26 -'!C31</f>
        <v>0.21742961281486492</v>
      </c>
      <c r="D31" s="285">
        <f>'- 26 -'!D31</f>
        <v>25.205086013462978</v>
      </c>
      <c r="E31" s="285">
        <f>SUM('- 37 -'!B31,'- 37 -'!E31,'- 37 -'!H31,B31)</f>
        <v>833356</v>
      </c>
      <c r="F31" s="291">
        <f>E31/'- 3 -'!D31*100</f>
        <v>2.1507486518011651</v>
      </c>
      <c r="G31" s="285">
        <f>E31/'- 7 -'!E31</f>
        <v>249.32116679132386</v>
      </c>
    </row>
    <row r="32" spans="1:7" ht="14.1" customHeight="1" x14ac:dyDescent="0.2">
      <c r="A32" s="19" t="s">
        <v>130</v>
      </c>
      <c r="B32" s="20">
        <f>'- 26 -'!B32</f>
        <v>65822</v>
      </c>
      <c r="C32" s="70">
        <f>'- 26 -'!C32</f>
        <v>0.21882612096773926</v>
      </c>
      <c r="D32" s="20">
        <f>'- 26 -'!D32</f>
        <v>29.562991241859422</v>
      </c>
      <c r="E32" s="20">
        <f>SUM('- 37 -'!B32,'- 37 -'!E32,'- 37 -'!H32,B32)</f>
        <v>751024</v>
      </c>
      <c r="F32" s="70">
        <f>E32/'- 3 -'!D32*100</f>
        <v>2.4967893511846402</v>
      </c>
      <c r="G32" s="20">
        <f>E32/'- 7 -'!E32</f>
        <v>337.31147540983608</v>
      </c>
    </row>
    <row r="33" spans="1:7" ht="14.1" customHeight="1" x14ac:dyDescent="0.2">
      <c r="A33" s="284" t="s">
        <v>131</v>
      </c>
      <c r="B33" s="285">
        <f>'- 26 -'!B33</f>
        <v>21467</v>
      </c>
      <c r="C33" s="291">
        <f>'- 26 -'!C33</f>
        <v>7.6601747099333733E-2</v>
      </c>
      <c r="D33" s="285">
        <f>'- 26 -'!D33</f>
        <v>10.480910067376234</v>
      </c>
      <c r="E33" s="285">
        <f>SUM('- 37 -'!B33,'- 37 -'!E33,'- 37 -'!H33,B33)</f>
        <v>1011343</v>
      </c>
      <c r="F33" s="291">
        <f>E33/'- 3 -'!D33*100</f>
        <v>3.6088247410761394</v>
      </c>
      <c r="G33" s="285">
        <f>E33/'- 7 -'!E33</f>
        <v>493.77160433551416</v>
      </c>
    </row>
    <row r="34" spans="1:7" ht="14.1" customHeight="1" x14ac:dyDescent="0.2">
      <c r="A34" s="19" t="s">
        <v>132</v>
      </c>
      <c r="B34" s="20">
        <f>'- 26 -'!B34</f>
        <v>63363</v>
      </c>
      <c r="C34" s="70">
        <f>'- 26 -'!C34</f>
        <v>0.20597644073958682</v>
      </c>
      <c r="D34" s="20">
        <f>'- 26 -'!D34</f>
        <v>29.039221257756715</v>
      </c>
      <c r="E34" s="20">
        <f>SUM('- 37 -'!B34,'- 37 -'!E34,'- 37 -'!H34,B34)</f>
        <v>1036781</v>
      </c>
      <c r="F34" s="70">
        <f>E34/'- 3 -'!D34*100</f>
        <v>3.3703022301095209</v>
      </c>
      <c r="G34" s="20">
        <f>E34/'- 7 -'!E34</f>
        <v>475.15605092622297</v>
      </c>
    </row>
    <row r="35" spans="1:7" ht="14.1" customHeight="1" x14ac:dyDescent="0.2">
      <c r="A35" s="284" t="s">
        <v>133</v>
      </c>
      <c r="B35" s="285">
        <f>'- 26 -'!B35</f>
        <v>1232811</v>
      </c>
      <c r="C35" s="291">
        <f>'- 26 -'!C35</f>
        <v>0.63925330487457765</v>
      </c>
      <c r="D35" s="285">
        <f>'- 26 -'!D35</f>
        <v>76.738935574229686</v>
      </c>
      <c r="E35" s="285">
        <f>SUM('- 37 -'!B35,'- 37 -'!E35,'- 37 -'!H35,B35)</f>
        <v>3476957</v>
      </c>
      <c r="F35" s="291">
        <f>E35/'- 3 -'!D35*100</f>
        <v>1.8029172786070184</v>
      </c>
      <c r="G35" s="285">
        <f>E35/'- 7 -'!E35</f>
        <v>216.43056333644569</v>
      </c>
    </row>
    <row r="36" spans="1:7" ht="14.1" customHeight="1" x14ac:dyDescent="0.2">
      <c r="A36" s="19" t="s">
        <v>134</v>
      </c>
      <c r="B36" s="20">
        <f>'- 26 -'!B36</f>
        <v>28890</v>
      </c>
      <c r="C36" s="70">
        <f>'- 26 -'!C36</f>
        <v>0.12028367462004472</v>
      </c>
      <c r="D36" s="20">
        <f>'- 26 -'!D36</f>
        <v>17.206670637284098</v>
      </c>
      <c r="E36" s="20">
        <f>SUM('- 37 -'!B36,'- 37 -'!E36,'- 37 -'!H36,B36)</f>
        <v>825386</v>
      </c>
      <c r="F36" s="70">
        <f>E36/'- 3 -'!D36*100</f>
        <v>3.4364991713374953</v>
      </c>
      <c r="G36" s="20">
        <f>E36/'- 7 -'!E36</f>
        <v>491.59380583680763</v>
      </c>
    </row>
    <row r="37" spans="1:7" ht="14.1" customHeight="1" x14ac:dyDescent="0.2">
      <c r="A37" s="284" t="s">
        <v>135</v>
      </c>
      <c r="B37" s="285">
        <f>'- 26 -'!B37</f>
        <v>100425</v>
      </c>
      <c r="C37" s="291">
        <f>'- 26 -'!C37</f>
        <v>0.18720842532426951</v>
      </c>
      <c r="D37" s="285">
        <f>'- 26 -'!D37</f>
        <v>23.155406963338713</v>
      </c>
      <c r="E37" s="285">
        <f>SUM('- 37 -'!B37,'- 37 -'!E37,'- 37 -'!H37,B37)</f>
        <v>1914921</v>
      </c>
      <c r="F37" s="291">
        <f>E37/'- 3 -'!D37*100</f>
        <v>3.5697221312459595</v>
      </c>
      <c r="G37" s="285">
        <f>E37/'- 7 -'!E37</f>
        <v>441.53124279455847</v>
      </c>
    </row>
    <row r="38" spans="1:7" ht="14.1" customHeight="1" x14ac:dyDescent="0.2">
      <c r="A38" s="19" t="s">
        <v>136</v>
      </c>
      <c r="B38" s="20">
        <f>'- 26 -'!B38</f>
        <v>611358</v>
      </c>
      <c r="C38" s="70">
        <f>'- 26 -'!C38</f>
        <v>0.42389259690194214</v>
      </c>
      <c r="D38" s="20">
        <f>'- 26 -'!D38</f>
        <v>54.072331355085218</v>
      </c>
      <c r="E38" s="20">
        <f>SUM('- 37 -'!B38,'- 37 -'!E38,'- 37 -'!H38,B38)</f>
        <v>2813189</v>
      </c>
      <c r="F38" s="70">
        <f>E38/'- 3 -'!D38*100</f>
        <v>1.9505592317201665</v>
      </c>
      <c r="G38" s="20">
        <f>E38/'- 7 -'!E38</f>
        <v>248.81605830377757</v>
      </c>
    </row>
    <row r="39" spans="1:7" ht="14.1" customHeight="1" x14ac:dyDescent="0.2">
      <c r="A39" s="284" t="s">
        <v>137</v>
      </c>
      <c r="B39" s="285">
        <f>'- 26 -'!B39</f>
        <v>54252</v>
      </c>
      <c r="C39" s="291">
        <f>'- 26 -'!C39</f>
        <v>0.24299404567841953</v>
      </c>
      <c r="D39" s="285">
        <f>'- 26 -'!D39</f>
        <v>36.095808383233532</v>
      </c>
      <c r="E39" s="285">
        <f>SUM('- 37 -'!B39,'- 37 -'!E39,'- 37 -'!H39,B39)</f>
        <v>464800</v>
      </c>
      <c r="F39" s="291">
        <f>E39/'- 3 -'!D39*100</f>
        <v>2.0818335256088143</v>
      </c>
      <c r="G39" s="285">
        <f>E39/'- 7 -'!E39</f>
        <v>309.24817032601464</v>
      </c>
    </row>
    <row r="40" spans="1:7" ht="14.1" customHeight="1" x14ac:dyDescent="0.2">
      <c r="A40" s="19" t="s">
        <v>138</v>
      </c>
      <c r="B40" s="20">
        <f>'- 26 -'!B40</f>
        <v>462103</v>
      </c>
      <c r="C40" s="70">
        <f>'- 26 -'!C40</f>
        <v>0.4333347468275292</v>
      </c>
      <c r="D40" s="20">
        <f>'- 26 -'!D40</f>
        <v>56.348870530134441</v>
      </c>
      <c r="E40" s="20">
        <f>SUM('- 37 -'!B40,'- 37 -'!E40,'- 37 -'!H40,B40)</f>
        <v>2782929</v>
      </c>
      <c r="F40" s="70">
        <f>E40/'- 3 -'!D40*100</f>
        <v>2.6096775689705303</v>
      </c>
      <c r="G40" s="20">
        <f>E40/'- 7 -'!E40</f>
        <v>339.35054720604825</v>
      </c>
    </row>
    <row r="41" spans="1:7" ht="14.1" customHeight="1" x14ac:dyDescent="0.2">
      <c r="A41" s="284" t="s">
        <v>139</v>
      </c>
      <c r="B41" s="285">
        <f>'- 26 -'!B41</f>
        <v>121466</v>
      </c>
      <c r="C41" s="291">
        <f>'- 26 -'!C41</f>
        <v>0.18536871795371102</v>
      </c>
      <c r="D41" s="285">
        <f>'- 26 -'!D41</f>
        <v>27.280404267265581</v>
      </c>
      <c r="E41" s="285">
        <f>SUM('- 37 -'!B41,'- 37 -'!E41,'- 37 -'!H41,B41)</f>
        <v>1673933</v>
      </c>
      <c r="F41" s="291">
        <f>E41/'- 3 -'!D41*100</f>
        <v>2.5545816454844097</v>
      </c>
      <c r="G41" s="285">
        <f>E41/'- 7 -'!E41</f>
        <v>375.95350926445815</v>
      </c>
    </row>
    <row r="42" spans="1:7" ht="14.1" customHeight="1" x14ac:dyDescent="0.2">
      <c r="A42" s="19" t="s">
        <v>140</v>
      </c>
      <c r="B42" s="20">
        <f>'- 26 -'!B42</f>
        <v>13500</v>
      </c>
      <c r="C42" s="70">
        <f>'- 26 -'!C42</f>
        <v>6.4738560516527391E-2</v>
      </c>
      <c r="D42" s="20">
        <f>'- 26 -'!D42</f>
        <v>9.7649186256781189</v>
      </c>
      <c r="E42" s="20">
        <f>SUM('- 37 -'!B42,'- 37 -'!E42,'- 37 -'!H42,B42)</f>
        <v>876075</v>
      </c>
      <c r="F42" s="70">
        <f>E42/'- 3 -'!D42*100</f>
        <v>4.201172918853092</v>
      </c>
      <c r="G42" s="20">
        <f>E42/'- 7 -'!E42</f>
        <v>633.68896925858951</v>
      </c>
    </row>
    <row r="43" spans="1:7" ht="14.1" customHeight="1" x14ac:dyDescent="0.2">
      <c r="A43" s="284" t="s">
        <v>141</v>
      </c>
      <c r="B43" s="285">
        <f>'- 26 -'!B43</f>
        <v>21398</v>
      </c>
      <c r="C43" s="291">
        <f>'- 26 -'!C43</f>
        <v>0.15537264565749867</v>
      </c>
      <c r="D43" s="285">
        <f>'- 26 -'!D43</f>
        <v>21.581442259203229</v>
      </c>
      <c r="E43" s="285">
        <f>SUM('- 37 -'!B43,'- 37 -'!E43,'- 37 -'!H43,B43)</f>
        <v>369090</v>
      </c>
      <c r="F43" s="291">
        <f>E43/'- 3 -'!D43*100</f>
        <v>2.6799929799853341</v>
      </c>
      <c r="G43" s="285">
        <f>E43/'- 7 -'!E43</f>
        <v>372.25416036308621</v>
      </c>
    </row>
    <row r="44" spans="1:7" ht="14.1" customHeight="1" x14ac:dyDescent="0.2">
      <c r="A44" s="19" t="s">
        <v>142</v>
      </c>
      <c r="B44" s="20">
        <f>'- 26 -'!B44</f>
        <v>9766</v>
      </c>
      <c r="C44" s="70">
        <f>'- 26 -'!C44</f>
        <v>8.7618287154895336E-2</v>
      </c>
      <c r="D44" s="20">
        <f>'- 26 -'!D44</f>
        <v>13.75492957746479</v>
      </c>
      <c r="E44" s="20">
        <f>SUM('- 37 -'!B44,'- 37 -'!E44,'- 37 -'!H44,B44)</f>
        <v>329141</v>
      </c>
      <c r="F44" s="70">
        <f>E44/'- 3 -'!D44*100</f>
        <v>2.9529767205047515</v>
      </c>
      <c r="G44" s="20">
        <f>E44/'- 7 -'!E44</f>
        <v>463.57887323943663</v>
      </c>
    </row>
    <row r="45" spans="1:7" ht="14.1" customHeight="1" x14ac:dyDescent="0.2">
      <c r="A45" s="284" t="s">
        <v>143</v>
      </c>
      <c r="B45" s="285">
        <f>'- 26 -'!B45</f>
        <v>57323</v>
      </c>
      <c r="C45" s="291">
        <f>'- 26 -'!C45</f>
        <v>0.27942691038645467</v>
      </c>
      <c r="D45" s="285">
        <f>'- 26 -'!D45</f>
        <v>31.539477303988996</v>
      </c>
      <c r="E45" s="285">
        <f>SUM('- 37 -'!B45,'- 37 -'!E45,'- 37 -'!H45,B45)</f>
        <v>623848</v>
      </c>
      <c r="F45" s="291">
        <f>E45/'- 3 -'!D45*100</f>
        <v>3.041011796151091</v>
      </c>
      <c r="G45" s="285">
        <f>E45/'- 7 -'!E45</f>
        <v>343.24511691884459</v>
      </c>
    </row>
    <row r="46" spans="1:7" ht="14.1" customHeight="1" x14ac:dyDescent="0.2">
      <c r="A46" s="19" t="s">
        <v>144</v>
      </c>
      <c r="B46" s="20">
        <f>'- 26 -'!B46</f>
        <v>1010836</v>
      </c>
      <c r="C46" s="70">
        <f>'- 26 -'!C46</f>
        <v>0.25179713932168901</v>
      </c>
      <c r="D46" s="20">
        <f>'- 26 -'!D46</f>
        <v>33.934905581200169</v>
      </c>
      <c r="E46" s="20">
        <f>SUM('- 37 -'!B46,'- 37 -'!E46,'- 37 -'!H46,B46)</f>
        <v>10755566</v>
      </c>
      <c r="F46" s="70">
        <f>E46/'- 3 -'!D46*100</f>
        <v>2.6791890579536362</v>
      </c>
      <c r="G46" s="20">
        <f>E46/'- 7 -'!E46</f>
        <v>361.07649181703732</v>
      </c>
    </row>
    <row r="47" spans="1:7" ht="5.0999999999999996" customHeight="1" x14ac:dyDescent="0.2">
      <c r="A47" s="21"/>
      <c r="B47" s="22"/>
      <c r="C47"/>
      <c r="D47"/>
      <c r="E47"/>
      <c r="F47"/>
      <c r="G47"/>
    </row>
    <row r="48" spans="1:7" ht="14.1" customHeight="1" x14ac:dyDescent="0.2">
      <c r="A48" s="286" t="s">
        <v>145</v>
      </c>
      <c r="B48" s="287">
        <f>SUM(B11:B46)</f>
        <v>8776089</v>
      </c>
      <c r="C48" s="294">
        <f>'- 26 -'!C48</f>
        <v>0.36624953760212819</v>
      </c>
      <c r="D48" s="287">
        <f>'- 26 -'!D48</f>
        <v>49.080875021507417</v>
      </c>
      <c r="E48" s="287">
        <f>SUM('- 37 -'!B48,'- 37 -'!E48,'- 37 -'!H48,B48)</f>
        <v>64200861</v>
      </c>
      <c r="F48" s="294">
        <f>E48/'- 3 -'!D48*100</f>
        <v>2.679272698226796</v>
      </c>
      <c r="G48" s="287">
        <f>E48/'- 7 -'!E48</f>
        <v>359.04768456816811</v>
      </c>
    </row>
    <row r="49" spans="1:8" ht="5.0999999999999996" customHeight="1" x14ac:dyDescent="0.2">
      <c r="A49" s="21" t="s">
        <v>7</v>
      </c>
      <c r="B49" s="22"/>
      <c r="C49"/>
      <c r="D49"/>
      <c r="E49"/>
      <c r="F49"/>
      <c r="G49"/>
    </row>
    <row r="50" spans="1:8" ht="14.1" customHeight="1" x14ac:dyDescent="0.2">
      <c r="A50" s="19" t="s">
        <v>146</v>
      </c>
      <c r="B50" s="20">
        <f>'- 26 -'!B50</f>
        <v>7547</v>
      </c>
      <c r="C50" s="70">
        <f>'- 26 -'!C50</f>
        <v>0.22215268810051061</v>
      </c>
      <c r="D50" s="20">
        <f>'- 26 -'!D50</f>
        <v>41.81163434903047</v>
      </c>
      <c r="E50" s="20">
        <f>SUM('- 37 -'!B50,'- 37 -'!E50,'- 37 -'!H50,B50)</f>
        <v>59654</v>
      </c>
      <c r="F50" s="70">
        <f>E50/'- 3 -'!D50*100</f>
        <v>1.75596878971086</v>
      </c>
      <c r="G50" s="20">
        <f>E50/'- 7 -'!E50</f>
        <v>330.49307479224376</v>
      </c>
    </row>
    <row r="51" spans="1:8" ht="14.1" customHeight="1" x14ac:dyDescent="0.2">
      <c r="A51" s="284" t="s">
        <v>601</v>
      </c>
      <c r="B51" s="285">
        <f>'- 26 -'!B51</f>
        <v>1645986</v>
      </c>
      <c r="C51" s="291">
        <f>'- 26 -'!C51</f>
        <v>5.2383624777805293</v>
      </c>
      <c r="D51" s="285">
        <f>'- 26 -'!D51</f>
        <v>1372.7989991659717</v>
      </c>
      <c r="E51" s="285">
        <f>SUM('- 37 -'!B51,'- 37 -'!E51,'- 37 -'!H51,B51)</f>
        <v>2213454</v>
      </c>
      <c r="F51" s="291">
        <f>E51/'- 3 -'!D51*100</f>
        <v>7.0443335361863495</v>
      </c>
      <c r="G51" s="285">
        <f>E51/'- 7 -'!E51</f>
        <v>1846.0834028356965</v>
      </c>
    </row>
    <row r="52" spans="1:8" ht="50.1" customHeight="1" x14ac:dyDescent="0.2">
      <c r="A52" s="23"/>
      <c r="B52" s="23"/>
      <c r="C52" s="23"/>
      <c r="D52" s="23"/>
      <c r="E52" s="23"/>
      <c r="F52" s="23"/>
      <c r="G52" s="23"/>
      <c r="H52" s="23"/>
    </row>
    <row r="53" spans="1:8" ht="15" customHeight="1" x14ac:dyDescent="0.2">
      <c r="A53" s="133" t="s">
        <v>348</v>
      </c>
    </row>
    <row r="54" spans="1:8" ht="12" customHeight="1" x14ac:dyDescent="0.2">
      <c r="A54" s="133" t="s">
        <v>415</v>
      </c>
      <c r="B54" s="130"/>
      <c r="C54" s="130"/>
      <c r="D54" s="130"/>
    </row>
  </sheetData>
  <mergeCells count="4">
    <mergeCell ref="D8:D9"/>
    <mergeCell ref="G8:G9"/>
    <mergeCell ref="E7:G7"/>
    <mergeCell ref="B6:D7"/>
  </mergeCells>
  <phoneticPr fontId="6" type="noConversion"/>
  <pageMargins left="0.5" right="0.5" top="0.6" bottom="0.2" header="0.3" footer="0.5"/>
  <pageSetup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M55"/>
  <sheetViews>
    <sheetView showGridLines="0" showZeros="0" workbookViewId="0"/>
  </sheetViews>
  <sheetFormatPr defaultColWidth="14.83203125" defaultRowHeight="12" x14ac:dyDescent="0.2"/>
  <cols>
    <col min="1" max="1" width="31.83203125" style="2" customWidth="1"/>
    <col min="2" max="2" width="15.83203125" style="2" customWidth="1"/>
    <col min="3" max="3" width="13.83203125" style="2" customWidth="1"/>
    <col min="4" max="5" width="14.83203125" style="2" customWidth="1"/>
    <col min="6" max="6" width="12.83203125" style="2" customWidth="1"/>
    <col min="7" max="7" width="16.83203125" style="2" customWidth="1"/>
    <col min="8" max="8" width="11.83203125" style="2" customWidth="1"/>
    <col min="9" max="10" width="14.83203125" style="2"/>
    <col min="11" max="11" width="19.5" style="2" customWidth="1"/>
    <col min="12" max="16384" width="14.83203125" style="2"/>
  </cols>
  <sheetData>
    <row r="1" spans="1:13" ht="6.95" customHeight="1" x14ac:dyDescent="0.2">
      <c r="A1" s="7"/>
      <c r="J1" s="495">
        <v>100.00000000000003</v>
      </c>
    </row>
    <row r="2" spans="1:13" ht="15.95" customHeight="1" x14ac:dyDescent="0.2">
      <c r="A2" s="204" t="str">
        <f>"  SUMMARY"&amp;REPLACE(REVYEAR,1,8,"")</f>
        <v xml:space="preserve">  SUMMARY OF OPERATING FUND REVENUE: 2018/2019 ACTUAL</v>
      </c>
      <c r="B2" s="41"/>
      <c r="C2" s="41"/>
      <c r="D2" s="41"/>
      <c r="E2" s="41"/>
      <c r="F2" s="41"/>
      <c r="G2" s="41"/>
      <c r="H2" s="41"/>
    </row>
    <row r="3" spans="1:13" ht="15.95" customHeight="1" x14ac:dyDescent="0.2">
      <c r="A3" s="537"/>
    </row>
    <row r="4" spans="1:13" ht="15.95" customHeight="1" x14ac:dyDescent="0.2">
      <c r="B4" s="8"/>
      <c r="C4" s="69"/>
      <c r="D4" s="69"/>
      <c r="E4" s="8"/>
      <c r="F4" s="8"/>
      <c r="G4" s="8"/>
      <c r="H4" s="8"/>
    </row>
    <row r="5" spans="1:13" ht="15.95" customHeight="1" x14ac:dyDescent="0.2">
      <c r="B5" s="8"/>
      <c r="C5" s="8"/>
      <c r="D5" s="8"/>
      <c r="E5" s="8"/>
      <c r="F5" s="8"/>
      <c r="G5" s="8"/>
      <c r="H5" s="8"/>
    </row>
    <row r="6" spans="1:13" ht="15.95" customHeight="1" x14ac:dyDescent="0.2">
      <c r="B6" s="206" t="s">
        <v>54</v>
      </c>
      <c r="C6" s="173"/>
      <c r="D6" s="173"/>
      <c r="E6" s="173"/>
      <c r="F6" s="173"/>
      <c r="G6" s="173"/>
      <c r="H6" s="174"/>
    </row>
    <row r="7" spans="1:13" ht="15.95" customHeight="1" x14ac:dyDescent="0.2">
      <c r="B7" s="697" t="s">
        <v>58</v>
      </c>
      <c r="C7" s="698"/>
      <c r="D7" s="699"/>
      <c r="E7" s="642" t="s">
        <v>516</v>
      </c>
      <c r="F7" s="303" t="s">
        <v>7</v>
      </c>
      <c r="G7" s="640" t="s">
        <v>515</v>
      </c>
      <c r="H7" s="303" t="s">
        <v>7</v>
      </c>
    </row>
    <row r="8" spans="1:13" ht="15.95" customHeight="1" x14ac:dyDescent="0.2">
      <c r="A8" s="33"/>
      <c r="B8" s="338"/>
      <c r="C8" s="372"/>
      <c r="D8" s="372"/>
      <c r="E8" s="719"/>
      <c r="F8" s="719" t="s">
        <v>61</v>
      </c>
      <c r="G8" s="719"/>
      <c r="H8" s="350" t="s">
        <v>7</v>
      </c>
      <c r="K8" s="510"/>
      <c r="L8" s="510"/>
      <c r="M8" s="510"/>
    </row>
    <row r="9" spans="1:13" ht="15.95" customHeight="1" x14ac:dyDescent="0.2">
      <c r="A9" s="82" t="s">
        <v>42</v>
      </c>
      <c r="B9" s="307" t="s">
        <v>246</v>
      </c>
      <c r="C9" s="307" t="s">
        <v>56</v>
      </c>
      <c r="D9" s="307" t="s">
        <v>57</v>
      </c>
      <c r="E9" s="641"/>
      <c r="F9" s="641"/>
      <c r="G9" s="641"/>
      <c r="H9" s="307" t="s">
        <v>24</v>
      </c>
      <c r="J9" s="496" t="s">
        <v>85</v>
      </c>
      <c r="K9" s="510"/>
      <c r="L9" s="510"/>
      <c r="M9" s="510"/>
    </row>
    <row r="10" spans="1:13" ht="5.0999999999999996" customHeight="1" x14ac:dyDescent="0.2">
      <c r="A10" s="6"/>
      <c r="B10" s="207"/>
      <c r="C10" s="207"/>
      <c r="D10" s="207"/>
      <c r="E10" s="207"/>
      <c r="F10" s="207"/>
      <c r="G10" s="207"/>
      <c r="H10" s="207"/>
      <c r="K10" s="510"/>
      <c r="L10" s="510"/>
      <c r="M10" s="510"/>
    </row>
    <row r="11" spans="1:13" ht="14.1" customHeight="1" x14ac:dyDescent="0.2">
      <c r="A11" s="284" t="s">
        <v>110</v>
      </c>
      <c r="B11" s="291">
        <f>'- 41 -'!I11</f>
        <v>63.500358958737081</v>
      </c>
      <c r="C11" s="291">
        <f>'- 42 -'!C11</f>
        <v>0</v>
      </c>
      <c r="D11" s="291">
        <f>'- 42 -'!E11</f>
        <v>35.709014151607114</v>
      </c>
      <c r="E11" s="291">
        <f>'- 42 -'!G11</f>
        <v>0.15780006702375771</v>
      </c>
      <c r="F11" s="291">
        <f>'- 42 -'!I11</f>
        <v>0</v>
      </c>
      <c r="G11" s="291">
        <f>'- 43 -'!C11</f>
        <v>6.8397832128113067E-2</v>
      </c>
      <c r="H11" s="291">
        <f>'- 43 -'!E11</f>
        <v>0.5644289905039318</v>
      </c>
      <c r="J11" s="131">
        <f>SUM(B11:H11)</f>
        <v>99.999999999999986</v>
      </c>
      <c r="K11" s="495" t="s">
        <v>60</v>
      </c>
      <c r="L11" s="548">
        <f>B48</f>
        <v>58.955443682063979</v>
      </c>
      <c r="M11" s="510"/>
    </row>
    <row r="12" spans="1:13" ht="14.1" customHeight="1" x14ac:dyDescent="0.2">
      <c r="A12" s="19" t="s">
        <v>111</v>
      </c>
      <c r="B12" s="70">
        <f>'- 41 -'!I12</f>
        <v>59.963339377754096</v>
      </c>
      <c r="C12" s="70">
        <f>'- 42 -'!C12</f>
        <v>2.8069630986245291E-3</v>
      </c>
      <c r="D12" s="70">
        <f>'- 42 -'!E12</f>
        <v>34.197116345055598</v>
      </c>
      <c r="E12" s="70">
        <f>'- 42 -'!G12</f>
        <v>1.6148234149339025</v>
      </c>
      <c r="F12" s="70">
        <f>'- 42 -'!I12</f>
        <v>2.9378910853967719</v>
      </c>
      <c r="G12" s="70">
        <f>'- 43 -'!C12</f>
        <v>0.41441161099162965</v>
      </c>
      <c r="H12" s="70">
        <f>'- 43 -'!E12</f>
        <v>0.86961120276937232</v>
      </c>
      <c r="J12" s="131">
        <f t="shared" ref="J12:J46" si="0">SUM(B12:H12)</f>
        <v>100.00000000000001</v>
      </c>
      <c r="K12" s="495" t="s">
        <v>56</v>
      </c>
      <c r="L12" s="548">
        <f>C48</f>
        <v>0.33254732060822273</v>
      </c>
      <c r="M12" s="510"/>
    </row>
    <row r="13" spans="1:13" ht="14.1" customHeight="1" x14ac:dyDescent="0.2">
      <c r="A13" s="284" t="s">
        <v>112</v>
      </c>
      <c r="B13" s="291">
        <f>'- 41 -'!I13</f>
        <v>60.078623189051562</v>
      </c>
      <c r="C13" s="291">
        <f>'- 42 -'!C13</f>
        <v>5.5270461037477533E-3</v>
      </c>
      <c r="D13" s="291">
        <f>'- 42 -'!E13</f>
        <v>37.946486005084232</v>
      </c>
      <c r="E13" s="291">
        <f>'- 42 -'!G13</f>
        <v>0.46172586690731166</v>
      </c>
      <c r="F13" s="291">
        <f>'- 42 -'!I13</f>
        <v>0.26667518337709839</v>
      </c>
      <c r="G13" s="291">
        <f>'- 43 -'!C13</f>
        <v>0.91722135001320715</v>
      </c>
      <c r="H13" s="291">
        <f>'- 43 -'!E13</f>
        <v>0.32374135946284627</v>
      </c>
      <c r="J13" s="131">
        <f t="shared" si="0"/>
        <v>100.00000000000001</v>
      </c>
      <c r="K13" s="495" t="s">
        <v>57</v>
      </c>
      <c r="L13" s="548">
        <f>D48</f>
        <v>34.439046704971545</v>
      </c>
      <c r="M13" s="510"/>
    </row>
    <row r="14" spans="1:13" ht="14.1" customHeight="1" x14ac:dyDescent="0.2">
      <c r="A14" s="19" t="s">
        <v>359</v>
      </c>
      <c r="B14" s="70">
        <f>'- 41 -'!I14</f>
        <v>70.350122037649541</v>
      </c>
      <c r="C14" s="70">
        <f>'- 42 -'!C14</f>
        <v>0.28284239133985783</v>
      </c>
      <c r="D14" s="70">
        <f>'- 42 -'!E14</f>
        <v>26.807991596406524</v>
      </c>
      <c r="E14" s="70">
        <f>'- 42 -'!G14</f>
        <v>2.1480011197669873</v>
      </c>
      <c r="F14" s="70">
        <f>'- 42 -'!I14</f>
        <v>0</v>
      </c>
      <c r="G14" s="70">
        <f>'- 43 -'!C14</f>
        <v>0.17205740569630631</v>
      </c>
      <c r="H14" s="70">
        <f>'- 43 -'!E14</f>
        <v>0.23898544914078274</v>
      </c>
      <c r="J14" s="131">
        <f t="shared" si="0"/>
        <v>100</v>
      </c>
      <c r="K14" s="495" t="s">
        <v>70</v>
      </c>
      <c r="L14" s="548">
        <f>E48</f>
        <v>0.54776677809824337</v>
      </c>
      <c r="M14" s="510"/>
    </row>
    <row r="15" spans="1:13" ht="14.1" customHeight="1" x14ac:dyDescent="0.2">
      <c r="A15" s="284" t="s">
        <v>113</v>
      </c>
      <c r="B15" s="291">
        <f>'- 41 -'!I15</f>
        <v>60.14810114622906</v>
      </c>
      <c r="C15" s="291">
        <f>'- 42 -'!C15</f>
        <v>0</v>
      </c>
      <c r="D15" s="291">
        <f>'- 42 -'!E15</f>
        <v>38.527951216155216</v>
      </c>
      <c r="E15" s="291">
        <f>'- 42 -'!G15</f>
        <v>0.16679633234694102</v>
      </c>
      <c r="F15" s="291">
        <f>'- 42 -'!I15</f>
        <v>0.55287735337377653</v>
      </c>
      <c r="G15" s="291">
        <f>'- 43 -'!C15</f>
        <v>0.45102661392947663</v>
      </c>
      <c r="H15" s="291">
        <f>'- 43 -'!E15</f>
        <v>0.15324733796552797</v>
      </c>
      <c r="J15" s="131">
        <f t="shared" si="0"/>
        <v>99.999999999999986</v>
      </c>
      <c r="K15" s="495" t="s">
        <v>61</v>
      </c>
      <c r="L15" s="548">
        <f>F48</f>
        <v>4.0478642629937482</v>
      </c>
      <c r="M15" s="510"/>
    </row>
    <row r="16" spans="1:13" ht="14.1" customHeight="1" x14ac:dyDescent="0.2">
      <c r="A16" s="19" t="s">
        <v>114</v>
      </c>
      <c r="B16" s="70">
        <f>'- 41 -'!I16</f>
        <v>71.710435323264193</v>
      </c>
      <c r="C16" s="70">
        <f>'- 42 -'!C16</f>
        <v>0.37138108829579358</v>
      </c>
      <c r="D16" s="70">
        <f>'- 42 -'!E16</f>
        <v>24.059232195202757</v>
      </c>
      <c r="E16" s="70">
        <f>'- 42 -'!G16</f>
        <v>1.7181556058416381</v>
      </c>
      <c r="F16" s="70">
        <f>'- 42 -'!I16</f>
        <v>0.37261777742630553</v>
      </c>
      <c r="G16" s="70">
        <f>'- 43 -'!C16</f>
        <v>1.2732683895506587</v>
      </c>
      <c r="H16" s="70">
        <f>'- 43 -'!E16</f>
        <v>0.4949096204186601</v>
      </c>
      <c r="J16" s="131">
        <f t="shared" si="0"/>
        <v>100</v>
      </c>
      <c r="K16" s="495" t="s">
        <v>53</v>
      </c>
      <c r="L16" s="548">
        <f>G48</f>
        <v>1.2535704752877594</v>
      </c>
      <c r="M16" s="510"/>
    </row>
    <row r="17" spans="1:13" ht="14.1" customHeight="1" x14ac:dyDescent="0.2">
      <c r="A17" s="284" t="s">
        <v>115</v>
      </c>
      <c r="B17" s="291">
        <f>'- 41 -'!I17</f>
        <v>52.339527426959535</v>
      </c>
      <c r="C17" s="291">
        <f>'- 42 -'!C17</f>
        <v>0</v>
      </c>
      <c r="D17" s="291">
        <f>'- 42 -'!E17</f>
        <v>42.133320001488208</v>
      </c>
      <c r="E17" s="291">
        <f>'- 42 -'!G17</f>
        <v>0.13212055821252935</v>
      </c>
      <c r="F17" s="291">
        <f>'- 42 -'!I17</f>
        <v>5.0643289713114479</v>
      </c>
      <c r="G17" s="291">
        <f>'- 43 -'!C17</f>
        <v>0</v>
      </c>
      <c r="H17" s="291">
        <f>'- 43 -'!E17</f>
        <v>0.33070304202828943</v>
      </c>
      <c r="J17" s="131">
        <f t="shared" si="0"/>
        <v>100.00000000000003</v>
      </c>
      <c r="K17" s="497" t="s">
        <v>24</v>
      </c>
      <c r="L17" s="548">
        <f>H48</f>
        <v>0.4237607759765008</v>
      </c>
      <c r="M17" s="510"/>
    </row>
    <row r="18" spans="1:13" ht="14.1" customHeight="1" x14ac:dyDescent="0.2">
      <c r="A18" s="19" t="s">
        <v>116</v>
      </c>
      <c r="B18" s="70">
        <f>'- 41 -'!I18</f>
        <v>35.362443983548815</v>
      </c>
      <c r="C18" s="70">
        <f>'- 42 -'!C18</f>
        <v>0.8892287810151851</v>
      </c>
      <c r="D18" s="70">
        <f>'- 42 -'!E18</f>
        <v>2.2939878622718677</v>
      </c>
      <c r="E18" s="70">
        <f>'- 42 -'!G18</f>
        <v>7.3837459201342662E-3</v>
      </c>
      <c r="F18" s="70">
        <f>'- 42 -'!I18</f>
        <v>57.16591228094228</v>
      </c>
      <c r="G18" s="70">
        <f>'- 43 -'!C18</f>
        <v>3.4846644602566577</v>
      </c>
      <c r="H18" s="70">
        <f>'- 43 -'!E18</f>
        <v>0.79637888604506601</v>
      </c>
      <c r="J18" s="131">
        <f t="shared" si="0"/>
        <v>100</v>
      </c>
      <c r="K18" s="495"/>
      <c r="L18" s="548"/>
      <c r="M18" s="510"/>
    </row>
    <row r="19" spans="1:13" ht="14.1" customHeight="1" x14ac:dyDescent="0.2">
      <c r="A19" s="284" t="s">
        <v>117</v>
      </c>
      <c r="B19" s="291">
        <f>'- 41 -'!I19</f>
        <v>66.6274938189366</v>
      </c>
      <c r="C19" s="291">
        <f>'- 42 -'!C19</f>
        <v>0</v>
      </c>
      <c r="D19" s="291">
        <f>'- 42 -'!E19</f>
        <v>31.127306419088146</v>
      </c>
      <c r="E19" s="291">
        <f>'- 42 -'!G19</f>
        <v>0.81898470070710505</v>
      </c>
      <c r="F19" s="291">
        <f>'- 42 -'!I19</f>
        <v>0</v>
      </c>
      <c r="G19" s="291">
        <f>'- 43 -'!C19</f>
        <v>5.5046091765413946E-2</v>
      </c>
      <c r="H19" s="291">
        <f>'- 43 -'!E19</f>
        <v>1.371168969502734</v>
      </c>
      <c r="J19" s="131">
        <f t="shared" si="0"/>
        <v>100</v>
      </c>
      <c r="K19" s="495"/>
      <c r="L19" s="548">
        <f>SUM(L11:L17)</f>
        <v>100</v>
      </c>
      <c r="M19" s="510"/>
    </row>
    <row r="20" spans="1:13" ht="14.1" customHeight="1" x14ac:dyDescent="0.2">
      <c r="A20" s="19" t="s">
        <v>118</v>
      </c>
      <c r="B20" s="70">
        <f>'- 41 -'!I20</f>
        <v>69.273706868790157</v>
      </c>
      <c r="C20" s="70">
        <f>'- 42 -'!C20</f>
        <v>0</v>
      </c>
      <c r="D20" s="70">
        <f>'- 42 -'!E20</f>
        <v>29.755012609887753</v>
      </c>
      <c r="E20" s="70">
        <f>'- 42 -'!G20</f>
        <v>0.13725776253908162</v>
      </c>
      <c r="F20" s="70">
        <f>'- 42 -'!I20</f>
        <v>0</v>
      </c>
      <c r="G20" s="70">
        <f>'- 43 -'!C20</f>
        <v>0.61117509543940085</v>
      </c>
      <c r="H20" s="70">
        <f>'- 43 -'!E20</f>
        <v>0.22284766334360859</v>
      </c>
      <c r="J20" s="131">
        <f t="shared" si="0"/>
        <v>100.00000000000001</v>
      </c>
      <c r="K20" s="495"/>
      <c r="L20" s="495"/>
      <c r="M20" s="510"/>
    </row>
    <row r="21" spans="1:13" ht="14.1" customHeight="1" x14ac:dyDescent="0.2">
      <c r="A21" s="284" t="s">
        <v>119</v>
      </c>
      <c r="B21" s="291">
        <f>'- 41 -'!I21</f>
        <v>58.605093655041664</v>
      </c>
      <c r="C21" s="291">
        <f>'- 42 -'!C21</f>
        <v>2.2820429253964668E-2</v>
      </c>
      <c r="D21" s="291">
        <f>'- 42 -'!E21</f>
        <v>40.25221268442418</v>
      </c>
      <c r="E21" s="291">
        <f>'- 42 -'!G21</f>
        <v>0.10366586335288201</v>
      </c>
      <c r="F21" s="291">
        <f>'- 42 -'!I21</f>
        <v>0</v>
      </c>
      <c r="G21" s="291">
        <f>'- 43 -'!C21</f>
        <v>0.550935874255716</v>
      </c>
      <c r="H21" s="291">
        <f>'- 43 -'!E21</f>
        <v>0.46527149367160237</v>
      </c>
      <c r="J21" s="131">
        <f t="shared" si="0"/>
        <v>100.00000000000001</v>
      </c>
      <c r="K21" s="510"/>
      <c r="L21" s="510"/>
      <c r="M21" s="510"/>
    </row>
    <row r="22" spans="1:13" ht="14.1" customHeight="1" x14ac:dyDescent="0.2">
      <c r="A22" s="19" t="s">
        <v>120</v>
      </c>
      <c r="B22" s="70">
        <f>'- 41 -'!I22</f>
        <v>82.364348954639865</v>
      </c>
      <c r="C22" s="70">
        <f>'- 42 -'!C22</f>
        <v>0</v>
      </c>
      <c r="D22" s="70">
        <f>'- 42 -'!E22</f>
        <v>16.470789950709438</v>
      </c>
      <c r="E22" s="70">
        <f>'- 42 -'!G22</f>
        <v>1.7388668805116737E-2</v>
      </c>
      <c r="F22" s="70">
        <f>'- 42 -'!I22</f>
        <v>0.38080213249194195</v>
      </c>
      <c r="G22" s="70">
        <f>'- 43 -'!C22</f>
        <v>0</v>
      </c>
      <c r="H22" s="70">
        <f>'- 43 -'!E22</f>
        <v>0.76667029335364278</v>
      </c>
      <c r="J22" s="131">
        <f t="shared" si="0"/>
        <v>100</v>
      </c>
      <c r="K22" s="510"/>
      <c r="L22" s="510"/>
      <c r="M22" s="510"/>
    </row>
    <row r="23" spans="1:13" ht="14.1" customHeight="1" x14ac:dyDescent="0.2">
      <c r="A23" s="284" t="s">
        <v>121</v>
      </c>
      <c r="B23" s="291">
        <f>'- 41 -'!I23</f>
        <v>71.364452850736498</v>
      </c>
      <c r="C23" s="291">
        <f>'- 42 -'!C23</f>
        <v>1.7772793962302449</v>
      </c>
      <c r="D23" s="291">
        <f>'- 42 -'!E23</f>
        <v>22.86493613391994</v>
      </c>
      <c r="E23" s="291">
        <f>'- 42 -'!G23</f>
        <v>0.34782483533973513</v>
      </c>
      <c r="F23" s="291">
        <f>'- 42 -'!I23</f>
        <v>1.1673752868350344</v>
      </c>
      <c r="G23" s="291">
        <f>'- 43 -'!C23</f>
        <v>0.84679459562054193</v>
      </c>
      <c r="H23" s="291">
        <f>'- 43 -'!E23</f>
        <v>1.6313369013180139</v>
      </c>
      <c r="J23" s="131">
        <f t="shared" si="0"/>
        <v>100</v>
      </c>
      <c r="K23" s="510"/>
      <c r="L23" s="510"/>
      <c r="M23" s="510"/>
    </row>
    <row r="24" spans="1:13" ht="14.1" customHeight="1" x14ac:dyDescent="0.2">
      <c r="A24" s="19" t="s">
        <v>122</v>
      </c>
      <c r="B24" s="70">
        <f>'- 41 -'!I24</f>
        <v>56.208372113415649</v>
      </c>
      <c r="C24" s="70">
        <f>'- 42 -'!C24</f>
        <v>6.2210701759140459E-2</v>
      </c>
      <c r="D24" s="70">
        <f>'- 42 -'!E24</f>
        <v>41.115317429858514</v>
      </c>
      <c r="E24" s="70">
        <f>'- 42 -'!G24</f>
        <v>0.26832439860013435</v>
      </c>
      <c r="F24" s="70">
        <f>'- 42 -'!I24</f>
        <v>0.9254761580699199</v>
      </c>
      <c r="G24" s="70">
        <f>'- 43 -'!C24</f>
        <v>0.94000522872241565</v>
      </c>
      <c r="H24" s="70">
        <f>'- 43 -'!E24</f>
        <v>0.48029396957422543</v>
      </c>
      <c r="J24" s="131">
        <f t="shared" si="0"/>
        <v>99.999999999999986</v>
      </c>
      <c r="K24" s="510"/>
      <c r="L24" s="510"/>
      <c r="M24" s="510"/>
    </row>
    <row r="25" spans="1:13" ht="14.1" customHeight="1" x14ac:dyDescent="0.2">
      <c r="A25" s="284" t="s">
        <v>123</v>
      </c>
      <c r="B25" s="291">
        <f>'- 41 -'!I25</f>
        <v>56.95876282649094</v>
      </c>
      <c r="C25" s="291">
        <f>'- 42 -'!C25</f>
        <v>0.11256331930699694</v>
      </c>
      <c r="D25" s="291">
        <f>'- 42 -'!E25</f>
        <v>37.888520340229263</v>
      </c>
      <c r="E25" s="291">
        <f>'- 42 -'!G25</f>
        <v>0.30549866260745223</v>
      </c>
      <c r="F25" s="291">
        <f>'- 42 -'!I25</f>
        <v>3.7365122680648732E-2</v>
      </c>
      <c r="G25" s="291">
        <f>'- 43 -'!C25</f>
        <v>4.1423897724571512</v>
      </c>
      <c r="H25" s="291">
        <f>'- 43 -'!E25</f>
        <v>0.55489995622754462</v>
      </c>
      <c r="J25" s="131">
        <f t="shared" si="0"/>
        <v>100</v>
      </c>
      <c r="K25" s="510"/>
      <c r="L25" s="510"/>
      <c r="M25" s="510"/>
    </row>
    <row r="26" spans="1:13" ht="14.1" customHeight="1" x14ac:dyDescent="0.2">
      <c r="A26" s="19" t="s">
        <v>124</v>
      </c>
      <c r="B26" s="70">
        <f>'- 41 -'!I26</f>
        <v>63.786424550146862</v>
      </c>
      <c r="C26" s="70">
        <f>'- 42 -'!C26</f>
        <v>0</v>
      </c>
      <c r="D26" s="70">
        <f>'- 42 -'!E26</f>
        <v>31.301294473491502</v>
      </c>
      <c r="E26" s="70">
        <f>'- 42 -'!G26</f>
        <v>1.281858908150062</v>
      </c>
      <c r="F26" s="70">
        <f>'- 42 -'!I26</f>
        <v>1.6177307870515796</v>
      </c>
      <c r="G26" s="70">
        <f>'- 43 -'!C26</f>
        <v>1.7083878773545651</v>
      </c>
      <c r="H26" s="70">
        <f>'- 43 -'!E26</f>
        <v>0.30430340380543014</v>
      </c>
      <c r="J26" s="131">
        <f t="shared" si="0"/>
        <v>100</v>
      </c>
      <c r="K26" s="510"/>
      <c r="L26" s="510"/>
      <c r="M26" s="510"/>
    </row>
    <row r="27" spans="1:13" ht="14.1" customHeight="1" x14ac:dyDescent="0.2">
      <c r="A27" s="284" t="s">
        <v>125</v>
      </c>
      <c r="B27" s="291">
        <f>'- 41 -'!I27</f>
        <v>81.353857253190526</v>
      </c>
      <c r="C27" s="291">
        <f>'- 42 -'!C27</f>
        <v>2.004339267144142E-2</v>
      </c>
      <c r="D27" s="291">
        <f>'- 42 -'!E27</f>
        <v>16.242109327695946</v>
      </c>
      <c r="E27" s="291">
        <f>'- 42 -'!G27</f>
        <v>0.30510524185785087</v>
      </c>
      <c r="F27" s="291">
        <f>'- 42 -'!I27</f>
        <v>0.71411996424043522</v>
      </c>
      <c r="G27" s="291">
        <f>'- 43 -'!C27</f>
        <v>0.53563639747740366</v>
      </c>
      <c r="H27" s="291">
        <f>'- 43 -'!E27</f>
        <v>0.82912842286639932</v>
      </c>
      <c r="J27" s="131">
        <f t="shared" si="0"/>
        <v>100</v>
      </c>
      <c r="K27" s="510"/>
      <c r="L27" s="510"/>
      <c r="M27" s="510"/>
    </row>
    <row r="28" spans="1:13" ht="14.1" customHeight="1" x14ac:dyDescent="0.2">
      <c r="A28" s="19" t="s">
        <v>126</v>
      </c>
      <c r="B28" s="70">
        <f>'- 41 -'!I28</f>
        <v>46.443707291674315</v>
      </c>
      <c r="C28" s="70">
        <f>'- 42 -'!C28</f>
        <v>0</v>
      </c>
      <c r="D28" s="70">
        <f>'- 42 -'!E28</f>
        <v>27.565181108299164</v>
      </c>
      <c r="E28" s="70">
        <f>'- 42 -'!G28</f>
        <v>5.3494174312961634E-2</v>
      </c>
      <c r="F28" s="70">
        <f>'- 42 -'!I28</f>
        <v>25.456715085981259</v>
      </c>
      <c r="G28" s="70">
        <f>'- 43 -'!C28</f>
        <v>0.3523414365805646</v>
      </c>
      <c r="H28" s="70">
        <f>'- 43 -'!E28</f>
        <v>0.12856090315174645</v>
      </c>
      <c r="J28" s="131">
        <f t="shared" si="0"/>
        <v>100</v>
      </c>
      <c r="K28" s="510"/>
      <c r="L28" s="510"/>
      <c r="M28" s="510"/>
    </row>
    <row r="29" spans="1:13" ht="14.1" customHeight="1" x14ac:dyDescent="0.2">
      <c r="A29" s="284" t="s">
        <v>127</v>
      </c>
      <c r="B29" s="291">
        <f>'- 41 -'!I29</f>
        <v>49.328996706580909</v>
      </c>
      <c r="C29" s="291">
        <f>'- 42 -'!C29</f>
        <v>0</v>
      </c>
      <c r="D29" s="291">
        <f>'- 42 -'!E29</f>
        <v>47.763240286231728</v>
      </c>
      <c r="E29" s="291">
        <f>'- 42 -'!G29</f>
        <v>0.30281138318073714</v>
      </c>
      <c r="F29" s="291">
        <f>'- 42 -'!I29</f>
        <v>4.7588643537294077E-2</v>
      </c>
      <c r="G29" s="291">
        <f>'- 43 -'!C29</f>
        <v>2.1873091289323394</v>
      </c>
      <c r="H29" s="291">
        <f>'- 43 -'!E29</f>
        <v>0.37005385153699633</v>
      </c>
      <c r="J29" s="131">
        <f t="shared" si="0"/>
        <v>100.00000000000001</v>
      </c>
      <c r="K29" s="510"/>
      <c r="L29" s="510"/>
      <c r="M29" s="510"/>
    </row>
    <row r="30" spans="1:13" ht="14.1" customHeight="1" x14ac:dyDescent="0.2">
      <c r="A30" s="19" t="s">
        <v>128</v>
      </c>
      <c r="B30" s="70">
        <f>'- 41 -'!I30</f>
        <v>58.016159810095878</v>
      </c>
      <c r="C30" s="70">
        <f>'- 42 -'!C30</f>
        <v>0</v>
      </c>
      <c r="D30" s="70">
        <f>'- 42 -'!E30</f>
        <v>41.324566156092025</v>
      </c>
      <c r="E30" s="70">
        <f>'- 42 -'!G30</f>
        <v>0.24979294406668423</v>
      </c>
      <c r="F30" s="70">
        <f>'- 42 -'!I30</f>
        <v>0</v>
      </c>
      <c r="G30" s="70">
        <f>'- 43 -'!C30</f>
        <v>0</v>
      </c>
      <c r="H30" s="70">
        <f>'- 43 -'!E30</f>
        <v>0.4094810897454168</v>
      </c>
      <c r="J30" s="131">
        <f t="shared" si="0"/>
        <v>100</v>
      </c>
      <c r="K30" s="510"/>
      <c r="L30" s="510"/>
      <c r="M30" s="510"/>
    </row>
    <row r="31" spans="1:13" ht="14.1" customHeight="1" x14ac:dyDescent="0.2">
      <c r="A31" s="284" t="s">
        <v>129</v>
      </c>
      <c r="B31" s="291">
        <f>'- 41 -'!I31</f>
        <v>56.52231941347695</v>
      </c>
      <c r="C31" s="291">
        <f>'- 42 -'!C31</f>
        <v>1.5555817841277644E-2</v>
      </c>
      <c r="D31" s="291">
        <f>'- 42 -'!E31</f>
        <v>36.252964701487315</v>
      </c>
      <c r="E31" s="291">
        <f>'- 42 -'!G31</f>
        <v>0.3389331175941811</v>
      </c>
      <c r="F31" s="291">
        <f>'- 42 -'!I31</f>
        <v>6.3857729734795488</v>
      </c>
      <c r="G31" s="291">
        <f>'- 43 -'!C31</f>
        <v>0.13122238976537889</v>
      </c>
      <c r="H31" s="291">
        <f>'- 43 -'!E31</f>
        <v>0.35323158635534324</v>
      </c>
      <c r="J31" s="131">
        <f t="shared" si="0"/>
        <v>100</v>
      </c>
      <c r="K31" s="510"/>
      <c r="L31" s="510"/>
      <c r="M31" s="510"/>
    </row>
    <row r="32" spans="1:13" ht="14.1" customHeight="1" x14ac:dyDescent="0.2">
      <c r="A32" s="19" t="s">
        <v>130</v>
      </c>
      <c r="B32" s="70">
        <f>'- 41 -'!I32</f>
        <v>54.267486757388852</v>
      </c>
      <c r="C32" s="70">
        <f>'- 42 -'!C32</f>
        <v>0</v>
      </c>
      <c r="D32" s="70">
        <f>'- 42 -'!E32</f>
        <v>45.098984512731931</v>
      </c>
      <c r="E32" s="70">
        <f>'- 42 -'!G32</f>
        <v>0.30582369702574053</v>
      </c>
      <c r="F32" s="70">
        <f>'- 42 -'!I32</f>
        <v>0</v>
      </c>
      <c r="G32" s="70">
        <f>'- 43 -'!C32</f>
        <v>8.8949553459253851E-3</v>
      </c>
      <c r="H32" s="70">
        <f>'- 43 -'!E32</f>
        <v>0.31881007750755086</v>
      </c>
      <c r="J32" s="131">
        <f t="shared" si="0"/>
        <v>100</v>
      </c>
      <c r="K32" s="510"/>
      <c r="L32" s="510"/>
      <c r="M32" s="510"/>
    </row>
    <row r="33" spans="1:13" ht="14.1" customHeight="1" x14ac:dyDescent="0.2">
      <c r="A33" s="284" t="s">
        <v>131</v>
      </c>
      <c r="B33" s="291">
        <f>'- 41 -'!I33</f>
        <v>58.329074921128253</v>
      </c>
      <c r="C33" s="291">
        <f>'- 42 -'!C33</f>
        <v>0.11689877916972308</v>
      </c>
      <c r="D33" s="291">
        <f>'- 42 -'!E33</f>
        <v>39.335455621840495</v>
      </c>
      <c r="E33" s="291">
        <f>'- 42 -'!G33</f>
        <v>0.12496301317958122</v>
      </c>
      <c r="F33" s="291">
        <f>'- 42 -'!I33</f>
        <v>0.94098178839168456</v>
      </c>
      <c r="G33" s="291">
        <f>'- 43 -'!C33</f>
        <v>0.7669639264394924</v>
      </c>
      <c r="H33" s="291">
        <f>'- 43 -'!E33</f>
        <v>0.38566194985076363</v>
      </c>
      <c r="J33" s="131">
        <f t="shared" si="0"/>
        <v>99.999999999999986</v>
      </c>
      <c r="K33" s="510"/>
      <c r="L33" s="510"/>
      <c r="M33" s="510"/>
    </row>
    <row r="34" spans="1:13" ht="14.1" customHeight="1" x14ac:dyDescent="0.2">
      <c r="A34" s="19" t="s">
        <v>132</v>
      </c>
      <c r="B34" s="70">
        <f>'- 41 -'!I34</f>
        <v>48.998860707089307</v>
      </c>
      <c r="C34" s="70">
        <f>'- 42 -'!C34</f>
        <v>0.15241978998975528</v>
      </c>
      <c r="D34" s="70">
        <f>'- 42 -'!E34</f>
        <v>45.174618471086831</v>
      </c>
      <c r="E34" s="70">
        <f>'- 42 -'!G34</f>
        <v>4.4323453294670045</v>
      </c>
      <c r="F34" s="70">
        <f>'- 42 -'!I34</f>
        <v>0</v>
      </c>
      <c r="G34" s="70">
        <f>'- 43 -'!C34</f>
        <v>0.87390732341152266</v>
      </c>
      <c r="H34" s="70">
        <f>'- 43 -'!E34</f>
        <v>0.36784837895558448</v>
      </c>
      <c r="J34" s="131">
        <f t="shared" si="0"/>
        <v>100.00000000000001</v>
      </c>
      <c r="K34" s="510"/>
      <c r="L34" s="510"/>
      <c r="M34" s="510"/>
    </row>
    <row r="35" spans="1:13" ht="14.1" customHeight="1" x14ac:dyDescent="0.2">
      <c r="A35" s="284" t="s">
        <v>133</v>
      </c>
      <c r="B35" s="291">
        <f>'- 41 -'!I35</f>
        <v>64.412976260427428</v>
      </c>
      <c r="C35" s="291">
        <f>'- 42 -'!C35</f>
        <v>0.23123066720665097</v>
      </c>
      <c r="D35" s="291">
        <f>'- 42 -'!E35</f>
        <v>33.636421986562063</v>
      </c>
      <c r="E35" s="291">
        <f>'- 42 -'!G35</f>
        <v>0.33943664983805449</v>
      </c>
      <c r="F35" s="291">
        <f>'- 42 -'!I35</f>
        <v>0.10167435245444566</v>
      </c>
      <c r="G35" s="291">
        <f>'- 43 -'!C35</f>
        <v>1.0371326870432815</v>
      </c>
      <c r="H35" s="291">
        <f>'- 43 -'!E35</f>
        <v>0.24112739646808168</v>
      </c>
      <c r="J35" s="131">
        <f t="shared" si="0"/>
        <v>100.00000000000001</v>
      </c>
      <c r="K35" s="510"/>
      <c r="L35" s="510"/>
      <c r="M35" s="510"/>
    </row>
    <row r="36" spans="1:13" ht="14.1" customHeight="1" x14ac:dyDescent="0.2">
      <c r="A36" s="19" t="s">
        <v>134</v>
      </c>
      <c r="B36" s="70">
        <f>'- 41 -'!I36</f>
        <v>54.764968144473499</v>
      </c>
      <c r="C36" s="70">
        <f>'- 42 -'!C36</f>
        <v>0.18980708860108547</v>
      </c>
      <c r="D36" s="70">
        <f>'- 42 -'!E36</f>
        <v>39.102907586512273</v>
      </c>
      <c r="E36" s="70">
        <f>'- 42 -'!G36</f>
        <v>0.26032791946046918</v>
      </c>
      <c r="F36" s="70">
        <f>'- 42 -'!I36</f>
        <v>5.0232274582354917</v>
      </c>
      <c r="G36" s="70">
        <f>'- 43 -'!C36</f>
        <v>0.26134119582390763</v>
      </c>
      <c r="H36" s="70">
        <f>'- 43 -'!E36</f>
        <v>0.39742060689326703</v>
      </c>
      <c r="J36" s="131">
        <f t="shared" si="0"/>
        <v>99.999999999999986</v>
      </c>
      <c r="K36" s="510"/>
      <c r="L36" s="510"/>
      <c r="M36" s="510"/>
    </row>
    <row r="37" spans="1:13" ht="14.1" customHeight="1" x14ac:dyDescent="0.2">
      <c r="A37" s="284" t="s">
        <v>135</v>
      </c>
      <c r="B37" s="291">
        <f>'- 41 -'!I37</f>
        <v>68.467460117079497</v>
      </c>
      <c r="C37" s="291">
        <f>'- 42 -'!C37</f>
        <v>4.7551419632567392E-2</v>
      </c>
      <c r="D37" s="291">
        <f>'- 42 -'!E37</f>
        <v>30.415927333472769</v>
      </c>
      <c r="E37" s="291">
        <f>'- 42 -'!G37</f>
        <v>0.64975325671438811</v>
      </c>
      <c r="F37" s="291">
        <f>'- 42 -'!I37</f>
        <v>6.6888647913232154E-3</v>
      </c>
      <c r="G37" s="291">
        <f>'- 43 -'!C37</f>
        <v>9.4911470933723097E-2</v>
      </c>
      <c r="H37" s="291">
        <f>'- 43 -'!E37</f>
        <v>0.31770753737572455</v>
      </c>
      <c r="J37" s="131">
        <f t="shared" si="0"/>
        <v>100</v>
      </c>
      <c r="K37" s="510"/>
      <c r="L37" s="510"/>
      <c r="M37" s="510"/>
    </row>
    <row r="38" spans="1:13" ht="14.1" customHeight="1" x14ac:dyDescent="0.2">
      <c r="A38" s="19" t="s">
        <v>136</v>
      </c>
      <c r="B38" s="70">
        <f>'- 41 -'!I38</f>
        <v>66.335470175134148</v>
      </c>
      <c r="C38" s="70">
        <f>'- 42 -'!C38</f>
        <v>0.55841097053835997</v>
      </c>
      <c r="D38" s="70">
        <f>'- 42 -'!E38</f>
        <v>30.074909183617706</v>
      </c>
      <c r="E38" s="70">
        <f>'- 42 -'!G38</f>
        <v>0.93481118102631977</v>
      </c>
      <c r="F38" s="70">
        <f>'- 42 -'!I38</f>
        <v>0.47381598374936729</v>
      </c>
      <c r="G38" s="70">
        <f>'- 43 -'!C38</f>
        <v>1.3277718218528558</v>
      </c>
      <c r="H38" s="70">
        <f>'- 43 -'!E38</f>
        <v>0.29481068408124339</v>
      </c>
      <c r="J38" s="131">
        <f t="shared" si="0"/>
        <v>99.999999999999986</v>
      </c>
      <c r="K38" s="510"/>
      <c r="L38" s="510"/>
      <c r="M38" s="510"/>
    </row>
    <row r="39" spans="1:13" ht="14.1" customHeight="1" x14ac:dyDescent="0.2">
      <c r="A39" s="284" t="s">
        <v>137</v>
      </c>
      <c r="B39" s="291">
        <f>'- 41 -'!I39</f>
        <v>50.49701208874103</v>
      </c>
      <c r="C39" s="291">
        <f>'- 42 -'!C39</f>
        <v>0</v>
      </c>
      <c r="D39" s="291">
        <f>'- 42 -'!E39</f>
        <v>48.680386547354416</v>
      </c>
      <c r="E39" s="291">
        <f>'- 42 -'!G39</f>
        <v>0.44656540715083454</v>
      </c>
      <c r="F39" s="291">
        <f>'- 42 -'!I39</f>
        <v>0</v>
      </c>
      <c r="G39" s="291">
        <f>'- 43 -'!C39</f>
        <v>0</v>
      </c>
      <c r="H39" s="291">
        <f>'- 43 -'!E39</f>
        <v>0.37603595675371032</v>
      </c>
      <c r="J39" s="131">
        <f t="shared" si="0"/>
        <v>99.999999999999986</v>
      </c>
      <c r="K39" s="510"/>
      <c r="L39" s="510"/>
      <c r="M39" s="510"/>
    </row>
    <row r="40" spans="1:13" ht="14.1" customHeight="1" x14ac:dyDescent="0.2">
      <c r="A40" s="19" t="s">
        <v>138</v>
      </c>
      <c r="B40" s="70">
        <f>'- 41 -'!I40</f>
        <v>51.256464497199737</v>
      </c>
      <c r="C40" s="70">
        <f>'- 42 -'!C40</f>
        <v>3.647397662105244E-3</v>
      </c>
      <c r="D40" s="70">
        <f>'- 42 -'!E40</f>
        <v>45.19744072509031</v>
      </c>
      <c r="E40" s="70">
        <f>'- 42 -'!G40</f>
        <v>0.44883052838800552</v>
      </c>
      <c r="F40" s="70">
        <f>'- 42 -'!I40</f>
        <v>0.24291777361357972</v>
      </c>
      <c r="G40" s="70">
        <f>'- 43 -'!C40</f>
        <v>2.0352106771112353</v>
      </c>
      <c r="H40" s="70">
        <f>'- 43 -'!E40</f>
        <v>0.81548840093502284</v>
      </c>
      <c r="J40" s="131">
        <f t="shared" si="0"/>
        <v>100</v>
      </c>
      <c r="K40" s="510"/>
      <c r="L40" s="510"/>
      <c r="M40" s="510"/>
    </row>
    <row r="41" spans="1:13" ht="14.1" customHeight="1" x14ac:dyDescent="0.2">
      <c r="A41" s="284" t="s">
        <v>139</v>
      </c>
      <c r="B41" s="291">
        <f>'- 41 -'!I41</f>
        <v>56.439908719151788</v>
      </c>
      <c r="C41" s="291">
        <f>'- 42 -'!C41</f>
        <v>0</v>
      </c>
      <c r="D41" s="291">
        <f>'- 42 -'!E41</f>
        <v>42.586425432562756</v>
      </c>
      <c r="E41" s="291">
        <f>'- 42 -'!G41</f>
        <v>0.13873571433401025</v>
      </c>
      <c r="F41" s="291">
        <f>'- 42 -'!I41</f>
        <v>0.55528761618057276</v>
      </c>
      <c r="G41" s="291">
        <f>'- 43 -'!C41</f>
        <v>0.14059473724137794</v>
      </c>
      <c r="H41" s="291">
        <f>'- 43 -'!E41</f>
        <v>0.13904778052949163</v>
      </c>
      <c r="J41" s="131">
        <f t="shared" si="0"/>
        <v>99.999999999999986</v>
      </c>
      <c r="K41" s="510"/>
      <c r="L41" s="510"/>
      <c r="M41" s="510"/>
    </row>
    <row r="42" spans="1:13" ht="14.1" customHeight="1" x14ac:dyDescent="0.2">
      <c r="A42" s="19" t="s">
        <v>140</v>
      </c>
      <c r="B42" s="70">
        <f>'- 41 -'!I42</f>
        <v>67.790937982886376</v>
      </c>
      <c r="C42" s="70">
        <f>'- 42 -'!C42</f>
        <v>0</v>
      </c>
      <c r="D42" s="70">
        <f>'- 42 -'!E42</f>
        <v>28.835617397575568</v>
      </c>
      <c r="E42" s="70">
        <f>'- 42 -'!G42</f>
        <v>6.0284716368292877E-2</v>
      </c>
      <c r="F42" s="70">
        <f>'- 42 -'!I42</f>
        <v>0.87895116464971002</v>
      </c>
      <c r="G42" s="70">
        <f>'- 43 -'!C42</f>
        <v>1.3877309843687295</v>
      </c>
      <c r="H42" s="70">
        <f>'- 43 -'!E42</f>
        <v>1.0464777541513215</v>
      </c>
      <c r="J42" s="131">
        <f t="shared" si="0"/>
        <v>100</v>
      </c>
      <c r="K42" s="510"/>
      <c r="L42" s="510"/>
      <c r="M42" s="510"/>
    </row>
    <row r="43" spans="1:13" ht="14.1" customHeight="1" x14ac:dyDescent="0.2">
      <c r="A43" s="284" t="s">
        <v>141</v>
      </c>
      <c r="B43" s="291">
        <f>'- 41 -'!I43</f>
        <v>56.004683744548387</v>
      </c>
      <c r="C43" s="291">
        <f>'- 42 -'!C43</f>
        <v>3.1134969803796706E-3</v>
      </c>
      <c r="D43" s="291">
        <f>'- 42 -'!E43</f>
        <v>43.620637012773109</v>
      </c>
      <c r="E43" s="291">
        <f>'- 42 -'!G43</f>
        <v>0.2598209601342476</v>
      </c>
      <c r="F43" s="291">
        <f>'- 42 -'!I43</f>
        <v>0</v>
      </c>
      <c r="G43" s="291">
        <f>'- 43 -'!C43</f>
        <v>5.3168948434175918E-2</v>
      </c>
      <c r="H43" s="291">
        <f>'- 43 -'!E43</f>
        <v>5.8575837129707049E-2</v>
      </c>
      <c r="J43" s="131">
        <f t="shared" si="0"/>
        <v>100.00000000000001</v>
      </c>
      <c r="K43" s="510"/>
      <c r="L43" s="510"/>
      <c r="M43" s="510"/>
    </row>
    <row r="44" spans="1:13" ht="14.1" customHeight="1" x14ac:dyDescent="0.2">
      <c r="A44" s="19" t="s">
        <v>142</v>
      </c>
      <c r="B44" s="70">
        <f>'- 41 -'!I44</f>
        <v>75.147069233730974</v>
      </c>
      <c r="C44" s="70">
        <f>'- 42 -'!C44</f>
        <v>0</v>
      </c>
      <c r="D44" s="70">
        <f>'- 42 -'!E44</f>
        <v>23.717598755488332</v>
      </c>
      <c r="E44" s="70">
        <f>'- 42 -'!G44</f>
        <v>0.52185578651307096</v>
      </c>
      <c r="F44" s="70">
        <f>'- 42 -'!I44</f>
        <v>4.0306776959959115E-2</v>
      </c>
      <c r="G44" s="70">
        <f>'- 43 -'!C44</f>
        <v>0.13587242719485898</v>
      </c>
      <c r="H44" s="70">
        <f>'- 43 -'!E44</f>
        <v>0.43729702011281407</v>
      </c>
      <c r="J44" s="131">
        <f t="shared" si="0"/>
        <v>100</v>
      </c>
      <c r="K44" s="510"/>
      <c r="L44" s="510"/>
      <c r="M44" s="510"/>
    </row>
    <row r="45" spans="1:13" ht="14.1" customHeight="1" x14ac:dyDescent="0.2">
      <c r="A45" s="284" t="s">
        <v>143</v>
      </c>
      <c r="B45" s="291">
        <f>'- 41 -'!I45</f>
        <v>64.220234503328172</v>
      </c>
      <c r="C45" s="291">
        <f>'- 42 -'!C45</f>
        <v>9.1709428082007965E-2</v>
      </c>
      <c r="D45" s="291">
        <f>'- 42 -'!E45</f>
        <v>33.860206607512417</v>
      </c>
      <c r="E45" s="291">
        <f>'- 42 -'!G45</f>
        <v>0.26059174560434789</v>
      </c>
      <c r="F45" s="291">
        <f>'- 42 -'!I45</f>
        <v>0</v>
      </c>
      <c r="G45" s="291">
        <f>'- 43 -'!C45</f>
        <v>1.3595436904111575</v>
      </c>
      <c r="H45" s="291">
        <f>'- 43 -'!E45</f>
        <v>0.20771402506189821</v>
      </c>
      <c r="J45" s="131">
        <f t="shared" si="0"/>
        <v>100.00000000000001</v>
      </c>
      <c r="K45" s="510"/>
      <c r="L45" s="510"/>
      <c r="M45" s="510"/>
    </row>
    <row r="46" spans="1:13" ht="14.1" customHeight="1" x14ac:dyDescent="0.2">
      <c r="A46" s="19" t="s">
        <v>144</v>
      </c>
      <c r="B46" s="70">
        <f>'- 41 -'!I46</f>
        <v>59.248665510940569</v>
      </c>
      <c r="C46" s="70">
        <f>'- 42 -'!C46</f>
        <v>1.1115326359409703</v>
      </c>
      <c r="D46" s="70">
        <f>'- 42 -'!E46</f>
        <v>37.765548169895361</v>
      </c>
      <c r="E46" s="70">
        <f>'- 42 -'!G46</f>
        <v>0.57402594215279257</v>
      </c>
      <c r="F46" s="70">
        <f>'- 42 -'!I46</f>
        <v>0.48853965647605796</v>
      </c>
      <c r="G46" s="70">
        <f>'- 43 -'!C46</f>
        <v>0.56681254981148088</v>
      </c>
      <c r="H46" s="70">
        <f>'- 43 -'!E46</f>
        <v>0.244875534782766</v>
      </c>
      <c r="J46" s="131">
        <f t="shared" si="0"/>
        <v>100</v>
      </c>
      <c r="K46" s="510"/>
      <c r="L46" s="510"/>
      <c r="M46" s="510"/>
    </row>
    <row r="47" spans="1:13" ht="5.0999999999999996" customHeight="1" x14ac:dyDescent="0.2">
      <c r="A47" s="21"/>
      <c r="B47"/>
      <c r="C47"/>
      <c r="D47"/>
      <c r="E47"/>
      <c r="F47"/>
      <c r="G47"/>
      <c r="H47"/>
      <c r="J47" s="131"/>
      <c r="K47" s="510"/>
      <c r="L47" s="510"/>
      <c r="M47" s="510"/>
    </row>
    <row r="48" spans="1:13" ht="14.1" customHeight="1" x14ac:dyDescent="0.2">
      <c r="A48" s="286" t="s">
        <v>145</v>
      </c>
      <c r="B48" s="294">
        <f>'- 41 -'!I48</f>
        <v>58.955443682063979</v>
      </c>
      <c r="C48" s="294">
        <f>'- 42 -'!C48</f>
        <v>0.33254732060822273</v>
      </c>
      <c r="D48" s="294">
        <f>'- 42 -'!E48</f>
        <v>34.439046704971545</v>
      </c>
      <c r="E48" s="294">
        <f>'- 42 -'!G48</f>
        <v>0.54776677809824337</v>
      </c>
      <c r="F48" s="294">
        <f>'- 42 -'!I48</f>
        <v>4.0478642629937482</v>
      </c>
      <c r="G48" s="294">
        <f>'- 43 -'!C48</f>
        <v>1.2535704752877594</v>
      </c>
      <c r="H48" s="294">
        <f>'- 43 -'!E48</f>
        <v>0.4237607759765008</v>
      </c>
      <c r="J48" s="131">
        <f>SUM(B48:H48)</f>
        <v>100</v>
      </c>
      <c r="K48" s="510"/>
      <c r="L48" s="510"/>
      <c r="M48" s="510"/>
    </row>
    <row r="49" spans="1:13" ht="5.0999999999999996" customHeight="1" x14ac:dyDescent="0.2">
      <c r="A49" s="21" t="s">
        <v>7</v>
      </c>
      <c r="B49"/>
      <c r="C49"/>
      <c r="D49"/>
      <c r="E49"/>
      <c r="F49"/>
      <c r="G49"/>
      <c r="H49"/>
      <c r="J49" s="131"/>
      <c r="K49" s="510"/>
      <c r="L49" s="510"/>
      <c r="M49" s="510"/>
    </row>
    <row r="50" spans="1:13" ht="14.1" customHeight="1" x14ac:dyDescent="0.2">
      <c r="A50" s="19" t="s">
        <v>146</v>
      </c>
      <c r="B50" s="70">
        <f>'- 41 -'!I50</f>
        <v>38.975547700882359</v>
      </c>
      <c r="C50" s="70">
        <f>'- 42 -'!C50</f>
        <v>0</v>
      </c>
      <c r="D50" s="70">
        <f>'- 42 -'!E50</f>
        <v>55.532825474068972</v>
      </c>
      <c r="E50" s="70">
        <f>'- 42 -'!G50</f>
        <v>0.88060249467912888</v>
      </c>
      <c r="F50" s="70">
        <f>'- 42 -'!I50</f>
        <v>0</v>
      </c>
      <c r="G50" s="70">
        <f>'- 43 -'!C50</f>
        <v>3.2176131337120375</v>
      </c>
      <c r="H50" s="70">
        <f>'- 43 -'!E50</f>
        <v>1.393411196657504</v>
      </c>
      <c r="J50" s="131">
        <f>SUM(B50:H50)</f>
        <v>100</v>
      </c>
      <c r="K50" s="510"/>
      <c r="L50" s="510"/>
      <c r="M50" s="510"/>
    </row>
    <row r="51" spans="1:13" ht="14.1" customHeight="1" x14ac:dyDescent="0.2">
      <c r="A51" s="284" t="s">
        <v>601</v>
      </c>
      <c r="B51" s="291">
        <f>'- 41 -'!I51</f>
        <v>30.60173699348735</v>
      </c>
      <c r="C51" s="291">
        <f>'- 42 -'!C51</f>
        <v>6.7533590206388094</v>
      </c>
      <c r="D51" s="291">
        <f>'- 42 -'!E51</f>
        <v>0</v>
      </c>
      <c r="E51" s="291">
        <f>'- 42 -'!G51</f>
        <v>5.9178025816335627</v>
      </c>
      <c r="F51" s="291">
        <f>'- 42 -'!I51</f>
        <v>0</v>
      </c>
      <c r="G51" s="291">
        <f>'- 43 -'!C51</f>
        <v>54.954393444359219</v>
      </c>
      <c r="H51" s="291">
        <f>'- 43 -'!E51</f>
        <v>1.7727079598810658</v>
      </c>
      <c r="J51" s="131"/>
      <c r="K51" s="510"/>
      <c r="L51" s="510"/>
      <c r="M51" s="510"/>
    </row>
    <row r="52" spans="1:13" ht="50.1" customHeight="1" x14ac:dyDescent="0.2">
      <c r="A52" s="23"/>
      <c r="B52" s="23"/>
      <c r="C52" s="23"/>
      <c r="D52" s="23"/>
      <c r="E52" s="23"/>
      <c r="F52" s="23"/>
      <c r="G52" s="23"/>
      <c r="H52" s="23"/>
    </row>
    <row r="53" spans="1:13" ht="15" customHeight="1" x14ac:dyDescent="0.2">
      <c r="A53" s="625" t="s">
        <v>655</v>
      </c>
      <c r="B53" s="625"/>
      <c r="C53" s="625"/>
      <c r="D53" s="625"/>
      <c r="E53" s="625"/>
      <c r="F53" s="625"/>
      <c r="G53" s="625"/>
      <c r="H53" s="625"/>
    </row>
    <row r="54" spans="1:13" x14ac:dyDescent="0.2">
      <c r="A54" s="626"/>
      <c r="B54" s="626"/>
      <c r="C54" s="626"/>
      <c r="D54" s="626"/>
      <c r="E54" s="626"/>
      <c r="F54" s="626"/>
      <c r="G54" s="626"/>
      <c r="H54" s="626"/>
    </row>
    <row r="55" spans="1:13" x14ac:dyDescent="0.2">
      <c r="A55" s="626"/>
      <c r="B55" s="626"/>
      <c r="C55" s="626"/>
      <c r="D55" s="626"/>
      <c r="E55" s="626"/>
      <c r="F55" s="626"/>
      <c r="G55" s="626"/>
      <c r="H55" s="626"/>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I62"/>
  <sheetViews>
    <sheetView showGridLines="0" showZeros="0" workbookViewId="0">
      <pane xSplit="1" ySplit="10" topLeftCell="B32" activePane="bottomRight" state="frozen"/>
      <selection pane="topRight" activeCell="B1" sqref="B1"/>
      <selection pane="bottomLeft" activeCell="A11" sqref="A11"/>
      <selection pane="bottomRight"/>
    </sheetView>
  </sheetViews>
  <sheetFormatPr defaultColWidth="15.83203125" defaultRowHeight="12" x14ac:dyDescent="0.2"/>
  <cols>
    <col min="1" max="1" width="26.83203125" style="2" customWidth="1"/>
    <col min="2" max="2" width="15.5" style="2" customWidth="1"/>
    <col min="3" max="3" width="15.83203125" style="2"/>
    <col min="4" max="4" width="12.5" style="2" customWidth="1"/>
    <col min="5" max="5" width="13" style="2" customWidth="1"/>
    <col min="6" max="6" width="15.5" style="2" customWidth="1"/>
    <col min="7" max="7" width="14.83203125" style="2" customWidth="1"/>
    <col min="8" max="8" width="15" style="2" bestFit="1" customWidth="1"/>
    <col min="9" max="9" width="15.1640625" style="2" customWidth="1"/>
    <col min="10" max="16384" width="15.83203125" style="2"/>
  </cols>
  <sheetData>
    <row r="1" spans="1:9" ht="15.95" customHeight="1" x14ac:dyDescent="0.2">
      <c r="A1" s="213"/>
      <c r="B1" s="219" t="str">
        <f>"ANALYSIS OF OPERATING FUND REVENUE: "&amp;FALLYR&amp;"/"&amp;SPRINGYR&amp;" ACTUAL"</f>
        <v>ANALYSIS OF OPERATING FUND REVENUE: 2018/2019 ACTUAL</v>
      </c>
      <c r="C1" s="41"/>
      <c r="D1" s="41"/>
      <c r="E1" s="41"/>
      <c r="F1" s="41"/>
      <c r="G1" s="41"/>
      <c r="H1" s="215"/>
      <c r="I1" s="215" t="s">
        <v>6</v>
      </c>
    </row>
    <row r="2" spans="1:9" ht="15.95" customHeight="1" x14ac:dyDescent="0.2">
      <c r="A2" s="205"/>
    </row>
    <row r="3" spans="1:9" ht="15.95" customHeight="1" x14ac:dyDescent="0.2">
      <c r="A3" s="538"/>
      <c r="B3" s="727" t="s">
        <v>50</v>
      </c>
      <c r="C3" s="728"/>
      <c r="D3" s="728"/>
      <c r="E3" s="728"/>
      <c r="F3" s="728"/>
      <c r="G3" s="728"/>
      <c r="H3" s="728"/>
      <c r="I3" s="729"/>
    </row>
    <row r="4" spans="1:9" ht="8.1" customHeight="1" x14ac:dyDescent="0.2"/>
    <row r="5" spans="1:9" ht="15.95" customHeight="1" x14ac:dyDescent="0.2">
      <c r="B5" s="724" t="s">
        <v>39</v>
      </c>
      <c r="C5" s="725"/>
      <c r="D5" s="725"/>
      <c r="E5" s="725"/>
      <c r="F5" s="726"/>
    </row>
    <row r="6" spans="1:9" ht="11.45" customHeight="1" x14ac:dyDescent="0.2">
      <c r="B6" s="382"/>
      <c r="C6" s="382"/>
      <c r="D6" s="449"/>
      <c r="E6" s="383"/>
      <c r="F6" s="383"/>
      <c r="G6" s="382"/>
      <c r="H6" s="562"/>
      <c r="I6" s="732" t="s">
        <v>518</v>
      </c>
    </row>
    <row r="7" spans="1:9" ht="8.4499999999999993" customHeight="1" x14ac:dyDescent="0.2">
      <c r="B7" s="720" t="s">
        <v>523</v>
      </c>
      <c r="C7" s="720" t="s">
        <v>522</v>
      </c>
      <c r="D7" s="720" t="s">
        <v>521</v>
      </c>
      <c r="E7" s="384"/>
      <c r="F7" s="384"/>
      <c r="G7" s="720" t="s">
        <v>519</v>
      </c>
      <c r="H7" s="730" t="s">
        <v>517</v>
      </c>
      <c r="I7" s="733"/>
    </row>
    <row r="8" spans="1:9" ht="21.6" customHeight="1" x14ac:dyDescent="0.2">
      <c r="A8" s="67"/>
      <c r="B8" s="721"/>
      <c r="C8" s="720"/>
      <c r="D8" s="721"/>
      <c r="E8" s="720" t="s">
        <v>520</v>
      </c>
      <c r="F8" s="384"/>
      <c r="G8" s="721"/>
      <c r="H8" s="730"/>
      <c r="I8" s="733"/>
    </row>
    <row r="9" spans="1:9" ht="15.95" customHeight="1" x14ac:dyDescent="0.2">
      <c r="A9" s="35" t="s">
        <v>42</v>
      </c>
      <c r="B9" s="722"/>
      <c r="C9" s="735"/>
      <c r="D9" s="722"/>
      <c r="E9" s="735"/>
      <c r="F9" s="385" t="s">
        <v>31</v>
      </c>
      <c r="G9" s="722"/>
      <c r="H9" s="731"/>
      <c r="I9" s="734"/>
    </row>
    <row r="10" spans="1:9" ht="5.0999999999999996" customHeight="1" x14ac:dyDescent="0.2">
      <c r="A10" s="6"/>
      <c r="B10" s="207"/>
      <c r="C10" s="207"/>
      <c r="D10" s="207"/>
      <c r="E10" s="207"/>
      <c r="F10" s="207"/>
      <c r="G10" s="207"/>
      <c r="H10" s="207"/>
    </row>
    <row r="11" spans="1:9" ht="14.1" customHeight="1" x14ac:dyDescent="0.2">
      <c r="A11" s="284" t="s">
        <v>110</v>
      </c>
      <c r="B11" s="285">
        <f>'- 61 -'!$F11</f>
        <v>10444234</v>
      </c>
      <c r="C11" s="417">
        <v>1743461</v>
      </c>
      <c r="D11" s="417">
        <v>376567</v>
      </c>
      <c r="E11" s="417">
        <v>514070</v>
      </c>
      <c r="F11" s="285">
        <f>SUM(B11:E11)</f>
        <v>13078332</v>
      </c>
      <c r="G11" s="417">
        <v>0</v>
      </c>
      <c r="H11" s="285">
        <f>SUM(F11:G11)</f>
        <v>13078332</v>
      </c>
      <c r="I11" s="291">
        <f>H11/'- 43 -'!$I11*100</f>
        <v>63.500358958737081</v>
      </c>
    </row>
    <row r="12" spans="1:9" ht="14.1" customHeight="1" x14ac:dyDescent="0.2">
      <c r="A12" s="19" t="s">
        <v>111</v>
      </c>
      <c r="B12" s="20">
        <f>'- 61 -'!$F12</f>
        <v>14787078</v>
      </c>
      <c r="C12" s="418">
        <v>2413048</v>
      </c>
      <c r="D12" s="418">
        <v>2636344</v>
      </c>
      <c r="E12" s="418">
        <v>1393516</v>
      </c>
      <c r="F12" s="20">
        <f t="shared" ref="F12:F46" si="0">SUM(B12:E12)</f>
        <v>21229986</v>
      </c>
      <c r="G12" s="418">
        <v>132368</v>
      </c>
      <c r="H12" s="20">
        <f t="shared" ref="H12:H46" si="1">SUM(F12:G12)</f>
        <v>21362354</v>
      </c>
      <c r="I12" s="70">
        <f>H12/'- 43 -'!$I12*100</f>
        <v>59.963339377754096</v>
      </c>
    </row>
    <row r="13" spans="1:9" ht="14.1" customHeight="1" x14ac:dyDescent="0.2">
      <c r="A13" s="284" t="s">
        <v>112</v>
      </c>
      <c r="B13" s="285">
        <f>'- 61 -'!$F13</f>
        <v>50792811</v>
      </c>
      <c r="C13" s="417">
        <v>7766583</v>
      </c>
      <c r="D13" s="417">
        <v>1344837</v>
      </c>
      <c r="E13" s="417">
        <v>2793545</v>
      </c>
      <c r="F13" s="285">
        <f t="shared" si="0"/>
        <v>62697776</v>
      </c>
      <c r="G13" s="417">
        <v>0</v>
      </c>
      <c r="H13" s="285">
        <f t="shared" si="1"/>
        <v>62697776</v>
      </c>
      <c r="I13" s="291">
        <f>H13/'- 43 -'!$I13*100</f>
        <v>60.078623189051562</v>
      </c>
    </row>
    <row r="14" spans="1:9" ht="14.1" customHeight="1" x14ac:dyDescent="0.2">
      <c r="A14" s="19" t="s">
        <v>359</v>
      </c>
      <c r="B14" s="20">
        <f>'- 61 -'!$F14</f>
        <v>36367750</v>
      </c>
      <c r="C14" s="418">
        <v>6583556</v>
      </c>
      <c r="D14" s="418">
        <v>1509074</v>
      </c>
      <c r="E14" s="418">
        <v>21499755</v>
      </c>
      <c r="F14" s="20">
        <f t="shared" si="0"/>
        <v>65960135</v>
      </c>
      <c r="G14" s="418">
        <v>687859</v>
      </c>
      <c r="H14" s="20">
        <f t="shared" si="1"/>
        <v>66647994</v>
      </c>
      <c r="I14" s="70">
        <f>H14/'- 43 -'!$I14*100</f>
        <v>70.350122037649541</v>
      </c>
    </row>
    <row r="15" spans="1:9" ht="14.1" customHeight="1" x14ac:dyDescent="0.2">
      <c r="A15" s="284" t="s">
        <v>113</v>
      </c>
      <c r="B15" s="285">
        <f>'- 61 -'!$F15</f>
        <v>7978326</v>
      </c>
      <c r="C15" s="417">
        <v>2864857</v>
      </c>
      <c r="D15" s="417">
        <v>1545587</v>
      </c>
      <c r="E15" s="417">
        <v>502968</v>
      </c>
      <c r="F15" s="285">
        <f t="shared" si="0"/>
        <v>12891738</v>
      </c>
      <c r="G15" s="417">
        <v>0</v>
      </c>
      <c r="H15" s="285">
        <f t="shared" si="1"/>
        <v>12891738</v>
      </c>
      <c r="I15" s="291">
        <f>H15/'- 43 -'!$I15*100</f>
        <v>60.14810114622906</v>
      </c>
    </row>
    <row r="16" spans="1:9" ht="14.1" customHeight="1" x14ac:dyDescent="0.2">
      <c r="A16" s="19" t="s">
        <v>114</v>
      </c>
      <c r="B16" s="20">
        <f>'- 61 -'!$F16</f>
        <v>8625699</v>
      </c>
      <c r="C16" s="418">
        <v>902868</v>
      </c>
      <c r="D16" s="418">
        <v>564535</v>
      </c>
      <c r="E16" s="418">
        <v>634275</v>
      </c>
      <c r="F16" s="20">
        <f t="shared" si="0"/>
        <v>10727377</v>
      </c>
      <c r="G16" s="418">
        <v>0</v>
      </c>
      <c r="H16" s="20">
        <f t="shared" si="1"/>
        <v>10727377</v>
      </c>
      <c r="I16" s="70">
        <f>H16/'- 43 -'!$I16*100</f>
        <v>71.710435323264193</v>
      </c>
    </row>
    <row r="17" spans="1:9" ht="14.1" customHeight="1" x14ac:dyDescent="0.2">
      <c r="A17" s="284" t="s">
        <v>115</v>
      </c>
      <c r="B17" s="285">
        <f>'- 61 -'!$F17</f>
        <v>7164126</v>
      </c>
      <c r="C17" s="417">
        <v>1435001</v>
      </c>
      <c r="D17" s="417">
        <v>472580</v>
      </c>
      <c r="E17" s="417">
        <v>639279</v>
      </c>
      <c r="F17" s="285">
        <f t="shared" si="0"/>
        <v>9710986</v>
      </c>
      <c r="G17" s="417">
        <v>192758</v>
      </c>
      <c r="H17" s="285">
        <f t="shared" si="1"/>
        <v>9903744</v>
      </c>
      <c r="I17" s="291">
        <f>H17/'- 43 -'!$I17*100</f>
        <v>52.339527426959535</v>
      </c>
    </row>
    <row r="18" spans="1:9" ht="14.1" customHeight="1" x14ac:dyDescent="0.2">
      <c r="A18" s="19" t="s">
        <v>116</v>
      </c>
      <c r="B18" s="20">
        <f>'- 61 -'!$F18</f>
        <v>37282072</v>
      </c>
      <c r="C18" s="418">
        <v>508710</v>
      </c>
      <c r="D18" s="418">
        <v>233548</v>
      </c>
      <c r="E18" s="418">
        <v>11517882</v>
      </c>
      <c r="F18" s="20">
        <f t="shared" si="0"/>
        <v>49542212</v>
      </c>
      <c r="G18" s="418">
        <v>265761</v>
      </c>
      <c r="H18" s="20">
        <f t="shared" si="1"/>
        <v>49807973</v>
      </c>
      <c r="I18" s="70">
        <f>H18/'- 43 -'!$I18*100</f>
        <v>35.362443983548815</v>
      </c>
    </row>
    <row r="19" spans="1:9" ht="14.1" customHeight="1" x14ac:dyDescent="0.2">
      <c r="A19" s="284" t="s">
        <v>117</v>
      </c>
      <c r="B19" s="285">
        <f>'- 61 -'!$F19</f>
        <v>29121518</v>
      </c>
      <c r="C19" s="417">
        <v>3443235</v>
      </c>
      <c r="D19" s="417">
        <v>484630</v>
      </c>
      <c r="E19" s="417">
        <v>1198862</v>
      </c>
      <c r="F19" s="285">
        <f t="shared" si="0"/>
        <v>34248245</v>
      </c>
      <c r="G19" s="417">
        <v>5923</v>
      </c>
      <c r="H19" s="285">
        <f t="shared" si="1"/>
        <v>34254168</v>
      </c>
      <c r="I19" s="291">
        <f>H19/'- 43 -'!$I19*100</f>
        <v>66.6274938189366</v>
      </c>
    </row>
    <row r="20" spans="1:9" ht="14.1" customHeight="1" x14ac:dyDescent="0.2">
      <c r="A20" s="19" t="s">
        <v>118</v>
      </c>
      <c r="B20" s="20">
        <f>'- 61 -'!$F20</f>
        <v>52467533</v>
      </c>
      <c r="C20" s="418">
        <v>6666249</v>
      </c>
      <c r="D20" s="418">
        <v>1095290</v>
      </c>
      <c r="E20" s="418">
        <v>2519014</v>
      </c>
      <c r="F20" s="20">
        <f t="shared" si="0"/>
        <v>62748086</v>
      </c>
      <c r="G20" s="418">
        <v>11100</v>
      </c>
      <c r="H20" s="20">
        <f t="shared" si="1"/>
        <v>62759186</v>
      </c>
      <c r="I20" s="70">
        <f>H20/'- 43 -'!$I20*100</f>
        <v>69.273706868790157</v>
      </c>
    </row>
    <row r="21" spans="1:9" ht="14.1" customHeight="1" x14ac:dyDescent="0.2">
      <c r="A21" s="284" t="s">
        <v>119</v>
      </c>
      <c r="B21" s="285">
        <f>'- 61 -'!$F21</f>
        <v>16764872</v>
      </c>
      <c r="C21" s="417">
        <v>3719203</v>
      </c>
      <c r="D21" s="417">
        <v>1146820</v>
      </c>
      <c r="E21" s="417">
        <v>892913</v>
      </c>
      <c r="F21" s="285">
        <f t="shared" si="0"/>
        <v>22523808</v>
      </c>
      <c r="G21" s="417">
        <v>11250</v>
      </c>
      <c r="H21" s="285">
        <f t="shared" si="1"/>
        <v>22535058</v>
      </c>
      <c r="I21" s="291">
        <f>H21/'- 43 -'!$I21*100</f>
        <v>58.605093655041664</v>
      </c>
    </row>
    <row r="22" spans="1:9" ht="14.1" customHeight="1" x14ac:dyDescent="0.2">
      <c r="A22" s="19" t="s">
        <v>120</v>
      </c>
      <c r="B22" s="20">
        <f>'- 61 -'!$F22</f>
        <v>14076934</v>
      </c>
      <c r="C22" s="418">
        <v>1141111</v>
      </c>
      <c r="D22" s="418">
        <v>222526</v>
      </c>
      <c r="E22" s="418">
        <v>1515361</v>
      </c>
      <c r="F22" s="20">
        <f t="shared" si="0"/>
        <v>16955932</v>
      </c>
      <c r="G22" s="418">
        <v>1339</v>
      </c>
      <c r="H22" s="20">
        <f t="shared" si="1"/>
        <v>16957271</v>
      </c>
      <c r="I22" s="70">
        <f>H22/'- 43 -'!$I22*100</f>
        <v>82.364348954639865</v>
      </c>
    </row>
    <row r="23" spans="1:9" ht="14.1" customHeight="1" x14ac:dyDescent="0.2">
      <c r="A23" s="284" t="s">
        <v>121</v>
      </c>
      <c r="B23" s="285">
        <f>'- 61 -'!$F23</f>
        <v>9409553</v>
      </c>
      <c r="C23" s="417">
        <v>1132643</v>
      </c>
      <c r="D23" s="417">
        <v>426096</v>
      </c>
      <c r="E23" s="417">
        <v>732755</v>
      </c>
      <c r="F23" s="285">
        <f t="shared" si="0"/>
        <v>11701047</v>
      </c>
      <c r="G23" s="417">
        <v>0</v>
      </c>
      <c r="H23" s="285">
        <f t="shared" si="1"/>
        <v>11701047</v>
      </c>
      <c r="I23" s="291">
        <f>H23/'- 43 -'!$I23*100</f>
        <v>71.364452850736498</v>
      </c>
    </row>
    <row r="24" spans="1:9" ht="14.1" customHeight="1" x14ac:dyDescent="0.2">
      <c r="A24" s="19" t="s">
        <v>122</v>
      </c>
      <c r="B24" s="20">
        <f>'- 61 -'!$F24</f>
        <v>23222721</v>
      </c>
      <c r="C24" s="418">
        <v>6004700</v>
      </c>
      <c r="D24" s="418">
        <v>2607376</v>
      </c>
      <c r="E24" s="418">
        <v>1604188</v>
      </c>
      <c r="F24" s="20">
        <f t="shared" si="0"/>
        <v>33438985</v>
      </c>
      <c r="G24" s="418">
        <v>98630</v>
      </c>
      <c r="H24" s="20">
        <f t="shared" si="1"/>
        <v>33537615</v>
      </c>
      <c r="I24" s="70">
        <f>H24/'- 43 -'!$I24*100</f>
        <v>56.208372113415649</v>
      </c>
    </row>
    <row r="25" spans="1:9" ht="14.1" customHeight="1" x14ac:dyDescent="0.2">
      <c r="A25" s="284" t="s">
        <v>123</v>
      </c>
      <c r="B25" s="285">
        <f>'- 61 -'!$F25</f>
        <v>79354048</v>
      </c>
      <c r="C25" s="417">
        <v>22408338</v>
      </c>
      <c r="D25" s="417">
        <v>4268028</v>
      </c>
      <c r="E25" s="417">
        <v>6316623</v>
      </c>
      <c r="F25" s="285">
        <f t="shared" si="0"/>
        <v>112347037</v>
      </c>
      <c r="G25" s="417">
        <v>0</v>
      </c>
      <c r="H25" s="285">
        <f t="shared" si="1"/>
        <v>112347037</v>
      </c>
      <c r="I25" s="291">
        <f>H25/'- 43 -'!$I25*100</f>
        <v>56.95876282649094</v>
      </c>
    </row>
    <row r="26" spans="1:9" ht="14.1" customHeight="1" x14ac:dyDescent="0.2">
      <c r="A26" s="19" t="s">
        <v>124</v>
      </c>
      <c r="B26" s="20">
        <f>'- 61 -'!$F26</f>
        <v>21809586</v>
      </c>
      <c r="C26" s="418">
        <v>3609788</v>
      </c>
      <c r="D26" s="418">
        <v>506264</v>
      </c>
      <c r="E26" s="418">
        <v>970216</v>
      </c>
      <c r="F26" s="20">
        <f t="shared" si="0"/>
        <v>26895854</v>
      </c>
      <c r="G26" s="418">
        <v>0</v>
      </c>
      <c r="H26" s="20">
        <f t="shared" si="1"/>
        <v>26895854</v>
      </c>
      <c r="I26" s="70">
        <f>H26/'- 43 -'!$I26*100</f>
        <v>63.786424550146862</v>
      </c>
    </row>
    <row r="27" spans="1:9" ht="14.1" customHeight="1" x14ac:dyDescent="0.2">
      <c r="A27" s="284" t="s">
        <v>125</v>
      </c>
      <c r="B27" s="285">
        <f>'- 61 -'!$F27</f>
        <v>30516266</v>
      </c>
      <c r="C27" s="417">
        <v>1605026</v>
      </c>
      <c r="D27" s="417">
        <v>773252</v>
      </c>
      <c r="E27" s="417">
        <v>1233232</v>
      </c>
      <c r="F27" s="285">
        <f t="shared" si="0"/>
        <v>34127776</v>
      </c>
      <c r="G27" s="417">
        <v>43990</v>
      </c>
      <c r="H27" s="285">
        <f t="shared" si="1"/>
        <v>34171766</v>
      </c>
      <c r="I27" s="291">
        <f>H27/'- 43 -'!$I27*100</f>
        <v>81.353857253190526</v>
      </c>
    </row>
    <row r="28" spans="1:9" ht="14.1" customHeight="1" x14ac:dyDescent="0.2">
      <c r="A28" s="19" t="s">
        <v>126</v>
      </c>
      <c r="B28" s="20">
        <f>'- 61 -'!$F28</f>
        <v>10325241</v>
      </c>
      <c r="C28" s="418">
        <v>1711552</v>
      </c>
      <c r="D28" s="418">
        <v>767846</v>
      </c>
      <c r="E28" s="418">
        <v>739300</v>
      </c>
      <c r="F28" s="20">
        <f t="shared" si="0"/>
        <v>13543939</v>
      </c>
      <c r="G28" s="418">
        <v>0</v>
      </c>
      <c r="H28" s="20">
        <f t="shared" si="1"/>
        <v>13543939</v>
      </c>
      <c r="I28" s="70">
        <f>H28/'- 43 -'!$I28*100</f>
        <v>46.443707291674315</v>
      </c>
    </row>
    <row r="29" spans="1:9" ht="14.1" customHeight="1" x14ac:dyDescent="0.2">
      <c r="A29" s="284" t="s">
        <v>127</v>
      </c>
      <c r="B29" s="285">
        <f>'- 61 -'!$F29</f>
        <v>56966422</v>
      </c>
      <c r="C29" s="417">
        <v>21923639</v>
      </c>
      <c r="D29" s="417">
        <v>3523985</v>
      </c>
      <c r="E29" s="417">
        <v>4036035</v>
      </c>
      <c r="F29" s="285">
        <f t="shared" si="0"/>
        <v>86450081</v>
      </c>
      <c r="G29" s="417">
        <v>103578</v>
      </c>
      <c r="H29" s="285">
        <f t="shared" si="1"/>
        <v>86553659</v>
      </c>
      <c r="I29" s="291">
        <f>H29/'- 43 -'!$I29*100</f>
        <v>49.328996706580909</v>
      </c>
    </row>
    <row r="30" spans="1:9" ht="14.1" customHeight="1" x14ac:dyDescent="0.2">
      <c r="A30" s="19" t="s">
        <v>128</v>
      </c>
      <c r="B30" s="20">
        <f>'- 61 -'!$F30</f>
        <v>7318044</v>
      </c>
      <c r="C30" s="418">
        <v>1057457</v>
      </c>
      <c r="D30" s="418">
        <v>321708</v>
      </c>
      <c r="E30" s="418">
        <v>360814</v>
      </c>
      <c r="F30" s="20">
        <f t="shared" si="0"/>
        <v>9058023</v>
      </c>
      <c r="G30" s="418">
        <v>0</v>
      </c>
      <c r="H30" s="20">
        <f t="shared" si="1"/>
        <v>9058023</v>
      </c>
      <c r="I30" s="70">
        <f>H30/'- 43 -'!$I30*100</f>
        <v>58.016159810095878</v>
      </c>
    </row>
    <row r="31" spans="1:9" ht="14.1" customHeight="1" x14ac:dyDescent="0.2">
      <c r="A31" s="284" t="s">
        <v>129</v>
      </c>
      <c r="B31" s="285">
        <f>'- 61 -'!$F31</f>
        <v>19022150</v>
      </c>
      <c r="C31" s="417">
        <v>3348325</v>
      </c>
      <c r="D31" s="417">
        <v>388744</v>
      </c>
      <c r="E31" s="417">
        <v>931308</v>
      </c>
      <c r="F31" s="285">
        <f t="shared" si="0"/>
        <v>23690527</v>
      </c>
      <c r="G31" s="417">
        <v>0</v>
      </c>
      <c r="H31" s="285">
        <f t="shared" si="1"/>
        <v>23690527</v>
      </c>
      <c r="I31" s="291">
        <f>H31/'- 43 -'!$I31*100</f>
        <v>56.52231941347695</v>
      </c>
    </row>
    <row r="32" spans="1:9" ht="14.1" customHeight="1" x14ac:dyDescent="0.2">
      <c r="A32" s="19" t="s">
        <v>130</v>
      </c>
      <c r="B32" s="20">
        <f>'- 61 -'!$F32</f>
        <v>12464725</v>
      </c>
      <c r="C32" s="418">
        <v>2510569</v>
      </c>
      <c r="D32" s="418">
        <v>1088590</v>
      </c>
      <c r="E32" s="418">
        <v>1001318</v>
      </c>
      <c r="F32" s="20">
        <f t="shared" si="0"/>
        <v>17065202</v>
      </c>
      <c r="G32" s="418">
        <v>5196</v>
      </c>
      <c r="H32" s="20">
        <f t="shared" si="1"/>
        <v>17070398</v>
      </c>
      <c r="I32" s="70">
        <f>H32/'- 43 -'!$I32*100</f>
        <v>54.267486757388852</v>
      </c>
    </row>
    <row r="33" spans="1:9" ht="14.1" customHeight="1" x14ac:dyDescent="0.2">
      <c r="A33" s="284" t="s">
        <v>131</v>
      </c>
      <c r="B33" s="285">
        <f>'- 61 -'!$F33</f>
        <v>13598993</v>
      </c>
      <c r="C33" s="417">
        <v>1889934</v>
      </c>
      <c r="D33" s="417">
        <v>787029</v>
      </c>
      <c r="E33" s="417">
        <v>708991</v>
      </c>
      <c r="F33" s="285">
        <f t="shared" si="0"/>
        <v>16984947</v>
      </c>
      <c r="G33" s="417">
        <v>5507</v>
      </c>
      <c r="H33" s="285">
        <f t="shared" si="1"/>
        <v>16990454</v>
      </c>
      <c r="I33" s="291">
        <f>H33/'- 43 -'!$I33*100</f>
        <v>58.329074921128253</v>
      </c>
    </row>
    <row r="34" spans="1:9" ht="14.1" customHeight="1" x14ac:dyDescent="0.2">
      <c r="A34" s="19" t="s">
        <v>132</v>
      </c>
      <c r="B34" s="20">
        <f>'- 61 -'!$F34</f>
        <v>12080479</v>
      </c>
      <c r="C34" s="418">
        <v>2320798</v>
      </c>
      <c r="D34" s="418">
        <v>675320</v>
      </c>
      <c r="E34" s="418">
        <v>841143</v>
      </c>
      <c r="F34" s="20">
        <f t="shared" si="0"/>
        <v>15917740</v>
      </c>
      <c r="G34" s="418">
        <v>0</v>
      </c>
      <c r="H34" s="20">
        <f t="shared" si="1"/>
        <v>15917740</v>
      </c>
      <c r="I34" s="70">
        <f>H34/'- 43 -'!$I34*100</f>
        <v>48.998860707089307</v>
      </c>
    </row>
    <row r="35" spans="1:9" ht="14.1" customHeight="1" x14ac:dyDescent="0.2">
      <c r="A35" s="284" t="s">
        <v>133</v>
      </c>
      <c r="B35" s="285">
        <f>'- 61 -'!$F35</f>
        <v>95204016</v>
      </c>
      <c r="C35" s="417">
        <v>23896937</v>
      </c>
      <c r="D35" s="417">
        <v>1071950</v>
      </c>
      <c r="E35" s="417">
        <v>7643356</v>
      </c>
      <c r="F35" s="285">
        <f t="shared" si="0"/>
        <v>127816259</v>
      </c>
      <c r="G35" s="417">
        <v>316807</v>
      </c>
      <c r="H35" s="285">
        <f t="shared" si="1"/>
        <v>128133066</v>
      </c>
      <c r="I35" s="291">
        <f>H35/'- 43 -'!$I35*100</f>
        <v>64.412976260427428</v>
      </c>
    </row>
    <row r="36" spans="1:9" ht="14.1" customHeight="1" x14ac:dyDescent="0.2">
      <c r="A36" s="19" t="s">
        <v>134</v>
      </c>
      <c r="B36" s="20">
        <f>'- 61 -'!$F36</f>
        <v>9857331</v>
      </c>
      <c r="C36" s="418">
        <v>2270924</v>
      </c>
      <c r="D36" s="418">
        <v>738029</v>
      </c>
      <c r="E36" s="418">
        <v>674909</v>
      </c>
      <c r="F36" s="20">
        <f t="shared" si="0"/>
        <v>13541193</v>
      </c>
      <c r="G36" s="418">
        <v>132803</v>
      </c>
      <c r="H36" s="20">
        <f t="shared" si="1"/>
        <v>13673996</v>
      </c>
      <c r="I36" s="70">
        <f>H36/'- 43 -'!$I36*100</f>
        <v>54.764968144473499</v>
      </c>
    </row>
    <row r="37" spans="1:9" ht="14.1" customHeight="1" x14ac:dyDescent="0.2">
      <c r="A37" s="284" t="s">
        <v>135</v>
      </c>
      <c r="B37" s="285">
        <f>'- 61 -'!$F37</f>
        <v>29575731</v>
      </c>
      <c r="C37" s="417">
        <v>5124198</v>
      </c>
      <c r="D37" s="417">
        <v>1514248</v>
      </c>
      <c r="E37" s="417">
        <v>1697086</v>
      </c>
      <c r="F37" s="285">
        <f t="shared" si="0"/>
        <v>37911263</v>
      </c>
      <c r="G37" s="417">
        <v>13250</v>
      </c>
      <c r="H37" s="285">
        <f t="shared" si="1"/>
        <v>37924513</v>
      </c>
      <c r="I37" s="291">
        <f>H37/'- 43 -'!$I37*100</f>
        <v>68.467460117079497</v>
      </c>
    </row>
    <row r="38" spans="1:9" ht="14.1" customHeight="1" x14ac:dyDescent="0.2">
      <c r="A38" s="19" t="s">
        <v>136</v>
      </c>
      <c r="B38" s="20">
        <f>'- 61 -'!$F38</f>
        <v>77430488</v>
      </c>
      <c r="C38" s="418">
        <v>12665731</v>
      </c>
      <c r="D38" s="418">
        <v>3924594</v>
      </c>
      <c r="E38" s="418">
        <v>5256509</v>
      </c>
      <c r="F38" s="20">
        <f t="shared" si="0"/>
        <v>99277322</v>
      </c>
      <c r="G38" s="418">
        <v>1104543</v>
      </c>
      <c r="H38" s="20">
        <f t="shared" si="1"/>
        <v>100381865</v>
      </c>
      <c r="I38" s="70">
        <f>H38/'- 43 -'!$I38*100</f>
        <v>66.335470175134148</v>
      </c>
    </row>
    <row r="39" spans="1:9" ht="14.1" customHeight="1" x14ac:dyDescent="0.2">
      <c r="A39" s="284" t="s">
        <v>137</v>
      </c>
      <c r="B39" s="285">
        <f>'- 61 -'!$F39</f>
        <v>8846053</v>
      </c>
      <c r="C39" s="417">
        <v>1692160</v>
      </c>
      <c r="D39" s="417">
        <v>735260</v>
      </c>
      <c r="E39" s="417">
        <v>678940</v>
      </c>
      <c r="F39" s="285">
        <f t="shared" si="0"/>
        <v>11952413</v>
      </c>
      <c r="G39" s="417">
        <v>0</v>
      </c>
      <c r="H39" s="285">
        <f t="shared" si="1"/>
        <v>11952413</v>
      </c>
      <c r="I39" s="291">
        <f>H39/'- 43 -'!$I39*100</f>
        <v>50.49701208874103</v>
      </c>
    </row>
    <row r="40" spans="1:9" ht="14.1" customHeight="1" x14ac:dyDescent="0.2">
      <c r="A40" s="19" t="s">
        <v>138</v>
      </c>
      <c r="B40" s="20">
        <f>'- 61 -'!$F40</f>
        <v>37548282</v>
      </c>
      <c r="C40" s="418">
        <v>12926460</v>
      </c>
      <c r="D40" s="418">
        <v>2794437</v>
      </c>
      <c r="E40" s="418">
        <v>3187183</v>
      </c>
      <c r="F40" s="20">
        <f t="shared" si="0"/>
        <v>56456362</v>
      </c>
      <c r="G40" s="418">
        <v>8135</v>
      </c>
      <c r="H40" s="20">
        <f t="shared" si="1"/>
        <v>56464497</v>
      </c>
      <c r="I40" s="70">
        <f>H40/'- 43 -'!$I40*100</f>
        <v>51.256464497199737</v>
      </c>
    </row>
    <row r="41" spans="1:9" ht="14.1" customHeight="1" x14ac:dyDescent="0.2">
      <c r="A41" s="284" t="s">
        <v>139</v>
      </c>
      <c r="B41" s="285">
        <f>'- 61 -'!$F41</f>
        <v>25104057</v>
      </c>
      <c r="C41" s="417">
        <v>7381471</v>
      </c>
      <c r="D41" s="417">
        <v>2389118</v>
      </c>
      <c r="E41" s="417">
        <v>2813868</v>
      </c>
      <c r="F41" s="285">
        <f t="shared" si="0"/>
        <v>37688514</v>
      </c>
      <c r="G41" s="417">
        <v>291828</v>
      </c>
      <c r="H41" s="285">
        <f t="shared" si="1"/>
        <v>37980342</v>
      </c>
      <c r="I41" s="291">
        <f>H41/'- 43 -'!$I41*100</f>
        <v>56.439908719151788</v>
      </c>
    </row>
    <row r="42" spans="1:9" ht="14.1" customHeight="1" x14ac:dyDescent="0.2">
      <c r="A42" s="19" t="s">
        <v>140</v>
      </c>
      <c r="B42" s="20">
        <f>'- 61 -'!$F42</f>
        <v>11343305</v>
      </c>
      <c r="C42" s="418">
        <v>1634812</v>
      </c>
      <c r="D42" s="418">
        <v>1023978</v>
      </c>
      <c r="E42" s="418">
        <v>616572</v>
      </c>
      <c r="F42" s="20">
        <f t="shared" si="0"/>
        <v>14618667</v>
      </c>
      <c r="G42" s="418">
        <v>0</v>
      </c>
      <c r="H42" s="20">
        <f t="shared" si="1"/>
        <v>14618667</v>
      </c>
      <c r="I42" s="70">
        <f>H42/'- 43 -'!$I42*100</f>
        <v>67.790937982886376</v>
      </c>
    </row>
    <row r="43" spans="1:9" ht="14.1" customHeight="1" x14ac:dyDescent="0.2">
      <c r="A43" s="284" t="s">
        <v>141</v>
      </c>
      <c r="B43" s="285">
        <f>'- 61 -'!$F43</f>
        <v>5825855</v>
      </c>
      <c r="C43" s="417">
        <v>1314440</v>
      </c>
      <c r="D43" s="417">
        <v>0</v>
      </c>
      <c r="E43" s="417">
        <v>576433</v>
      </c>
      <c r="F43" s="285">
        <f t="shared" si="0"/>
        <v>7716728</v>
      </c>
      <c r="G43" s="417">
        <v>0</v>
      </c>
      <c r="H43" s="285">
        <f t="shared" si="1"/>
        <v>7716728</v>
      </c>
      <c r="I43" s="291">
        <f>H43/'- 43 -'!$I43*100</f>
        <v>56.004683744548387</v>
      </c>
    </row>
    <row r="44" spans="1:9" ht="14.1" customHeight="1" x14ac:dyDescent="0.2">
      <c r="A44" s="19" t="s">
        <v>142</v>
      </c>
      <c r="B44" s="20">
        <f>'- 61 -'!$F44</f>
        <v>7178660</v>
      </c>
      <c r="C44" s="418">
        <v>719727</v>
      </c>
      <c r="D44" s="418">
        <v>407338</v>
      </c>
      <c r="E44" s="418">
        <v>394056</v>
      </c>
      <c r="F44" s="20">
        <f t="shared" si="0"/>
        <v>8699781</v>
      </c>
      <c r="G44" s="418">
        <v>5000</v>
      </c>
      <c r="H44" s="20">
        <f t="shared" si="1"/>
        <v>8704781</v>
      </c>
      <c r="I44" s="70">
        <f>H44/'- 43 -'!$I44*100</f>
        <v>75.147069233730974</v>
      </c>
    </row>
    <row r="45" spans="1:9" ht="14.1" customHeight="1" x14ac:dyDescent="0.2">
      <c r="A45" s="284" t="s">
        <v>143</v>
      </c>
      <c r="B45" s="285">
        <f>'- 61 -'!$F45</f>
        <v>10686869</v>
      </c>
      <c r="C45" s="417">
        <v>2088141</v>
      </c>
      <c r="D45" s="417">
        <v>0</v>
      </c>
      <c r="E45" s="417">
        <v>805464</v>
      </c>
      <c r="F45" s="285">
        <f t="shared" si="0"/>
        <v>13580474</v>
      </c>
      <c r="G45" s="417">
        <v>35337</v>
      </c>
      <c r="H45" s="285">
        <f t="shared" si="1"/>
        <v>13615811</v>
      </c>
      <c r="I45" s="291">
        <f>H45/'- 43 -'!$I45*100</f>
        <v>64.220234503328172</v>
      </c>
    </row>
    <row r="46" spans="1:9" ht="14.1" customHeight="1" x14ac:dyDescent="0.2">
      <c r="A46" s="19" t="s">
        <v>144</v>
      </c>
      <c r="B46" s="20">
        <f>'- 61 -'!$F46</f>
        <v>185480652</v>
      </c>
      <c r="C46" s="418">
        <v>30863745</v>
      </c>
      <c r="D46" s="418">
        <v>6946148</v>
      </c>
      <c r="E46" s="418">
        <v>21865976</v>
      </c>
      <c r="F46" s="20">
        <f t="shared" si="0"/>
        <v>245156521</v>
      </c>
      <c r="G46" s="418">
        <v>71809</v>
      </c>
      <c r="H46" s="20">
        <f t="shared" si="1"/>
        <v>245228330</v>
      </c>
      <c r="I46" s="70">
        <f>H46/'- 43 -'!$I46*100</f>
        <v>59.248665510940569</v>
      </c>
    </row>
    <row r="47" spans="1:9" ht="5.0999999999999996" customHeight="1" x14ac:dyDescent="0.2">
      <c r="A47" s="21"/>
      <c r="B47" s="22"/>
      <c r="C47" s="22"/>
      <c r="D47" s="22"/>
      <c r="E47" s="22"/>
      <c r="F47" s="22"/>
      <c r="G47" s="22"/>
      <c r="H47" s="22"/>
      <c r="I47"/>
    </row>
    <row r="48" spans="1:9" ht="14.1" customHeight="1" x14ac:dyDescent="0.2">
      <c r="A48" s="286" t="s">
        <v>145</v>
      </c>
      <c r="B48" s="287">
        <f t="shared" ref="B48:H48" si="2">SUM(B11:B46)</f>
        <v>1086042480</v>
      </c>
      <c r="C48" s="421">
        <f>SUM(C11:C46)</f>
        <v>211289397</v>
      </c>
      <c r="D48" s="421">
        <f>SUM(D11:D46)</f>
        <v>49311676</v>
      </c>
      <c r="E48" s="421">
        <f>SUM(E11:E46)</f>
        <v>111307715</v>
      </c>
      <c r="F48" s="287">
        <f t="shared" si="2"/>
        <v>1457951268</v>
      </c>
      <c r="G48" s="421">
        <f>SUM(G11:G46)</f>
        <v>3544771</v>
      </c>
      <c r="H48" s="287">
        <f t="shared" si="2"/>
        <v>1461496039</v>
      </c>
      <c r="I48" s="294">
        <f>H48/'- 43 -'!$I48*100</f>
        <v>58.955443682063979</v>
      </c>
    </row>
    <row r="49" spans="1:9" ht="5.0999999999999996" customHeight="1" x14ac:dyDescent="0.2">
      <c r="A49" s="21" t="s">
        <v>7</v>
      </c>
      <c r="B49" s="22"/>
      <c r="C49" s="22"/>
      <c r="D49" s="22"/>
      <c r="E49" s="22"/>
      <c r="F49" s="22"/>
      <c r="G49" s="22"/>
      <c r="H49" s="22"/>
      <c r="I49"/>
    </row>
    <row r="50" spans="1:9" ht="14.1" customHeight="1" x14ac:dyDescent="0.2">
      <c r="A50" s="19" t="s">
        <v>146</v>
      </c>
      <c r="B50" s="20">
        <f>'- 61 -'!$F50</f>
        <v>914415</v>
      </c>
      <c r="C50" s="418">
        <v>400281</v>
      </c>
      <c r="D50" s="418">
        <v>23256</v>
      </c>
      <c r="E50" s="418">
        <v>100501</v>
      </c>
      <c r="F50" s="20">
        <f>SUM(B50:E50)</f>
        <v>1438453</v>
      </c>
      <c r="G50" s="418">
        <v>0</v>
      </c>
      <c r="H50" s="20">
        <f>SUM(F50:G50)</f>
        <v>1438453</v>
      </c>
      <c r="I50" s="70">
        <f>H50/'- 43 -'!$I50*100</f>
        <v>38.975547700882359</v>
      </c>
    </row>
    <row r="51" spans="1:9" ht="14.1" customHeight="1" x14ac:dyDescent="0.2">
      <c r="A51" s="284" t="s">
        <v>601</v>
      </c>
      <c r="B51" s="285">
        <f>'- 61 -'!$F51</f>
        <v>0</v>
      </c>
      <c r="C51" s="417">
        <v>0</v>
      </c>
      <c r="D51" s="417">
        <v>0</v>
      </c>
      <c r="E51" s="417">
        <v>9937783</v>
      </c>
      <c r="F51" s="285">
        <f>SUM(B51:E51)</f>
        <v>9937783</v>
      </c>
      <c r="G51" s="417">
        <v>475444</v>
      </c>
      <c r="H51" s="285">
        <f>SUM(F51:G51)</f>
        <v>10413227</v>
      </c>
      <c r="I51" s="291">
        <f>H51/'- 43 -'!$I51*100</f>
        <v>30.60173699348735</v>
      </c>
    </row>
    <row r="52" spans="1:9" ht="50.1" customHeight="1" x14ac:dyDescent="0.2">
      <c r="A52" s="23"/>
      <c r="B52" s="23"/>
      <c r="C52" s="23"/>
      <c r="D52" s="23"/>
      <c r="E52" s="23"/>
      <c r="F52" s="23"/>
      <c r="G52" s="23"/>
      <c r="H52" s="23"/>
      <c r="I52" s="23"/>
    </row>
    <row r="53" spans="1:9" ht="15" customHeight="1" x14ac:dyDescent="0.2">
      <c r="A53" s="38" t="s">
        <v>349</v>
      </c>
      <c r="C53" s="38"/>
      <c r="D53" s="38"/>
      <c r="E53" s="221"/>
      <c r="F53" s="221"/>
      <c r="G53" s="221"/>
      <c r="H53" s="221"/>
    </row>
    <row r="54" spans="1:9" ht="12" customHeight="1" x14ac:dyDescent="0.2">
      <c r="A54" s="626" t="s">
        <v>603</v>
      </c>
      <c r="B54" s="626"/>
      <c r="C54" s="626"/>
      <c r="D54" s="626"/>
      <c r="E54" s="626"/>
      <c r="F54" s="626"/>
      <c r="G54" s="626"/>
      <c r="H54" s="626"/>
      <c r="I54" s="626"/>
    </row>
    <row r="55" spans="1:9" ht="12" customHeight="1" x14ac:dyDescent="0.2">
      <c r="A55" s="626"/>
      <c r="B55" s="626"/>
      <c r="C55" s="626"/>
      <c r="D55" s="626"/>
      <c r="E55" s="626"/>
      <c r="F55" s="626"/>
      <c r="G55" s="626"/>
      <c r="H55" s="626"/>
      <c r="I55" s="626"/>
    </row>
    <row r="56" spans="1:9" ht="12" customHeight="1" x14ac:dyDescent="0.2">
      <c r="A56" s="626"/>
      <c r="B56" s="626"/>
      <c r="C56" s="626"/>
      <c r="D56" s="626"/>
      <c r="E56" s="626"/>
      <c r="F56" s="626"/>
      <c r="G56" s="626"/>
      <c r="H56" s="626"/>
      <c r="I56" s="626"/>
    </row>
    <row r="57" spans="1:9" ht="12" customHeight="1" x14ac:dyDescent="0.2">
      <c r="A57" s="626"/>
      <c r="B57" s="626"/>
      <c r="C57" s="626"/>
      <c r="D57" s="626"/>
      <c r="E57" s="626"/>
      <c r="F57" s="626"/>
      <c r="G57" s="626"/>
      <c r="H57" s="626"/>
      <c r="I57" s="626"/>
    </row>
    <row r="58" spans="1:9" ht="12" customHeight="1" x14ac:dyDescent="0.2">
      <c r="A58" s="723" t="s">
        <v>627</v>
      </c>
      <c r="B58" s="723"/>
      <c r="C58" s="723"/>
      <c r="D58" s="723"/>
      <c r="E58" s="723"/>
      <c r="F58" s="723"/>
      <c r="G58" s="723"/>
      <c r="H58" s="723"/>
      <c r="I58" s="723"/>
    </row>
    <row r="59" spans="1:9" ht="12" customHeight="1" x14ac:dyDescent="0.2">
      <c r="A59" s="723"/>
      <c r="B59" s="723"/>
      <c r="C59" s="723"/>
      <c r="D59" s="723"/>
      <c r="E59" s="723"/>
      <c r="F59" s="723"/>
      <c r="G59" s="723"/>
      <c r="H59" s="723"/>
      <c r="I59" s="723"/>
    </row>
    <row r="60" spans="1:9" ht="12" customHeight="1" x14ac:dyDescent="0.2">
      <c r="A60" s="133" t="s">
        <v>390</v>
      </c>
    </row>
    <row r="61" spans="1:9" x14ac:dyDescent="0.2">
      <c r="A61" s="2" t="s">
        <v>350</v>
      </c>
    </row>
    <row r="62" spans="1:9" x14ac:dyDescent="0.2">
      <c r="A62" s="2" t="s">
        <v>656</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I54"/>
  <sheetViews>
    <sheetView showGridLines="0" showZeros="0" workbookViewId="0"/>
  </sheetViews>
  <sheetFormatPr defaultColWidth="15.83203125" defaultRowHeight="12" x14ac:dyDescent="0.2"/>
  <cols>
    <col min="1" max="1" width="34.83203125" style="2" customWidth="1"/>
    <col min="2" max="2" width="15.83203125" style="2" customWidth="1"/>
    <col min="3" max="3" width="8.83203125" style="2" customWidth="1"/>
    <col min="4" max="4" width="15.83203125" style="2"/>
    <col min="5" max="5" width="8.83203125" style="2" customWidth="1"/>
    <col min="6" max="6" width="15.83203125" style="2"/>
    <col min="7" max="7" width="8.83203125" style="2" customWidth="1"/>
    <col min="8" max="8" width="14.83203125" style="2" customWidth="1"/>
    <col min="9" max="9" width="8.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2018/2019 ACTUAL</v>
      </c>
      <c r="C2" s="41"/>
      <c r="D2" s="41"/>
      <c r="E2" s="41"/>
      <c r="F2" s="41"/>
      <c r="G2" s="217"/>
      <c r="H2" s="218"/>
      <c r="I2" s="215" t="s">
        <v>8</v>
      </c>
    </row>
    <row r="3" spans="1:9" ht="15.95" customHeight="1" x14ac:dyDescent="0.2">
      <c r="A3" s="537"/>
    </row>
    <row r="4" spans="1:9" ht="15.95" customHeight="1" x14ac:dyDescent="0.2">
      <c r="B4" s="8"/>
      <c r="C4" s="8"/>
      <c r="D4" s="8"/>
      <c r="E4" s="8"/>
      <c r="F4" s="8"/>
      <c r="G4" s="8"/>
      <c r="H4" s="8"/>
      <c r="I4" s="43"/>
    </row>
    <row r="5" spans="1:9" ht="15.95" customHeight="1" x14ac:dyDescent="0.2">
      <c r="B5" s="8"/>
      <c r="C5" s="8"/>
      <c r="D5" s="8"/>
      <c r="E5" s="8"/>
      <c r="F5" s="8"/>
      <c r="G5" s="8"/>
      <c r="H5" s="8"/>
      <c r="I5" s="8"/>
    </row>
    <row r="6" spans="1:9" ht="15.95" customHeight="1" x14ac:dyDescent="0.2">
      <c r="B6" s="8"/>
      <c r="C6" s="8"/>
      <c r="D6" s="8"/>
      <c r="E6" s="8"/>
      <c r="F6" s="8"/>
      <c r="G6" s="8"/>
      <c r="H6" s="8"/>
      <c r="I6" s="8"/>
    </row>
    <row r="7" spans="1:9" ht="15.95" customHeight="1" x14ac:dyDescent="0.2">
      <c r="B7" s="676" t="s">
        <v>524</v>
      </c>
      <c r="C7" s="677"/>
      <c r="D7" s="696" t="s">
        <v>525</v>
      </c>
      <c r="E7" s="650"/>
      <c r="F7" s="653" t="s">
        <v>516</v>
      </c>
      <c r="G7" s="650"/>
      <c r="H7" s="311"/>
      <c r="I7" s="310"/>
    </row>
    <row r="8" spans="1:9" ht="15.95" customHeight="1" x14ac:dyDescent="0.2">
      <c r="A8" s="403"/>
      <c r="B8" s="678"/>
      <c r="C8" s="679"/>
      <c r="D8" s="683"/>
      <c r="E8" s="652"/>
      <c r="F8" s="651"/>
      <c r="G8" s="652"/>
      <c r="H8" s="654" t="s">
        <v>61</v>
      </c>
      <c r="I8" s="655"/>
    </row>
    <row r="9" spans="1:9" ht="15.95" customHeight="1" x14ac:dyDescent="0.2">
      <c r="A9" s="35" t="s">
        <v>42</v>
      </c>
      <c r="B9" s="563" t="s">
        <v>62</v>
      </c>
      <c r="C9" s="115" t="s">
        <v>44</v>
      </c>
      <c r="D9" s="206" t="s">
        <v>62</v>
      </c>
      <c r="E9" s="206" t="s">
        <v>44</v>
      </c>
      <c r="F9" s="206" t="s">
        <v>62</v>
      </c>
      <c r="G9" s="206" t="s">
        <v>44</v>
      </c>
      <c r="H9" s="216" t="s">
        <v>62</v>
      </c>
      <c r="I9" s="216" t="s">
        <v>44</v>
      </c>
    </row>
    <row r="10" spans="1:9" ht="5.0999999999999996" customHeight="1" x14ac:dyDescent="0.2">
      <c r="A10" s="6"/>
      <c r="B10" s="207"/>
      <c r="C10" s="207"/>
      <c r="D10" s="207"/>
      <c r="E10" s="207"/>
      <c r="F10" s="207"/>
      <c r="G10" s="207"/>
      <c r="H10" s="207"/>
      <c r="I10" s="207"/>
    </row>
    <row r="11" spans="1:9" ht="14.1" customHeight="1" x14ac:dyDescent="0.2">
      <c r="A11" s="284" t="s">
        <v>110</v>
      </c>
      <c r="B11" s="417">
        <v>0</v>
      </c>
      <c r="C11" s="291">
        <f>B11/'- 43 -'!$I11*100</f>
        <v>0</v>
      </c>
      <c r="D11" s="417">
        <v>7354515</v>
      </c>
      <c r="E11" s="291">
        <f>D11/'- 43 -'!$I11*100</f>
        <v>35.709014151607114</v>
      </c>
      <c r="F11" s="417">
        <v>32500</v>
      </c>
      <c r="G11" s="291">
        <f>F11/'- 43 -'!$I11*100</f>
        <v>0.15780006702375771</v>
      </c>
      <c r="H11" s="417">
        <v>0</v>
      </c>
      <c r="I11" s="291">
        <f>H11/'- 43 -'!$I11*100</f>
        <v>0</v>
      </c>
    </row>
    <row r="12" spans="1:9" ht="14.1" customHeight="1" x14ac:dyDescent="0.2">
      <c r="A12" s="19" t="s">
        <v>111</v>
      </c>
      <c r="B12" s="418">
        <v>1000</v>
      </c>
      <c r="C12" s="70">
        <f>B12/'- 43 -'!$I12*100</f>
        <v>2.8069630986245291E-3</v>
      </c>
      <c r="D12" s="418">
        <v>12182959</v>
      </c>
      <c r="E12" s="70">
        <f>D12/'- 43 -'!$I12*100</f>
        <v>34.197116345055598</v>
      </c>
      <c r="F12" s="418">
        <v>575292</v>
      </c>
      <c r="G12" s="70">
        <f>F12/'- 43 -'!$I12*100</f>
        <v>1.6148234149339025</v>
      </c>
      <c r="H12" s="418">
        <v>1046644</v>
      </c>
      <c r="I12" s="70">
        <f>H12/'- 43 -'!$I12*100</f>
        <v>2.9378910853967719</v>
      </c>
    </row>
    <row r="13" spans="1:9" ht="14.1" customHeight="1" x14ac:dyDescent="0.2">
      <c r="A13" s="284" t="s">
        <v>112</v>
      </c>
      <c r="B13" s="417">
        <v>5768</v>
      </c>
      <c r="C13" s="291">
        <f>B13/'- 43 -'!$I13*100</f>
        <v>5.5270461037477533E-3</v>
      </c>
      <c r="D13" s="417">
        <v>39600779</v>
      </c>
      <c r="E13" s="291">
        <f>D13/'- 43 -'!$I13*100</f>
        <v>37.946486005084232</v>
      </c>
      <c r="F13" s="417">
        <v>481855</v>
      </c>
      <c r="G13" s="291">
        <f>F13/'- 43 -'!$I13*100</f>
        <v>0.46172586690731166</v>
      </c>
      <c r="H13" s="417">
        <v>278301</v>
      </c>
      <c r="I13" s="291">
        <f>H13/'- 43 -'!$I13*100</f>
        <v>0.26667518337709839</v>
      </c>
    </row>
    <row r="14" spans="1:9" ht="14.1" customHeight="1" x14ac:dyDescent="0.2">
      <c r="A14" s="19" t="s">
        <v>359</v>
      </c>
      <c r="B14" s="418">
        <v>267958</v>
      </c>
      <c r="C14" s="70">
        <f>B14/'- 43 -'!$I14*100</f>
        <v>0.28284239133985783</v>
      </c>
      <c r="D14" s="418">
        <v>25397239</v>
      </c>
      <c r="E14" s="70">
        <f>D14/'- 43 -'!$I14*100</f>
        <v>26.807991596406524</v>
      </c>
      <c r="F14" s="418">
        <v>2034964</v>
      </c>
      <c r="G14" s="70">
        <f>F14/'- 43 -'!$I14*100</f>
        <v>2.1480011197669873</v>
      </c>
      <c r="H14" s="418">
        <v>0</v>
      </c>
      <c r="I14" s="70">
        <f>H14/'- 43 -'!$I14*100</f>
        <v>0</v>
      </c>
    </row>
    <row r="15" spans="1:9" ht="14.1" customHeight="1" x14ac:dyDescent="0.2">
      <c r="A15" s="284" t="s">
        <v>113</v>
      </c>
      <c r="B15" s="417">
        <v>0</v>
      </c>
      <c r="C15" s="291">
        <f>B15/'- 43 -'!$I15*100</f>
        <v>0</v>
      </c>
      <c r="D15" s="417">
        <v>8257821</v>
      </c>
      <c r="E15" s="291">
        <f>D15/'- 43 -'!$I15*100</f>
        <v>38.527951216155216</v>
      </c>
      <c r="F15" s="417">
        <v>35750</v>
      </c>
      <c r="G15" s="291">
        <f>F15/'- 43 -'!$I15*100</f>
        <v>0.16679633234694102</v>
      </c>
      <c r="H15" s="417">
        <v>118500</v>
      </c>
      <c r="I15" s="291">
        <f>H15/'- 43 -'!$I15*100</f>
        <v>0.55287735337377653</v>
      </c>
    </row>
    <row r="16" spans="1:9" ht="14.1" customHeight="1" x14ac:dyDescent="0.2">
      <c r="A16" s="19" t="s">
        <v>114</v>
      </c>
      <c r="B16" s="418">
        <v>55556</v>
      </c>
      <c r="C16" s="70">
        <f>B16/'- 43 -'!$I16*100</f>
        <v>0.37138108829579358</v>
      </c>
      <c r="D16" s="418">
        <v>3599092</v>
      </c>
      <c r="E16" s="70">
        <f>D16/'- 43 -'!$I16*100</f>
        <v>24.059232195202757</v>
      </c>
      <c r="F16" s="418">
        <v>257024</v>
      </c>
      <c r="G16" s="70">
        <f>F16/'- 43 -'!$I16*100</f>
        <v>1.7181556058416381</v>
      </c>
      <c r="H16" s="418">
        <v>55741</v>
      </c>
      <c r="I16" s="70">
        <f>H16/'- 43 -'!$I16*100</f>
        <v>0.37261777742630553</v>
      </c>
    </row>
    <row r="17" spans="1:9" ht="14.1" customHeight="1" x14ac:dyDescent="0.2">
      <c r="A17" s="284" t="s">
        <v>115</v>
      </c>
      <c r="B17" s="417">
        <v>0</v>
      </c>
      <c r="C17" s="291">
        <f>B17/'- 43 -'!$I17*100</f>
        <v>0</v>
      </c>
      <c r="D17" s="417">
        <v>7972514</v>
      </c>
      <c r="E17" s="291">
        <f>D17/'- 43 -'!$I17*100</f>
        <v>42.133320001488208</v>
      </c>
      <c r="F17" s="417">
        <v>25000</v>
      </c>
      <c r="G17" s="291">
        <f>F17/'- 43 -'!$I17*100</f>
        <v>0.13212055821252935</v>
      </c>
      <c r="H17" s="417">
        <v>958278</v>
      </c>
      <c r="I17" s="291">
        <f>H17/'- 43 -'!$I17*100</f>
        <v>5.0643289713114479</v>
      </c>
    </row>
    <row r="18" spans="1:9" ht="14.1" customHeight="1" x14ac:dyDescent="0.2">
      <c r="A18" s="19" t="s">
        <v>116</v>
      </c>
      <c r="B18" s="418">
        <v>1252478</v>
      </c>
      <c r="C18" s="70">
        <f>B18/'- 43 -'!$I18*100</f>
        <v>0.8892287810151851</v>
      </c>
      <c r="D18" s="418">
        <v>3231080</v>
      </c>
      <c r="E18" s="70">
        <f>D18/'- 43 -'!$I18*100</f>
        <v>2.2939878622718677</v>
      </c>
      <c r="F18" s="418">
        <v>10400</v>
      </c>
      <c r="G18" s="70">
        <f>F18/'- 43 -'!$I18*100</f>
        <v>7.3837459201342662E-3</v>
      </c>
      <c r="H18" s="418">
        <v>80518140</v>
      </c>
      <c r="I18" s="70">
        <f>H18/'- 43 -'!$I18*100</f>
        <v>57.16591228094228</v>
      </c>
    </row>
    <row r="19" spans="1:9" ht="14.1" customHeight="1" x14ac:dyDescent="0.2">
      <c r="A19" s="284" t="s">
        <v>117</v>
      </c>
      <c r="B19" s="417">
        <v>0</v>
      </c>
      <c r="C19" s="291">
        <f>B19/'- 43 -'!$I19*100</f>
        <v>0</v>
      </c>
      <c r="D19" s="417">
        <v>16003003</v>
      </c>
      <c r="E19" s="291">
        <f>D19/'- 43 -'!$I19*100</f>
        <v>31.127306419088146</v>
      </c>
      <c r="F19" s="417">
        <v>421052</v>
      </c>
      <c r="G19" s="291">
        <f>F19/'- 43 -'!$I19*100</f>
        <v>0.81898470070710505</v>
      </c>
      <c r="H19" s="417">
        <v>0</v>
      </c>
      <c r="I19" s="291">
        <f>H19/'- 43 -'!$I19*100</f>
        <v>0</v>
      </c>
    </row>
    <row r="20" spans="1:9" ht="14.1" customHeight="1" x14ac:dyDescent="0.2">
      <c r="A20" s="19" t="s">
        <v>118</v>
      </c>
      <c r="B20" s="418">
        <v>0</v>
      </c>
      <c r="C20" s="70">
        <f>B20/'- 43 -'!$I20*100</f>
        <v>0</v>
      </c>
      <c r="D20" s="418">
        <v>26956842</v>
      </c>
      <c r="E20" s="70">
        <f>D20/'- 43 -'!$I20*100</f>
        <v>29.755012609887753</v>
      </c>
      <c r="F20" s="418">
        <v>124350</v>
      </c>
      <c r="G20" s="70">
        <f>F20/'- 43 -'!$I20*100</f>
        <v>0.13725776253908162</v>
      </c>
      <c r="H20" s="418">
        <v>0</v>
      </c>
      <c r="I20" s="70">
        <f>H20/'- 43 -'!$I20*100</f>
        <v>0</v>
      </c>
    </row>
    <row r="21" spans="1:9" ht="14.1" customHeight="1" x14ac:dyDescent="0.2">
      <c r="A21" s="284" t="s">
        <v>119</v>
      </c>
      <c r="B21" s="417">
        <v>8775</v>
      </c>
      <c r="C21" s="291">
        <f>B21/'- 43 -'!$I21*100</f>
        <v>2.2820429253964668E-2</v>
      </c>
      <c r="D21" s="417">
        <v>15477937</v>
      </c>
      <c r="E21" s="291">
        <f>D21/'- 43 -'!$I21*100</f>
        <v>40.25221268442418</v>
      </c>
      <c r="F21" s="417">
        <v>39862</v>
      </c>
      <c r="G21" s="291">
        <f>F21/'- 43 -'!$I21*100</f>
        <v>0.10366586335288201</v>
      </c>
      <c r="H21" s="417">
        <v>0</v>
      </c>
      <c r="I21" s="291">
        <f>H21/'- 43 -'!$I21*100</f>
        <v>0</v>
      </c>
    </row>
    <row r="22" spans="1:9" ht="14.1" customHeight="1" x14ac:dyDescent="0.2">
      <c r="A22" s="19" t="s">
        <v>120</v>
      </c>
      <c r="B22" s="418">
        <v>0</v>
      </c>
      <c r="C22" s="70">
        <f>B22/'- 43 -'!$I22*100</f>
        <v>0</v>
      </c>
      <c r="D22" s="418">
        <v>3391026</v>
      </c>
      <c r="E22" s="70">
        <f>D22/'- 43 -'!$I22*100</f>
        <v>16.470789950709438</v>
      </c>
      <c r="F22" s="418">
        <v>3580</v>
      </c>
      <c r="G22" s="70">
        <f>F22/'- 43 -'!$I22*100</f>
        <v>1.7388668805116737E-2</v>
      </c>
      <c r="H22" s="418">
        <v>78400</v>
      </c>
      <c r="I22" s="70">
        <f>H22/'- 43 -'!$I22*100</f>
        <v>0.38080213249194195</v>
      </c>
    </row>
    <row r="23" spans="1:9" ht="14.1" customHeight="1" x14ac:dyDescent="0.2">
      <c r="A23" s="284" t="s">
        <v>121</v>
      </c>
      <c r="B23" s="417">
        <v>291406</v>
      </c>
      <c r="C23" s="291">
        <f>B23/'- 43 -'!$I23*100</f>
        <v>1.7772793962302449</v>
      </c>
      <c r="D23" s="417">
        <v>3748977</v>
      </c>
      <c r="E23" s="291">
        <f>D23/'- 43 -'!$I23*100</f>
        <v>22.86493613391994</v>
      </c>
      <c r="F23" s="417">
        <v>57030</v>
      </c>
      <c r="G23" s="291">
        <f>F23/'- 43 -'!$I23*100</f>
        <v>0.34782483533973513</v>
      </c>
      <c r="H23" s="417">
        <v>191405</v>
      </c>
      <c r="I23" s="291">
        <f>H23/'- 43 -'!$I23*100</f>
        <v>1.1673752868350344</v>
      </c>
    </row>
    <row r="24" spans="1:9" ht="14.1" customHeight="1" x14ac:dyDescent="0.2">
      <c r="A24" s="19" t="s">
        <v>122</v>
      </c>
      <c r="B24" s="418">
        <v>37119</v>
      </c>
      <c r="C24" s="70">
        <f>B24/'- 43 -'!$I24*100</f>
        <v>6.2210701759140459E-2</v>
      </c>
      <c r="D24" s="418">
        <v>24532105</v>
      </c>
      <c r="E24" s="70">
        <f>D24/'- 43 -'!$I24*100</f>
        <v>41.115317429858514</v>
      </c>
      <c r="F24" s="418">
        <v>160100</v>
      </c>
      <c r="G24" s="70">
        <f>F24/'- 43 -'!$I24*100</f>
        <v>0.26832439860013435</v>
      </c>
      <c r="H24" s="418">
        <v>552200</v>
      </c>
      <c r="I24" s="70">
        <f>H24/'- 43 -'!$I24*100</f>
        <v>0.9254761580699199</v>
      </c>
    </row>
    <row r="25" spans="1:9" ht="14.1" customHeight="1" x14ac:dyDescent="0.2">
      <c r="A25" s="284" t="s">
        <v>123</v>
      </c>
      <c r="B25" s="417">
        <v>222023</v>
      </c>
      <c r="C25" s="291">
        <f>B25/'- 43 -'!$I25*100</f>
        <v>0.11256331930699694</v>
      </c>
      <c r="D25" s="417">
        <v>74732364</v>
      </c>
      <c r="E25" s="291">
        <f>D25/'- 43 -'!$I25*100</f>
        <v>37.888520340229263</v>
      </c>
      <c r="F25" s="417">
        <v>602574</v>
      </c>
      <c r="G25" s="291">
        <f>F25/'- 43 -'!$I25*100</f>
        <v>0.30549866260745223</v>
      </c>
      <c r="H25" s="417">
        <v>73700</v>
      </c>
      <c r="I25" s="291">
        <f>H25/'- 43 -'!$I25*100</f>
        <v>3.7365122680648732E-2</v>
      </c>
    </row>
    <row r="26" spans="1:9" ht="14.1" customHeight="1" x14ac:dyDescent="0.2">
      <c r="A26" s="19" t="s">
        <v>124</v>
      </c>
      <c r="B26" s="418">
        <v>0</v>
      </c>
      <c r="C26" s="70">
        <f>B26/'- 43 -'!$I26*100</f>
        <v>0</v>
      </c>
      <c r="D26" s="418">
        <v>13198342</v>
      </c>
      <c r="E26" s="70">
        <f>D26/'- 43 -'!$I26*100</f>
        <v>31.301294473491502</v>
      </c>
      <c r="F26" s="418">
        <v>540502</v>
      </c>
      <c r="G26" s="70">
        <f>F26/'- 43 -'!$I26*100</f>
        <v>1.281858908150062</v>
      </c>
      <c r="H26" s="418">
        <v>682124</v>
      </c>
      <c r="I26" s="70">
        <f>H26/'- 43 -'!$I26*100</f>
        <v>1.6177307870515796</v>
      </c>
    </row>
    <row r="27" spans="1:9" ht="14.1" customHeight="1" x14ac:dyDescent="0.2">
      <c r="A27" s="284" t="s">
        <v>125</v>
      </c>
      <c r="B27" s="417">
        <v>8419</v>
      </c>
      <c r="C27" s="291">
        <f>B27/'- 43 -'!$I27*100</f>
        <v>2.004339267144142E-2</v>
      </c>
      <c r="D27" s="417">
        <v>6822314</v>
      </c>
      <c r="E27" s="291">
        <f>D27/'- 43 -'!$I27*100</f>
        <v>16.242109327695946</v>
      </c>
      <c r="F27" s="417">
        <v>128156</v>
      </c>
      <c r="G27" s="291">
        <f>F27/'- 43 -'!$I27*100</f>
        <v>0.30510524185785087</v>
      </c>
      <c r="H27" s="417">
        <v>299958</v>
      </c>
      <c r="I27" s="291">
        <f>H27/'- 43 -'!$I27*100</f>
        <v>0.71411996424043522</v>
      </c>
    </row>
    <row r="28" spans="1:9" ht="14.1" customHeight="1" x14ac:dyDescent="0.2">
      <c r="A28" s="19" t="s">
        <v>126</v>
      </c>
      <c r="B28" s="418">
        <v>0</v>
      </c>
      <c r="C28" s="70">
        <f>B28/'- 43 -'!$I28*100</f>
        <v>0</v>
      </c>
      <c r="D28" s="418">
        <v>8038573</v>
      </c>
      <c r="E28" s="70">
        <f>D28/'- 43 -'!$I28*100</f>
        <v>27.565181108299164</v>
      </c>
      <c r="F28" s="418">
        <v>15600</v>
      </c>
      <c r="G28" s="70">
        <f>F28/'- 43 -'!$I28*100</f>
        <v>5.3494174312961634E-2</v>
      </c>
      <c r="H28" s="418">
        <v>7423701</v>
      </c>
      <c r="I28" s="70">
        <f>H28/'- 43 -'!$I28*100</f>
        <v>25.456715085981259</v>
      </c>
    </row>
    <row r="29" spans="1:9" ht="14.1" customHeight="1" x14ac:dyDescent="0.2">
      <c r="A29" s="284" t="s">
        <v>127</v>
      </c>
      <c r="B29" s="417">
        <v>0</v>
      </c>
      <c r="C29" s="291">
        <f>B29/'- 43 -'!$I29*100</f>
        <v>0</v>
      </c>
      <c r="D29" s="417">
        <v>83806351</v>
      </c>
      <c r="E29" s="291">
        <f>D29/'- 43 -'!$I29*100</f>
        <v>47.763240286231728</v>
      </c>
      <c r="F29" s="417">
        <v>531319</v>
      </c>
      <c r="G29" s="291">
        <f>F29/'- 43 -'!$I29*100</f>
        <v>0.30281138318073714</v>
      </c>
      <c r="H29" s="417">
        <v>83500</v>
      </c>
      <c r="I29" s="291">
        <f>H29/'- 43 -'!$I29*100</f>
        <v>4.7588643537294077E-2</v>
      </c>
    </row>
    <row r="30" spans="1:9" ht="14.1" customHeight="1" x14ac:dyDescent="0.2">
      <c r="A30" s="19" t="s">
        <v>128</v>
      </c>
      <c r="B30" s="418">
        <v>0</v>
      </c>
      <c r="C30" s="70">
        <f>B30/'- 43 -'!$I30*100</f>
        <v>0</v>
      </c>
      <c r="D30" s="418">
        <v>6451976</v>
      </c>
      <c r="E30" s="70">
        <f>D30/'- 43 -'!$I30*100</f>
        <v>41.324566156092025</v>
      </c>
      <c r="F30" s="418">
        <v>39000</v>
      </c>
      <c r="G30" s="70">
        <f>F30/'- 43 -'!$I30*100</f>
        <v>0.24979294406668423</v>
      </c>
      <c r="H30" s="418">
        <v>0</v>
      </c>
      <c r="I30" s="70">
        <f>H30/'- 43 -'!$I30*100</f>
        <v>0</v>
      </c>
    </row>
    <row r="31" spans="1:9" ht="14.1" customHeight="1" x14ac:dyDescent="0.2">
      <c r="A31" s="284" t="s">
        <v>129</v>
      </c>
      <c r="B31" s="417">
        <v>6520</v>
      </c>
      <c r="C31" s="291">
        <f>B31/'- 43 -'!$I31*100</f>
        <v>1.5555817841277644E-2</v>
      </c>
      <c r="D31" s="417">
        <v>15194915</v>
      </c>
      <c r="E31" s="291">
        <f>D31/'- 43 -'!$I31*100</f>
        <v>36.252964701487315</v>
      </c>
      <c r="F31" s="417">
        <v>142059</v>
      </c>
      <c r="G31" s="291">
        <f>F31/'- 43 -'!$I31*100</f>
        <v>0.3389331175941811</v>
      </c>
      <c r="H31" s="417">
        <v>2676506</v>
      </c>
      <c r="I31" s="291">
        <f>H31/'- 43 -'!$I31*100</f>
        <v>6.3857729734795488</v>
      </c>
    </row>
    <row r="32" spans="1:9" ht="14.1" customHeight="1" x14ac:dyDescent="0.2">
      <c r="A32" s="19" t="s">
        <v>130</v>
      </c>
      <c r="B32" s="418">
        <v>0</v>
      </c>
      <c r="C32" s="70">
        <f>B32/'- 43 -'!$I32*100</f>
        <v>0</v>
      </c>
      <c r="D32" s="418">
        <v>14186351</v>
      </c>
      <c r="E32" s="70">
        <f>D32/'- 43 -'!$I32*100</f>
        <v>45.098984512731931</v>
      </c>
      <c r="F32" s="418">
        <v>96200</v>
      </c>
      <c r="G32" s="70">
        <f>F32/'- 43 -'!$I32*100</f>
        <v>0.30582369702574053</v>
      </c>
      <c r="H32" s="418">
        <v>0</v>
      </c>
      <c r="I32" s="70">
        <f>H32/'- 43 -'!$I32*100</f>
        <v>0</v>
      </c>
    </row>
    <row r="33" spans="1:9" ht="14.1" customHeight="1" x14ac:dyDescent="0.2">
      <c r="A33" s="284" t="s">
        <v>131</v>
      </c>
      <c r="B33" s="417">
        <v>34051</v>
      </c>
      <c r="C33" s="291">
        <f>B33/'- 43 -'!$I33*100</f>
        <v>0.11689877916972308</v>
      </c>
      <c r="D33" s="417">
        <v>11457875</v>
      </c>
      <c r="E33" s="291">
        <f>D33/'- 43 -'!$I33*100</f>
        <v>39.335455621840495</v>
      </c>
      <c r="F33" s="417">
        <v>36400</v>
      </c>
      <c r="G33" s="291">
        <f>F33/'- 43 -'!$I33*100</f>
        <v>0.12496301317958122</v>
      </c>
      <c r="H33" s="417">
        <v>274095</v>
      </c>
      <c r="I33" s="291">
        <f>H33/'- 43 -'!$I33*100</f>
        <v>0.94098178839168456</v>
      </c>
    </row>
    <row r="34" spans="1:9" ht="14.1" customHeight="1" x14ac:dyDescent="0.2">
      <c r="A34" s="19" t="s">
        <v>132</v>
      </c>
      <c r="B34" s="418">
        <v>49515</v>
      </c>
      <c r="C34" s="70">
        <f>B34/'- 43 -'!$I34*100</f>
        <v>0.15241978998975528</v>
      </c>
      <c r="D34" s="418">
        <v>14675399</v>
      </c>
      <c r="E34" s="70">
        <f>D34/'- 43 -'!$I34*100</f>
        <v>45.174618471086831</v>
      </c>
      <c r="F34" s="418">
        <v>1439889</v>
      </c>
      <c r="G34" s="70">
        <f>F34/'- 43 -'!$I34*100</f>
        <v>4.4323453294670045</v>
      </c>
      <c r="H34" s="418">
        <v>0</v>
      </c>
      <c r="I34" s="70">
        <f>H34/'- 43 -'!$I34*100</f>
        <v>0</v>
      </c>
    </row>
    <row r="35" spans="1:9" ht="14.1" customHeight="1" x14ac:dyDescent="0.2">
      <c r="A35" s="284" t="s">
        <v>133</v>
      </c>
      <c r="B35" s="417">
        <v>459974</v>
      </c>
      <c r="C35" s="291">
        <f>B35/'- 43 -'!$I35*100</f>
        <v>0.23123066720665097</v>
      </c>
      <c r="D35" s="417">
        <v>66911019</v>
      </c>
      <c r="E35" s="291">
        <f>D35/'- 43 -'!$I35*100</f>
        <v>33.636421986562063</v>
      </c>
      <c r="F35" s="417">
        <v>675222</v>
      </c>
      <c r="G35" s="291">
        <f>F35/'- 43 -'!$I35*100</f>
        <v>0.33943664983805449</v>
      </c>
      <c r="H35" s="417">
        <v>202255</v>
      </c>
      <c r="I35" s="291">
        <f>H35/'- 43 -'!$I35*100</f>
        <v>0.10167435245444566</v>
      </c>
    </row>
    <row r="36" spans="1:9" ht="14.1" customHeight="1" x14ac:dyDescent="0.2">
      <c r="A36" s="19" t="s">
        <v>134</v>
      </c>
      <c r="B36" s="418">
        <v>47392</v>
      </c>
      <c r="C36" s="70">
        <f>B36/'- 43 -'!$I36*100</f>
        <v>0.18980708860108547</v>
      </c>
      <c r="D36" s="418">
        <v>9763413</v>
      </c>
      <c r="E36" s="70">
        <f>D36/'- 43 -'!$I36*100</f>
        <v>39.102907586512273</v>
      </c>
      <c r="F36" s="418">
        <v>65000</v>
      </c>
      <c r="G36" s="70">
        <f>F36/'- 43 -'!$I36*100</f>
        <v>0.26032791946046918</v>
      </c>
      <c r="H36" s="418">
        <v>1254225</v>
      </c>
      <c r="I36" s="70">
        <f>H36/'- 43 -'!$I36*100</f>
        <v>5.0232274582354917</v>
      </c>
    </row>
    <row r="37" spans="1:9" ht="14.1" customHeight="1" x14ac:dyDescent="0.2">
      <c r="A37" s="284" t="s">
        <v>135</v>
      </c>
      <c r="B37" s="417">
        <v>26339</v>
      </c>
      <c r="C37" s="291">
        <f>B37/'- 43 -'!$I37*100</f>
        <v>4.7551419632567392E-2</v>
      </c>
      <c r="D37" s="417">
        <v>16847554</v>
      </c>
      <c r="E37" s="291">
        <f>D37/'- 43 -'!$I37*100</f>
        <v>30.415927333472769</v>
      </c>
      <c r="F37" s="417">
        <v>359902</v>
      </c>
      <c r="G37" s="291">
        <f>F37/'- 43 -'!$I37*100</f>
        <v>0.64975325671438811</v>
      </c>
      <c r="H37" s="417">
        <v>3705</v>
      </c>
      <c r="I37" s="291">
        <f>H37/'- 43 -'!$I37*100</f>
        <v>6.6888647913232154E-3</v>
      </c>
    </row>
    <row r="38" spans="1:9" ht="14.1" customHeight="1" x14ac:dyDescent="0.2">
      <c r="A38" s="19" t="s">
        <v>136</v>
      </c>
      <c r="B38" s="418">
        <v>845013</v>
      </c>
      <c r="C38" s="70">
        <f>B38/'- 43 -'!$I38*100</f>
        <v>0.55841097053835997</v>
      </c>
      <c r="D38" s="418">
        <v>45510727</v>
      </c>
      <c r="E38" s="70">
        <f>D38/'- 43 -'!$I38*100</f>
        <v>30.074909183617706</v>
      </c>
      <c r="F38" s="418">
        <v>1414599</v>
      </c>
      <c r="G38" s="70">
        <f>F38/'- 43 -'!$I38*100</f>
        <v>0.93481118102631977</v>
      </c>
      <c r="H38" s="418">
        <v>717000</v>
      </c>
      <c r="I38" s="70">
        <f>H38/'- 43 -'!$I38*100</f>
        <v>0.47381598374936729</v>
      </c>
    </row>
    <row r="39" spans="1:9" ht="14.1" customHeight="1" x14ac:dyDescent="0.2">
      <c r="A39" s="284" t="s">
        <v>137</v>
      </c>
      <c r="B39" s="417">
        <v>0</v>
      </c>
      <c r="C39" s="291">
        <f>B39/'- 43 -'!$I39*100</f>
        <v>0</v>
      </c>
      <c r="D39" s="417">
        <v>11522426</v>
      </c>
      <c r="E39" s="291">
        <f>D39/'- 43 -'!$I39*100</f>
        <v>48.680386547354416</v>
      </c>
      <c r="F39" s="417">
        <v>105700</v>
      </c>
      <c r="G39" s="291">
        <f>F39/'- 43 -'!$I39*100</f>
        <v>0.44656540715083454</v>
      </c>
      <c r="H39" s="417">
        <v>0</v>
      </c>
      <c r="I39" s="291">
        <f>H39/'- 43 -'!$I39*100</f>
        <v>0</v>
      </c>
    </row>
    <row r="40" spans="1:9" ht="14.1" customHeight="1" x14ac:dyDescent="0.2">
      <c r="A40" s="19" t="s">
        <v>138</v>
      </c>
      <c r="B40" s="418">
        <v>4018</v>
      </c>
      <c r="C40" s="70">
        <f>B40/'- 43 -'!$I40*100</f>
        <v>3.647397662105244E-3</v>
      </c>
      <c r="D40" s="418">
        <v>49789832</v>
      </c>
      <c r="E40" s="70">
        <f>D40/'- 43 -'!$I40*100</f>
        <v>45.19744072509031</v>
      </c>
      <c r="F40" s="418">
        <v>494435</v>
      </c>
      <c r="G40" s="70">
        <f>F40/'- 43 -'!$I40*100</f>
        <v>0.44883052838800552</v>
      </c>
      <c r="H40" s="418">
        <v>267600</v>
      </c>
      <c r="I40" s="70">
        <f>H40/'- 43 -'!$I40*100</f>
        <v>0.24291777361357972</v>
      </c>
    </row>
    <row r="41" spans="1:9" ht="14.1" customHeight="1" x14ac:dyDescent="0.2">
      <c r="A41" s="284" t="s">
        <v>139</v>
      </c>
      <c r="B41" s="417">
        <v>0</v>
      </c>
      <c r="C41" s="291">
        <f>B41/'- 43 -'!$I41*100</f>
        <v>0</v>
      </c>
      <c r="D41" s="417">
        <v>28657860</v>
      </c>
      <c r="E41" s="291">
        <f>D41/'- 43 -'!$I41*100</f>
        <v>42.586425432562756</v>
      </c>
      <c r="F41" s="417">
        <v>93360</v>
      </c>
      <c r="G41" s="291">
        <f>F41/'- 43 -'!$I41*100</f>
        <v>0.13873571433401025</v>
      </c>
      <c r="H41" s="417">
        <v>373672</v>
      </c>
      <c r="I41" s="291">
        <f>H41/'- 43 -'!$I41*100</f>
        <v>0.55528761618057276</v>
      </c>
    </row>
    <row r="42" spans="1:9" ht="14.1" customHeight="1" x14ac:dyDescent="0.2">
      <c r="A42" s="19" t="s">
        <v>140</v>
      </c>
      <c r="B42" s="418">
        <v>0</v>
      </c>
      <c r="C42" s="70">
        <f>B42/'- 43 -'!$I42*100</f>
        <v>0</v>
      </c>
      <c r="D42" s="418">
        <v>6218210</v>
      </c>
      <c r="E42" s="70">
        <f>D42/'- 43 -'!$I42*100</f>
        <v>28.835617397575568</v>
      </c>
      <c r="F42" s="418">
        <v>13000</v>
      </c>
      <c r="G42" s="70">
        <f>F42/'- 43 -'!$I42*100</f>
        <v>6.0284716368292877E-2</v>
      </c>
      <c r="H42" s="418">
        <v>189540</v>
      </c>
      <c r="I42" s="70">
        <f>H42/'- 43 -'!$I42*100</f>
        <v>0.87895116464971002</v>
      </c>
    </row>
    <row r="43" spans="1:9" ht="14.1" customHeight="1" x14ac:dyDescent="0.2">
      <c r="A43" s="284" t="s">
        <v>141</v>
      </c>
      <c r="B43" s="417">
        <v>429</v>
      </c>
      <c r="C43" s="291">
        <f>B43/'- 43 -'!$I43*100</f>
        <v>3.1134969803796706E-3</v>
      </c>
      <c r="D43" s="417">
        <v>6010365</v>
      </c>
      <c r="E43" s="291">
        <f>D43/'- 43 -'!$I43*100</f>
        <v>43.620637012773109</v>
      </c>
      <c r="F43" s="417">
        <v>35800</v>
      </c>
      <c r="G43" s="291">
        <f>F43/'- 43 -'!$I43*100</f>
        <v>0.2598209601342476</v>
      </c>
      <c r="H43" s="417">
        <v>0</v>
      </c>
      <c r="I43" s="291">
        <f>H43/'- 43 -'!$I43*100</f>
        <v>0</v>
      </c>
    </row>
    <row r="44" spans="1:9" ht="14.1" customHeight="1" x14ac:dyDescent="0.2">
      <c r="A44" s="19" t="s">
        <v>142</v>
      </c>
      <c r="B44" s="418">
        <v>0</v>
      </c>
      <c r="C44" s="70">
        <f>B44/'- 43 -'!$I44*100</f>
        <v>0</v>
      </c>
      <c r="D44" s="418">
        <v>2747366</v>
      </c>
      <c r="E44" s="70">
        <f>D44/'- 43 -'!$I44*100</f>
        <v>23.717598755488332</v>
      </c>
      <c r="F44" s="418">
        <v>60450</v>
      </c>
      <c r="G44" s="70">
        <f>F44/'- 43 -'!$I44*100</f>
        <v>0.52185578651307096</v>
      </c>
      <c r="H44" s="418">
        <v>4669</v>
      </c>
      <c r="I44" s="70">
        <f>H44/'- 43 -'!$I44*100</f>
        <v>4.0306776959959115E-2</v>
      </c>
    </row>
    <row r="45" spans="1:9" ht="14.1" customHeight="1" x14ac:dyDescent="0.2">
      <c r="A45" s="284" t="s">
        <v>143</v>
      </c>
      <c r="B45" s="417">
        <v>19444</v>
      </c>
      <c r="C45" s="291">
        <f>B45/'- 43 -'!$I45*100</f>
        <v>9.1709428082007965E-2</v>
      </c>
      <c r="D45" s="417">
        <v>7178955</v>
      </c>
      <c r="E45" s="291">
        <f>D45/'- 43 -'!$I45*100</f>
        <v>33.860206607512417</v>
      </c>
      <c r="F45" s="417">
        <v>55250</v>
      </c>
      <c r="G45" s="291">
        <f>F45/'- 43 -'!$I45*100</f>
        <v>0.26059174560434789</v>
      </c>
      <c r="H45" s="417">
        <v>0</v>
      </c>
      <c r="I45" s="291">
        <f>H45/'- 43 -'!$I45*100</f>
        <v>0</v>
      </c>
    </row>
    <row r="46" spans="1:9" ht="14.1" customHeight="1" x14ac:dyDescent="0.2">
      <c r="A46" s="19" t="s">
        <v>144</v>
      </c>
      <c r="B46" s="418">
        <v>4600598</v>
      </c>
      <c r="C46" s="70">
        <f>B46/'- 43 -'!$I46*100</f>
        <v>1.1115326359409703</v>
      </c>
      <c r="D46" s="418">
        <v>156310395</v>
      </c>
      <c r="E46" s="70">
        <f>D46/'- 43 -'!$I46*100</f>
        <v>37.765548169895361</v>
      </c>
      <c r="F46" s="418">
        <v>2375875</v>
      </c>
      <c r="G46" s="70">
        <f>F46/'- 43 -'!$I46*100</f>
        <v>0.57402594215279257</v>
      </c>
      <c r="H46" s="418">
        <v>2022050</v>
      </c>
      <c r="I46" s="70">
        <f>H46/'- 43 -'!$I46*100</f>
        <v>0.48853965647605796</v>
      </c>
    </row>
    <row r="47" spans="1:9" ht="5.0999999999999996" customHeight="1" x14ac:dyDescent="0.2">
      <c r="A47" s="21"/>
      <c r="B47" s="22"/>
      <c r="C47"/>
      <c r="D47" s="22"/>
      <c r="E47"/>
      <c r="F47" s="22"/>
      <c r="G47"/>
      <c r="H47" s="22"/>
      <c r="I47"/>
    </row>
    <row r="48" spans="1:9" ht="14.1" customHeight="1" x14ac:dyDescent="0.2">
      <c r="A48" s="286" t="s">
        <v>145</v>
      </c>
      <c r="B48" s="421">
        <f>SUM(B11:B46)</f>
        <v>8243795</v>
      </c>
      <c r="C48" s="294">
        <f>B48/'- 43 -'!$I48*100</f>
        <v>0.33254732060822273</v>
      </c>
      <c r="D48" s="421">
        <f>SUM(D11:D46)</f>
        <v>853738471</v>
      </c>
      <c r="E48" s="294">
        <f>D48/'- 43 -'!$I48*100</f>
        <v>34.439046704971545</v>
      </c>
      <c r="F48" s="421">
        <f>SUM(F11:F46)</f>
        <v>13579051</v>
      </c>
      <c r="G48" s="294">
        <f>F48/'- 43 -'!$I48*100</f>
        <v>0.54776677809824337</v>
      </c>
      <c r="H48" s="421">
        <f>SUM(H11:H46)</f>
        <v>100345909</v>
      </c>
      <c r="I48" s="294">
        <f>H48/'- 43 -'!$I48*100</f>
        <v>4.0478642629937482</v>
      </c>
    </row>
    <row r="49" spans="1:9" ht="5.0999999999999996" customHeight="1" x14ac:dyDescent="0.2">
      <c r="A49" s="21" t="s">
        <v>7</v>
      </c>
      <c r="B49" s="22"/>
      <c r="C49"/>
      <c r="D49" s="22"/>
      <c r="E49"/>
      <c r="F49" s="22"/>
      <c r="G49"/>
      <c r="H49" s="22"/>
      <c r="I49"/>
    </row>
    <row r="50" spans="1:9" ht="14.1" customHeight="1" x14ac:dyDescent="0.2">
      <c r="A50" s="19" t="s">
        <v>146</v>
      </c>
      <c r="B50" s="418">
        <v>0</v>
      </c>
      <c r="C50" s="70">
        <f>B50/'- 43 -'!$I50*100</f>
        <v>0</v>
      </c>
      <c r="D50" s="418">
        <v>2049525</v>
      </c>
      <c r="E50" s="70">
        <f>D50/'- 43 -'!$I50*100</f>
        <v>55.532825474068972</v>
      </c>
      <c r="F50" s="418">
        <v>32500</v>
      </c>
      <c r="G50" s="70">
        <f>F50/'- 43 -'!$I50*100</f>
        <v>0.88060249467912888</v>
      </c>
      <c r="H50" s="418">
        <v>0</v>
      </c>
      <c r="I50" s="70">
        <f>H50/'- 43 -'!$I50*100</f>
        <v>0</v>
      </c>
    </row>
    <row r="51" spans="1:9" ht="14.1" customHeight="1" x14ac:dyDescent="0.2">
      <c r="A51" s="284" t="s">
        <v>601</v>
      </c>
      <c r="B51" s="417">
        <v>2298048</v>
      </c>
      <c r="C51" s="291">
        <f>B51/'- 43 -'!$I51*100</f>
        <v>6.7533590206388094</v>
      </c>
      <c r="D51" s="417">
        <v>0</v>
      </c>
      <c r="E51" s="291">
        <f>D51/'- 43 -'!$I51*100</f>
        <v>0</v>
      </c>
      <c r="F51" s="417">
        <v>2013723</v>
      </c>
      <c r="G51" s="291">
        <f>F51/'- 43 -'!$I51*100</f>
        <v>5.9178025816335627</v>
      </c>
      <c r="H51" s="417">
        <v>0</v>
      </c>
      <c r="I51" s="291">
        <f>H51/'- 43 -'!$I51*100</f>
        <v>0</v>
      </c>
    </row>
    <row r="52" spans="1:9" ht="50.1" customHeight="1" x14ac:dyDescent="0.2">
      <c r="A52" s="23"/>
      <c r="B52" s="23"/>
      <c r="C52" s="23"/>
      <c r="D52" s="23"/>
      <c r="E52" s="23"/>
      <c r="F52" s="23"/>
      <c r="G52" s="23"/>
      <c r="H52" s="23"/>
      <c r="I52" s="23"/>
    </row>
    <row r="53" spans="1:9" ht="25.9" customHeight="1" x14ac:dyDescent="0.2">
      <c r="A53" s="736" t="str">
        <f>"(1)  Municipal Government revenue is net of  "&amp;TEXT('- 41 -'!C48,"$0,000,000")&amp; " in Education Property Tax Credit (EPTC) revenue paid directly to school divisions. See page 41 for EPTC revenue."</f>
        <v>(1)  Municipal Government revenue is net of  $211,289,397 in Education Property Tax Credit (EPTC) revenue paid directly to school divisions. See page 41 for EPTC revenue.</v>
      </c>
      <c r="B53" s="736"/>
      <c r="C53" s="736"/>
      <c r="D53" s="736"/>
      <c r="E53" s="736"/>
      <c r="F53" s="736"/>
      <c r="G53" s="736"/>
      <c r="H53" s="736"/>
      <c r="I53" s="736"/>
    </row>
    <row r="54" spans="1:9" x14ac:dyDescent="0.2">
      <c r="A54" s="737"/>
      <c r="B54" s="737"/>
      <c r="C54" s="737"/>
      <c r="D54" s="737"/>
      <c r="E54" s="737"/>
      <c r="F54" s="737"/>
      <c r="G54" s="737"/>
      <c r="H54" s="737"/>
      <c r="I54" s="737"/>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52"/>
  <sheetViews>
    <sheetView showGridLines="0" showZeros="0" workbookViewId="0"/>
  </sheetViews>
  <sheetFormatPr defaultColWidth="15.83203125" defaultRowHeight="12" x14ac:dyDescent="0.2"/>
  <cols>
    <col min="1" max="1" width="35.83203125" style="2" customWidth="1"/>
    <col min="2" max="2" width="15.83203125" style="2"/>
    <col min="3" max="3" width="8.83203125" style="2" customWidth="1"/>
    <col min="4" max="4" width="13.83203125" style="2" customWidth="1"/>
    <col min="5" max="5" width="8.83203125" style="2" customWidth="1"/>
    <col min="6" max="6" width="15.83203125" style="2"/>
    <col min="7" max="7" width="8.83203125" style="2" customWidth="1"/>
    <col min="8" max="8" width="4.83203125" style="2" customWidth="1"/>
    <col min="9" max="9" width="19.83203125" style="2" customWidth="1"/>
    <col min="10" max="16384" width="15.83203125" style="2"/>
  </cols>
  <sheetData>
    <row r="1" spans="1:9" ht="6.95" customHeight="1" x14ac:dyDescent="0.2">
      <c r="A1" s="7"/>
    </row>
    <row r="2" spans="1:9" ht="15.95" customHeight="1" x14ac:dyDescent="0.2">
      <c r="A2" s="213"/>
      <c r="B2" s="204" t="str">
        <f>REVYEAR</f>
        <v>ANALYSIS OF OPERATING FUND REVENUE: 2018/2019 ACTUAL</v>
      </c>
      <c r="C2" s="41"/>
      <c r="D2" s="41"/>
      <c r="E2" s="41"/>
      <c r="F2" s="41"/>
      <c r="G2" s="214"/>
      <c r="H2" s="42"/>
      <c r="I2" s="215" t="s">
        <v>9</v>
      </c>
    </row>
    <row r="3" spans="1:9" ht="15.95" customHeight="1" x14ac:dyDescent="0.2">
      <c r="A3" s="537"/>
    </row>
    <row r="4" spans="1:9" ht="15.95" customHeight="1" x14ac:dyDescent="0.2">
      <c r="B4" s="43"/>
      <c r="C4" s="8"/>
      <c r="D4" s="8"/>
      <c r="E4" s="8"/>
      <c r="F4" s="8"/>
      <c r="G4" s="8"/>
      <c r="H4" s="8"/>
      <c r="I4" s="8"/>
    </row>
    <row r="5" spans="1:9" ht="15.95" customHeight="1" x14ac:dyDescent="0.2">
      <c r="B5" s="8"/>
      <c r="C5" s="8"/>
      <c r="D5" s="8"/>
      <c r="E5" s="8"/>
      <c r="F5" s="8"/>
      <c r="G5" s="8"/>
      <c r="H5" s="8"/>
      <c r="I5" s="8"/>
    </row>
    <row r="6" spans="1:9" ht="15.95" customHeight="1" x14ac:dyDescent="0.2">
      <c r="B6" s="676" t="s">
        <v>526</v>
      </c>
      <c r="C6" s="677"/>
      <c r="D6" s="311"/>
      <c r="E6" s="311"/>
      <c r="F6" s="649" t="s">
        <v>527</v>
      </c>
      <c r="G6" s="650"/>
      <c r="H6" s="8"/>
      <c r="I6" s="640" t="s">
        <v>528</v>
      </c>
    </row>
    <row r="7" spans="1:9" ht="15.95" customHeight="1" x14ac:dyDescent="0.2">
      <c r="B7" s="690"/>
      <c r="C7" s="691"/>
      <c r="D7" s="373"/>
      <c r="E7" s="373"/>
      <c r="F7" s="694"/>
      <c r="G7" s="693"/>
      <c r="H7" s="8"/>
      <c r="I7" s="738"/>
    </row>
    <row r="8" spans="1:9" ht="15.95" customHeight="1" x14ac:dyDescent="0.2">
      <c r="A8" s="403"/>
      <c r="B8" s="678"/>
      <c r="C8" s="679"/>
      <c r="D8" s="695" t="s">
        <v>24</v>
      </c>
      <c r="E8" s="655"/>
      <c r="F8" s="651"/>
      <c r="G8" s="652"/>
      <c r="H8" s="8"/>
      <c r="I8" s="739"/>
    </row>
    <row r="9" spans="1:9" ht="15.95" customHeight="1" x14ac:dyDescent="0.2">
      <c r="A9" s="35" t="s">
        <v>42</v>
      </c>
      <c r="B9" s="563" t="s">
        <v>62</v>
      </c>
      <c r="C9" s="115" t="s">
        <v>44</v>
      </c>
      <c r="D9" s="216" t="s">
        <v>62</v>
      </c>
      <c r="E9" s="216" t="s">
        <v>44</v>
      </c>
      <c r="F9" s="206" t="s">
        <v>62</v>
      </c>
      <c r="G9" s="216" t="s">
        <v>44</v>
      </c>
      <c r="H9" s="8"/>
      <c r="I9" s="216" t="s">
        <v>62</v>
      </c>
    </row>
    <row r="10" spans="1:9" ht="5.0999999999999996" customHeight="1" x14ac:dyDescent="0.2">
      <c r="A10" s="6"/>
      <c r="B10" s="207"/>
      <c r="C10" s="207"/>
      <c r="D10" s="207"/>
      <c r="E10" s="207"/>
      <c r="F10" s="207"/>
      <c r="G10" s="7"/>
      <c r="H10" s="7"/>
      <c r="I10" s="207"/>
    </row>
    <row r="11" spans="1:9" ht="14.1" customHeight="1" x14ac:dyDescent="0.2">
      <c r="A11" s="284" t="s">
        <v>110</v>
      </c>
      <c r="B11" s="417">
        <v>14087</v>
      </c>
      <c r="C11" s="291">
        <f>B11/I11*100</f>
        <v>6.8397832128113067E-2</v>
      </c>
      <c r="D11" s="417">
        <v>116248</v>
      </c>
      <c r="E11" s="291">
        <f>D11/I11*100</f>
        <v>0.5644289905039318</v>
      </c>
      <c r="F11" s="285">
        <f>SUM('- 42 -'!$B11,'- 42 -'!$D11,'- 42 -'!$F11,'- 42 -'!$H11,B11,D11)</f>
        <v>7517350</v>
      </c>
      <c r="G11" s="291">
        <f>F11/I11*100</f>
        <v>36.499641041262919</v>
      </c>
      <c r="I11" s="285">
        <f>SUM('- 41 -'!$H11,F11)</f>
        <v>20595682</v>
      </c>
    </row>
    <row r="12" spans="1:9" ht="14.1" customHeight="1" x14ac:dyDescent="0.2">
      <c r="A12" s="19" t="s">
        <v>111</v>
      </c>
      <c r="B12" s="418">
        <v>147637</v>
      </c>
      <c r="C12" s="70">
        <f t="shared" ref="C12:C46" si="0">B12/I12*100</f>
        <v>0.41441161099162965</v>
      </c>
      <c r="D12" s="418">
        <v>309805</v>
      </c>
      <c r="E12" s="70">
        <f t="shared" ref="E12:E46" si="1">D12/I12*100</f>
        <v>0.86961120276937232</v>
      </c>
      <c r="F12" s="20">
        <f>SUM('- 42 -'!$B12,'- 42 -'!$D12,'- 42 -'!$F12,'- 42 -'!$H12,B12,D12)</f>
        <v>14263337</v>
      </c>
      <c r="G12" s="70">
        <f t="shared" ref="G12:G46" si="2">F12/I12*100</f>
        <v>40.036660622245897</v>
      </c>
      <c r="I12" s="20">
        <f>SUM('- 41 -'!$H12,F12)</f>
        <v>35625691</v>
      </c>
    </row>
    <row r="13" spans="1:9" ht="14.1" customHeight="1" x14ac:dyDescent="0.2">
      <c r="A13" s="284" t="s">
        <v>112</v>
      </c>
      <c r="B13" s="417">
        <v>957208</v>
      </c>
      <c r="C13" s="291">
        <f t="shared" si="0"/>
        <v>0.91722135001320715</v>
      </c>
      <c r="D13" s="417">
        <v>337855</v>
      </c>
      <c r="E13" s="291">
        <f t="shared" si="1"/>
        <v>0.32374135946284627</v>
      </c>
      <c r="F13" s="285">
        <f>SUM('- 42 -'!$B13,'- 42 -'!$D13,'- 42 -'!$F13,'- 42 -'!$H13,B13,D13)</f>
        <v>41661766</v>
      </c>
      <c r="G13" s="291">
        <f t="shared" si="2"/>
        <v>39.921376810948445</v>
      </c>
      <c r="I13" s="285">
        <f>SUM('- 41 -'!$H13,F13)</f>
        <v>104359542</v>
      </c>
    </row>
    <row r="14" spans="1:9" ht="14.1" customHeight="1" x14ac:dyDescent="0.2">
      <c r="A14" s="19" t="s">
        <v>359</v>
      </c>
      <c r="B14" s="418">
        <v>163003</v>
      </c>
      <c r="C14" s="70">
        <f t="shared" si="0"/>
        <v>0.17205740569630631</v>
      </c>
      <c r="D14" s="418">
        <v>226409</v>
      </c>
      <c r="E14" s="70">
        <f t="shared" si="1"/>
        <v>0.23898544914078274</v>
      </c>
      <c r="F14" s="20">
        <f>SUM('- 42 -'!$B14,'- 42 -'!$D14,'- 42 -'!$F14,'- 42 -'!$H14,B14,D14)</f>
        <v>28089573</v>
      </c>
      <c r="G14" s="70">
        <f t="shared" si="2"/>
        <v>29.649877962350459</v>
      </c>
      <c r="I14" s="20">
        <f>SUM('- 41 -'!$H14,F14)</f>
        <v>94737567</v>
      </c>
    </row>
    <row r="15" spans="1:9" ht="14.1" customHeight="1" x14ac:dyDescent="0.2">
      <c r="A15" s="284" t="s">
        <v>113</v>
      </c>
      <c r="B15" s="417">
        <v>96670</v>
      </c>
      <c r="C15" s="291">
        <f t="shared" si="0"/>
        <v>0.45102661392947663</v>
      </c>
      <c r="D15" s="417">
        <v>32846</v>
      </c>
      <c r="E15" s="291">
        <f t="shared" si="1"/>
        <v>0.15324733796552797</v>
      </c>
      <c r="F15" s="285">
        <f>SUM('- 42 -'!$B15,'- 42 -'!$D15,'- 42 -'!$F15,'- 42 -'!$H15,B15,D15)</f>
        <v>8541587</v>
      </c>
      <c r="G15" s="291">
        <f t="shared" si="2"/>
        <v>39.85189885377094</v>
      </c>
      <c r="I15" s="285">
        <f>SUM('- 41 -'!$H15,F15)</f>
        <v>21433325</v>
      </c>
    </row>
    <row r="16" spans="1:9" ht="14.1" customHeight="1" x14ac:dyDescent="0.2">
      <c r="A16" s="19" t="s">
        <v>114</v>
      </c>
      <c r="B16" s="418">
        <v>190472</v>
      </c>
      <c r="C16" s="70">
        <f t="shared" si="0"/>
        <v>1.2732683895506587</v>
      </c>
      <c r="D16" s="418">
        <v>74035</v>
      </c>
      <c r="E16" s="70">
        <f t="shared" si="1"/>
        <v>0.4949096204186601</v>
      </c>
      <c r="F16" s="20">
        <f>SUM('- 42 -'!$B16,'- 42 -'!$D16,'- 42 -'!$F16,'- 42 -'!$H16,B16,D16)</f>
        <v>4231920</v>
      </c>
      <c r="G16" s="70">
        <f t="shared" si="2"/>
        <v>28.289564676735811</v>
      </c>
      <c r="I16" s="20">
        <f>SUM('- 41 -'!$H16,F16)</f>
        <v>14959297</v>
      </c>
    </row>
    <row r="17" spans="1:9" ht="14.1" customHeight="1" x14ac:dyDescent="0.2">
      <c r="A17" s="284" t="s">
        <v>115</v>
      </c>
      <c r="B17" s="417">
        <v>0</v>
      </c>
      <c r="C17" s="291">
        <f t="shared" si="0"/>
        <v>0</v>
      </c>
      <c r="D17" s="417">
        <v>62576</v>
      </c>
      <c r="E17" s="291">
        <f t="shared" si="1"/>
        <v>0.33070304202828943</v>
      </c>
      <c r="F17" s="285">
        <f>SUM('- 42 -'!$B17,'- 42 -'!$D17,'- 42 -'!$F17,'- 42 -'!$H17,B17,D17)</f>
        <v>9018368</v>
      </c>
      <c r="G17" s="291">
        <f t="shared" si="2"/>
        <v>47.660472573040472</v>
      </c>
      <c r="I17" s="285">
        <f>SUM('- 41 -'!$H17,F17)</f>
        <v>18922112</v>
      </c>
    </row>
    <row r="18" spans="1:9" ht="14.1" customHeight="1" x14ac:dyDescent="0.2">
      <c r="A18" s="19" t="s">
        <v>116</v>
      </c>
      <c r="B18" s="418">
        <v>4908147</v>
      </c>
      <c r="C18" s="70">
        <f t="shared" si="0"/>
        <v>3.4846644602566577</v>
      </c>
      <c r="D18" s="418">
        <v>1121699</v>
      </c>
      <c r="E18" s="70">
        <f t="shared" si="1"/>
        <v>0.79637888604506601</v>
      </c>
      <c r="F18" s="20">
        <f>SUM('- 42 -'!$B18,'- 42 -'!$D18,'- 42 -'!$F18,'- 42 -'!$H18,B18,D18)</f>
        <v>91041944</v>
      </c>
      <c r="G18" s="70">
        <f t="shared" si="2"/>
        <v>64.637556016451185</v>
      </c>
      <c r="I18" s="20">
        <f>SUM('- 41 -'!$H18,F18)</f>
        <v>140849917</v>
      </c>
    </row>
    <row r="19" spans="1:9" ht="14.1" customHeight="1" x14ac:dyDescent="0.2">
      <c r="A19" s="284" t="s">
        <v>117</v>
      </c>
      <c r="B19" s="417">
        <v>28300</v>
      </c>
      <c r="C19" s="291">
        <f t="shared" si="0"/>
        <v>5.5046091765413946E-2</v>
      </c>
      <c r="D19" s="417">
        <v>704938</v>
      </c>
      <c r="E19" s="291">
        <f t="shared" si="1"/>
        <v>1.371168969502734</v>
      </c>
      <c r="F19" s="285">
        <f>SUM('- 42 -'!$B19,'- 42 -'!$D19,'- 42 -'!$F19,'- 42 -'!$H19,B19,D19)</f>
        <v>17157293</v>
      </c>
      <c r="G19" s="291">
        <f t="shared" si="2"/>
        <v>33.3725061810634</v>
      </c>
      <c r="I19" s="285">
        <f>SUM('- 41 -'!$H19,F19)</f>
        <v>51411461</v>
      </c>
    </row>
    <row r="20" spans="1:9" ht="14.1" customHeight="1" x14ac:dyDescent="0.2">
      <c r="A20" s="19" t="s">
        <v>118</v>
      </c>
      <c r="B20" s="418">
        <v>553700</v>
      </c>
      <c r="C20" s="70">
        <f t="shared" si="0"/>
        <v>0.61117509543940085</v>
      </c>
      <c r="D20" s="418">
        <v>201891</v>
      </c>
      <c r="E20" s="70">
        <f t="shared" si="1"/>
        <v>0.22284766334360859</v>
      </c>
      <c r="F20" s="20">
        <f>SUM('- 42 -'!$B20,'- 42 -'!$D20,'- 42 -'!$F20,'- 42 -'!$H20,B20,D20)</f>
        <v>27836783</v>
      </c>
      <c r="G20" s="70">
        <f t="shared" si="2"/>
        <v>30.726293131209843</v>
      </c>
      <c r="I20" s="20">
        <f>SUM('- 41 -'!$H20,F20)</f>
        <v>90595969</v>
      </c>
    </row>
    <row r="21" spans="1:9" ht="14.1" customHeight="1" x14ac:dyDescent="0.2">
      <c r="A21" s="284" t="s">
        <v>119</v>
      </c>
      <c r="B21" s="417">
        <v>211848</v>
      </c>
      <c r="C21" s="291">
        <f t="shared" si="0"/>
        <v>0.550935874255716</v>
      </c>
      <c r="D21" s="417">
        <v>178908</v>
      </c>
      <c r="E21" s="291">
        <f t="shared" si="1"/>
        <v>0.46527149367160237</v>
      </c>
      <c r="F21" s="285">
        <f>SUM('- 42 -'!$B21,'- 42 -'!$D21,'- 42 -'!$F21,'- 42 -'!$H21,B21,D21)</f>
        <v>15917330</v>
      </c>
      <c r="G21" s="291">
        <f t="shared" si="2"/>
        <v>41.394906344958343</v>
      </c>
      <c r="I21" s="285">
        <f>SUM('- 41 -'!$H21,F21)</f>
        <v>38452388</v>
      </c>
    </row>
    <row r="22" spans="1:9" ht="14.1" customHeight="1" x14ac:dyDescent="0.2">
      <c r="A22" s="19" t="s">
        <v>120</v>
      </c>
      <c r="B22" s="418">
        <v>0</v>
      </c>
      <c r="C22" s="70">
        <f t="shared" si="0"/>
        <v>0</v>
      </c>
      <c r="D22" s="418">
        <v>157843</v>
      </c>
      <c r="E22" s="70">
        <f t="shared" si="1"/>
        <v>0.76667029335364278</v>
      </c>
      <c r="F22" s="20">
        <f>SUM('- 42 -'!$B22,'- 42 -'!$D22,'- 42 -'!$F22,'- 42 -'!$H22,B22,D22)</f>
        <v>3630849</v>
      </c>
      <c r="G22" s="70">
        <f t="shared" si="2"/>
        <v>17.635651045360142</v>
      </c>
      <c r="I22" s="20">
        <f>SUM('- 41 -'!$H22,F22)</f>
        <v>20588120</v>
      </c>
    </row>
    <row r="23" spans="1:9" ht="14.1" customHeight="1" x14ac:dyDescent="0.2">
      <c r="A23" s="284" t="s">
        <v>121</v>
      </c>
      <c r="B23" s="417">
        <v>138842</v>
      </c>
      <c r="C23" s="291">
        <f t="shared" si="0"/>
        <v>0.84679459562054193</v>
      </c>
      <c r="D23" s="417">
        <v>267477</v>
      </c>
      <c r="E23" s="291">
        <f t="shared" si="1"/>
        <v>1.6313369013180139</v>
      </c>
      <c r="F23" s="285">
        <f>SUM('- 42 -'!$B23,'- 42 -'!$D23,'- 42 -'!$F23,'- 42 -'!$H23,B23,D23)</f>
        <v>4695137</v>
      </c>
      <c r="G23" s="291">
        <f t="shared" si="2"/>
        <v>28.635547149263513</v>
      </c>
      <c r="I23" s="285">
        <f>SUM('- 41 -'!$H23,F23)</f>
        <v>16396184</v>
      </c>
    </row>
    <row r="24" spans="1:9" ht="14.1" customHeight="1" x14ac:dyDescent="0.2">
      <c r="A24" s="19" t="s">
        <v>122</v>
      </c>
      <c r="B24" s="418">
        <v>560869</v>
      </c>
      <c r="C24" s="70">
        <f t="shared" si="0"/>
        <v>0.94000522872241565</v>
      </c>
      <c r="D24" s="418">
        <v>286575</v>
      </c>
      <c r="E24" s="70">
        <f t="shared" si="1"/>
        <v>0.48029396957422543</v>
      </c>
      <c r="F24" s="20">
        <f>SUM('- 42 -'!$B24,'- 42 -'!$D24,'- 42 -'!$F24,'- 42 -'!$H24,B24,D24)</f>
        <v>26128968</v>
      </c>
      <c r="G24" s="70">
        <f t="shared" si="2"/>
        <v>43.791627886584358</v>
      </c>
      <c r="I24" s="20">
        <f>SUM('- 41 -'!$H24,F24)</f>
        <v>59666583</v>
      </c>
    </row>
    <row r="25" spans="1:9" ht="14.1" customHeight="1" x14ac:dyDescent="0.2">
      <c r="A25" s="284" t="s">
        <v>123</v>
      </c>
      <c r="B25" s="417">
        <v>8170564</v>
      </c>
      <c r="C25" s="291">
        <f t="shared" si="0"/>
        <v>4.1423897724571512</v>
      </c>
      <c r="D25" s="417">
        <v>1094500</v>
      </c>
      <c r="E25" s="291">
        <f t="shared" si="1"/>
        <v>0.55489995622754462</v>
      </c>
      <c r="F25" s="285">
        <f>SUM('- 42 -'!$B25,'- 42 -'!$D25,'- 42 -'!$F25,'- 42 -'!$H25,B25,D25)</f>
        <v>84895725</v>
      </c>
      <c r="G25" s="291">
        <f t="shared" si="2"/>
        <v>43.04123717350906</v>
      </c>
      <c r="I25" s="285">
        <f>SUM('- 41 -'!$H25,F25)</f>
        <v>197242762</v>
      </c>
    </row>
    <row r="26" spans="1:9" ht="14.1" customHeight="1" x14ac:dyDescent="0.2">
      <c r="A26" s="19" t="s">
        <v>124</v>
      </c>
      <c r="B26" s="418">
        <v>720350</v>
      </c>
      <c r="C26" s="70">
        <f t="shared" si="0"/>
        <v>1.7083878773545651</v>
      </c>
      <c r="D26" s="418">
        <v>128311</v>
      </c>
      <c r="E26" s="70">
        <f t="shared" si="1"/>
        <v>0.30430340380543014</v>
      </c>
      <c r="F26" s="20">
        <f>SUM('- 42 -'!$B26,'- 42 -'!$D26,'- 42 -'!$F26,'- 42 -'!$H26,B26,D26)</f>
        <v>15269629</v>
      </c>
      <c r="G26" s="70">
        <f t="shared" si="2"/>
        <v>36.213575449853138</v>
      </c>
      <c r="I26" s="20">
        <f>SUM('- 41 -'!$H26,F26)</f>
        <v>42165483</v>
      </c>
    </row>
    <row r="27" spans="1:9" ht="14.1" customHeight="1" x14ac:dyDescent="0.2">
      <c r="A27" s="284" t="s">
        <v>125</v>
      </c>
      <c r="B27" s="417">
        <v>224988</v>
      </c>
      <c r="C27" s="291">
        <f t="shared" si="0"/>
        <v>0.53563639747740366</v>
      </c>
      <c r="D27" s="417">
        <v>348266</v>
      </c>
      <c r="E27" s="291">
        <f t="shared" si="1"/>
        <v>0.82912842286639932</v>
      </c>
      <c r="F27" s="285">
        <f>SUM('- 42 -'!$B27,'- 42 -'!$D27,'- 42 -'!$F27,'- 42 -'!$H27,B27,D27)</f>
        <v>7832101</v>
      </c>
      <c r="G27" s="291">
        <f t="shared" si="2"/>
        <v>18.646142746809478</v>
      </c>
      <c r="I27" s="285">
        <f>SUM('- 41 -'!$H27,F27)</f>
        <v>42003867</v>
      </c>
    </row>
    <row r="28" spans="1:9" ht="14.1" customHeight="1" x14ac:dyDescent="0.2">
      <c r="A28" s="19" t="s">
        <v>126</v>
      </c>
      <c r="B28" s="418">
        <v>102750</v>
      </c>
      <c r="C28" s="70">
        <f t="shared" si="0"/>
        <v>0.3523414365805646</v>
      </c>
      <c r="D28" s="418">
        <v>37491</v>
      </c>
      <c r="E28" s="70">
        <f t="shared" si="1"/>
        <v>0.12856090315174645</v>
      </c>
      <c r="F28" s="20">
        <f>SUM('- 42 -'!$B28,'- 42 -'!$D28,'- 42 -'!$F28,'- 42 -'!$H28,B28,D28)</f>
        <v>15618115</v>
      </c>
      <c r="G28" s="70">
        <f t="shared" si="2"/>
        <v>53.556292708325692</v>
      </c>
      <c r="I28" s="20">
        <f>SUM('- 41 -'!$H28,F28)</f>
        <v>29162054</v>
      </c>
    </row>
    <row r="29" spans="1:9" ht="14.1" customHeight="1" x14ac:dyDescent="0.2">
      <c r="A29" s="284" t="s">
        <v>127</v>
      </c>
      <c r="B29" s="417">
        <v>3837897</v>
      </c>
      <c r="C29" s="291">
        <f t="shared" si="0"/>
        <v>2.1873091289323394</v>
      </c>
      <c r="D29" s="417">
        <v>649304</v>
      </c>
      <c r="E29" s="291">
        <f t="shared" si="1"/>
        <v>0.37005385153699633</v>
      </c>
      <c r="F29" s="285">
        <f>SUM('- 42 -'!$B29,'- 42 -'!$D29,'- 42 -'!$F29,'- 42 -'!$H29,B29,D29)</f>
        <v>88908371</v>
      </c>
      <c r="G29" s="291">
        <f t="shared" si="2"/>
        <v>50.671003293419091</v>
      </c>
      <c r="I29" s="285">
        <f>SUM('- 41 -'!$H29,F29)</f>
        <v>175462030</v>
      </c>
    </row>
    <row r="30" spans="1:9" ht="14.1" customHeight="1" x14ac:dyDescent="0.2">
      <c r="A30" s="19" t="s">
        <v>128</v>
      </c>
      <c r="B30" s="418">
        <v>0</v>
      </c>
      <c r="C30" s="70">
        <f t="shared" si="0"/>
        <v>0</v>
      </c>
      <c r="D30" s="418">
        <v>63932</v>
      </c>
      <c r="E30" s="70">
        <f t="shared" si="1"/>
        <v>0.4094810897454168</v>
      </c>
      <c r="F30" s="20">
        <f>SUM('- 42 -'!$B30,'- 42 -'!$D30,'- 42 -'!$F30,'- 42 -'!$H30,B30,D30)</f>
        <v>6554908</v>
      </c>
      <c r="G30" s="70">
        <f t="shared" si="2"/>
        <v>41.983840189904129</v>
      </c>
      <c r="I30" s="20">
        <f>SUM('- 41 -'!$H30,F30)</f>
        <v>15612931</v>
      </c>
    </row>
    <row r="31" spans="1:9" ht="14.1" customHeight="1" x14ac:dyDescent="0.2">
      <c r="A31" s="284" t="s">
        <v>129</v>
      </c>
      <c r="B31" s="417">
        <v>55000</v>
      </c>
      <c r="C31" s="291">
        <f t="shared" si="0"/>
        <v>0.13122238976537889</v>
      </c>
      <c r="D31" s="417">
        <v>148052</v>
      </c>
      <c r="E31" s="291">
        <f t="shared" si="1"/>
        <v>0.35323158635534324</v>
      </c>
      <c r="F31" s="285">
        <f>SUM('- 42 -'!$B31,'- 42 -'!$D31,'- 42 -'!$F31,'- 42 -'!$H31,B31,D31)</f>
        <v>18223052</v>
      </c>
      <c r="G31" s="291">
        <f t="shared" si="2"/>
        <v>43.477680586523043</v>
      </c>
      <c r="I31" s="285">
        <f>SUM('- 41 -'!$H31,F31)</f>
        <v>41913579</v>
      </c>
    </row>
    <row r="32" spans="1:9" ht="14.1" customHeight="1" x14ac:dyDescent="0.2">
      <c r="A32" s="19" t="s">
        <v>130</v>
      </c>
      <c r="B32" s="418">
        <v>2798</v>
      </c>
      <c r="C32" s="70">
        <f t="shared" si="0"/>
        <v>8.8949553459253851E-3</v>
      </c>
      <c r="D32" s="418">
        <v>100285</v>
      </c>
      <c r="E32" s="70">
        <f t="shared" si="1"/>
        <v>0.31881007750755086</v>
      </c>
      <c r="F32" s="20">
        <f>SUM('- 42 -'!$B32,'- 42 -'!$D32,'- 42 -'!$F32,'- 42 -'!$H32,B32,D32)</f>
        <v>14385634</v>
      </c>
      <c r="G32" s="70">
        <f t="shared" si="2"/>
        <v>45.732513242611148</v>
      </c>
      <c r="I32" s="20">
        <f>SUM('- 41 -'!$H32,F32)</f>
        <v>31456032</v>
      </c>
    </row>
    <row r="33" spans="1:9" ht="14.1" customHeight="1" x14ac:dyDescent="0.2">
      <c r="A33" s="284" t="s">
        <v>131</v>
      </c>
      <c r="B33" s="417">
        <v>223406</v>
      </c>
      <c r="C33" s="291">
        <f t="shared" si="0"/>
        <v>0.7669639264394924</v>
      </c>
      <c r="D33" s="417">
        <v>112338</v>
      </c>
      <c r="E33" s="291">
        <f t="shared" si="1"/>
        <v>0.38566194985076363</v>
      </c>
      <c r="F33" s="285">
        <f>SUM('- 42 -'!$B33,'- 42 -'!$D33,'- 42 -'!$F33,'- 42 -'!$H33,B33,D33)</f>
        <v>12138165</v>
      </c>
      <c r="G33" s="291">
        <f t="shared" si="2"/>
        <v>41.670925078871747</v>
      </c>
      <c r="I33" s="285">
        <f>SUM('- 41 -'!$H33,F33)</f>
        <v>29128619</v>
      </c>
    </row>
    <row r="34" spans="1:9" ht="14.1" customHeight="1" x14ac:dyDescent="0.2">
      <c r="A34" s="19" t="s">
        <v>132</v>
      </c>
      <c r="B34" s="418">
        <v>283897</v>
      </c>
      <c r="C34" s="70">
        <f t="shared" si="0"/>
        <v>0.87390732341152266</v>
      </c>
      <c r="D34" s="418">
        <v>119499</v>
      </c>
      <c r="E34" s="70">
        <f t="shared" si="1"/>
        <v>0.36784837895558448</v>
      </c>
      <c r="F34" s="20">
        <f>SUM('- 42 -'!$B34,'- 42 -'!$D34,'- 42 -'!$F34,'- 42 -'!$H34,B34,D34)</f>
        <v>16568199</v>
      </c>
      <c r="G34" s="70">
        <f t="shared" si="2"/>
        <v>51.001139292910693</v>
      </c>
      <c r="I34" s="20">
        <f>SUM('- 41 -'!$H34,F34)</f>
        <v>32485939</v>
      </c>
    </row>
    <row r="35" spans="1:9" ht="14.1" customHeight="1" x14ac:dyDescent="0.2">
      <c r="A35" s="284" t="s">
        <v>133</v>
      </c>
      <c r="B35" s="417">
        <v>2063109</v>
      </c>
      <c r="C35" s="291">
        <f t="shared" si="0"/>
        <v>1.0371326870432815</v>
      </c>
      <c r="D35" s="417">
        <v>479661</v>
      </c>
      <c r="E35" s="291">
        <f t="shared" si="1"/>
        <v>0.24112739646808168</v>
      </c>
      <c r="F35" s="285">
        <f>SUM('- 42 -'!$B35,'- 42 -'!$D35,'- 42 -'!$F35,'- 42 -'!$H35,B35,D35)</f>
        <v>70791240</v>
      </c>
      <c r="G35" s="291">
        <f t="shared" si="2"/>
        <v>35.587023739572579</v>
      </c>
      <c r="I35" s="285">
        <f>SUM('- 41 -'!$H35,F35)</f>
        <v>198924306</v>
      </c>
    </row>
    <row r="36" spans="1:9" ht="14.1" customHeight="1" x14ac:dyDescent="0.2">
      <c r="A36" s="19" t="s">
        <v>134</v>
      </c>
      <c r="B36" s="418">
        <v>65253</v>
      </c>
      <c r="C36" s="70">
        <f t="shared" si="0"/>
        <v>0.26134119582390763</v>
      </c>
      <c r="D36" s="418">
        <v>99230</v>
      </c>
      <c r="E36" s="70">
        <f t="shared" si="1"/>
        <v>0.39742060689326703</v>
      </c>
      <c r="F36" s="20">
        <f>SUM('- 42 -'!$B36,'- 42 -'!$D36,'- 42 -'!$F36,'- 42 -'!$H36,B36,D36)</f>
        <v>11294513</v>
      </c>
      <c r="G36" s="70">
        <f t="shared" si="2"/>
        <v>45.235031855526501</v>
      </c>
      <c r="I36" s="20">
        <f>SUM('- 41 -'!$H36,F36)</f>
        <v>24968509</v>
      </c>
    </row>
    <row r="37" spans="1:9" ht="14.1" customHeight="1" x14ac:dyDescent="0.2">
      <c r="A37" s="284" t="s">
        <v>135</v>
      </c>
      <c r="B37" s="417">
        <v>52572</v>
      </c>
      <c r="C37" s="291">
        <f t="shared" si="0"/>
        <v>9.4911470933723097E-2</v>
      </c>
      <c r="D37" s="417">
        <v>175980</v>
      </c>
      <c r="E37" s="291">
        <f t="shared" si="1"/>
        <v>0.31770753737572455</v>
      </c>
      <c r="F37" s="285">
        <f>SUM('- 42 -'!$B37,'- 42 -'!$D37,'- 42 -'!$F37,'- 42 -'!$H37,B37,D37)</f>
        <v>17466052</v>
      </c>
      <c r="G37" s="291">
        <f t="shared" si="2"/>
        <v>31.532539882920496</v>
      </c>
      <c r="I37" s="285">
        <f>SUM('- 41 -'!$H37,F37)</f>
        <v>55390565</v>
      </c>
    </row>
    <row r="38" spans="1:9" ht="14.1" customHeight="1" x14ac:dyDescent="0.2">
      <c r="A38" s="19" t="s">
        <v>136</v>
      </c>
      <c r="B38" s="418">
        <v>2009245</v>
      </c>
      <c r="C38" s="70">
        <f t="shared" si="0"/>
        <v>1.3277718218528558</v>
      </c>
      <c r="D38" s="418">
        <v>446121</v>
      </c>
      <c r="E38" s="70">
        <f t="shared" si="1"/>
        <v>0.29481068408124339</v>
      </c>
      <c r="F38" s="20">
        <f>SUM('- 42 -'!$B38,'- 42 -'!$D38,'- 42 -'!$F38,'- 42 -'!$H38,B38,D38)</f>
        <v>50942705</v>
      </c>
      <c r="G38" s="70">
        <f t="shared" si="2"/>
        <v>33.664529824865852</v>
      </c>
      <c r="I38" s="20">
        <f>SUM('- 41 -'!$H38,F38)</f>
        <v>151324570</v>
      </c>
    </row>
    <row r="39" spans="1:9" ht="14.1" customHeight="1" x14ac:dyDescent="0.2">
      <c r="A39" s="284" t="s">
        <v>137</v>
      </c>
      <c r="B39" s="417">
        <v>0</v>
      </c>
      <c r="C39" s="291">
        <f t="shared" si="0"/>
        <v>0</v>
      </c>
      <c r="D39" s="417">
        <v>89006</v>
      </c>
      <c r="E39" s="291">
        <f t="shared" si="1"/>
        <v>0.37603595675371032</v>
      </c>
      <c r="F39" s="285">
        <f>SUM('- 42 -'!$B39,'- 42 -'!$D39,'- 42 -'!$F39,'- 42 -'!$H39,B39,D39)</f>
        <v>11717132</v>
      </c>
      <c r="G39" s="291">
        <f t="shared" si="2"/>
        <v>49.502987911258963</v>
      </c>
      <c r="I39" s="285">
        <f>SUM('- 41 -'!$H39,F39)</f>
        <v>23669545</v>
      </c>
    </row>
    <row r="40" spans="1:9" ht="14.1" customHeight="1" x14ac:dyDescent="0.2">
      <c r="A40" s="19" t="s">
        <v>138</v>
      </c>
      <c r="B40" s="418">
        <v>2242003</v>
      </c>
      <c r="C40" s="70">
        <f t="shared" si="0"/>
        <v>2.0352106771112353</v>
      </c>
      <c r="D40" s="418">
        <v>898348</v>
      </c>
      <c r="E40" s="70">
        <f t="shared" si="1"/>
        <v>0.81548840093502284</v>
      </c>
      <c r="F40" s="20">
        <f>SUM('- 42 -'!$B40,'- 42 -'!$D40,'- 42 -'!$F40,'- 42 -'!$H40,B40,D40)</f>
        <v>53696236</v>
      </c>
      <c r="G40" s="70">
        <f t="shared" si="2"/>
        <v>48.743535502800256</v>
      </c>
      <c r="I40" s="20">
        <f>SUM('- 41 -'!$H40,F40)</f>
        <v>110160733</v>
      </c>
    </row>
    <row r="41" spans="1:9" ht="14.1" customHeight="1" x14ac:dyDescent="0.2">
      <c r="A41" s="284" t="s">
        <v>139</v>
      </c>
      <c r="B41" s="417">
        <v>94611</v>
      </c>
      <c r="C41" s="291">
        <f t="shared" si="0"/>
        <v>0.14059473724137794</v>
      </c>
      <c r="D41" s="417">
        <v>93570</v>
      </c>
      <c r="E41" s="291">
        <f t="shared" si="1"/>
        <v>0.13904778052949163</v>
      </c>
      <c r="F41" s="285">
        <f>SUM('- 42 -'!$B41,'- 42 -'!$D41,'- 42 -'!$F41,'- 42 -'!$H41,B41,D41)</f>
        <v>29313073</v>
      </c>
      <c r="G41" s="291">
        <f t="shared" si="2"/>
        <v>43.560091280848205</v>
      </c>
      <c r="I41" s="285">
        <f>SUM('- 41 -'!$H41,F41)</f>
        <v>67293415</v>
      </c>
    </row>
    <row r="42" spans="1:9" ht="14.1" customHeight="1" x14ac:dyDescent="0.2">
      <c r="A42" s="19" t="s">
        <v>140</v>
      </c>
      <c r="B42" s="418">
        <v>299255</v>
      </c>
      <c r="C42" s="70">
        <f t="shared" si="0"/>
        <v>1.3877309843687295</v>
      </c>
      <c r="D42" s="418">
        <v>225666</v>
      </c>
      <c r="E42" s="70">
        <f t="shared" si="1"/>
        <v>1.0464777541513215</v>
      </c>
      <c r="F42" s="20">
        <f>SUM('- 42 -'!$B42,'- 42 -'!$D42,'- 42 -'!$F42,'- 42 -'!$H42,B42,D42)</f>
        <v>6945671</v>
      </c>
      <c r="G42" s="70">
        <f t="shared" si="2"/>
        <v>32.209062017113624</v>
      </c>
      <c r="I42" s="20">
        <f>SUM('- 41 -'!$H42,F42)</f>
        <v>21564338</v>
      </c>
    </row>
    <row r="43" spans="1:9" ht="14.1" customHeight="1" x14ac:dyDescent="0.2">
      <c r="A43" s="284" t="s">
        <v>141</v>
      </c>
      <c r="B43" s="417">
        <v>7326</v>
      </c>
      <c r="C43" s="291">
        <f t="shared" si="0"/>
        <v>5.3168948434175918E-2</v>
      </c>
      <c r="D43" s="417">
        <v>8071</v>
      </c>
      <c r="E43" s="291">
        <f t="shared" si="1"/>
        <v>5.8575837129707049E-2</v>
      </c>
      <c r="F43" s="285">
        <f>SUM('- 42 -'!$B43,'- 42 -'!$D43,'- 42 -'!$F43,'- 42 -'!$H43,B43,D43)</f>
        <v>6061991</v>
      </c>
      <c r="G43" s="291">
        <f t="shared" si="2"/>
        <v>43.995316255451613</v>
      </c>
      <c r="I43" s="285">
        <f>SUM('- 41 -'!$H43,F43)</f>
        <v>13778719</v>
      </c>
    </row>
    <row r="44" spans="1:9" ht="14.1" customHeight="1" x14ac:dyDescent="0.2">
      <c r="A44" s="19" t="s">
        <v>142</v>
      </c>
      <c r="B44" s="418">
        <v>15739</v>
      </c>
      <c r="C44" s="70">
        <f t="shared" si="0"/>
        <v>0.13587242719485898</v>
      </c>
      <c r="D44" s="418">
        <v>50655</v>
      </c>
      <c r="E44" s="70">
        <f t="shared" si="1"/>
        <v>0.43729702011281407</v>
      </c>
      <c r="F44" s="20">
        <f>SUM('- 42 -'!$B44,'- 42 -'!$D44,'- 42 -'!$F44,'- 42 -'!$H44,B44,D44)</f>
        <v>2878879</v>
      </c>
      <c r="G44" s="70">
        <f t="shared" si="2"/>
        <v>24.852930766269036</v>
      </c>
      <c r="I44" s="20">
        <f>SUM('- 41 -'!$H44,F44)</f>
        <v>11583660</v>
      </c>
    </row>
    <row r="45" spans="1:9" ht="14.1" customHeight="1" x14ac:dyDescent="0.2">
      <c r="A45" s="284" t="s">
        <v>143</v>
      </c>
      <c r="B45" s="417">
        <v>288247</v>
      </c>
      <c r="C45" s="291">
        <f t="shared" si="0"/>
        <v>1.3595436904111575</v>
      </c>
      <c r="D45" s="417">
        <v>44039</v>
      </c>
      <c r="E45" s="291">
        <f t="shared" si="1"/>
        <v>0.20771402506189821</v>
      </c>
      <c r="F45" s="285">
        <f>SUM('- 42 -'!$B45,'- 42 -'!$D45,'- 42 -'!$F45,'- 42 -'!$H45,B45,D45)</f>
        <v>7585935</v>
      </c>
      <c r="G45" s="291">
        <f t="shared" si="2"/>
        <v>35.779765496671828</v>
      </c>
      <c r="I45" s="285">
        <f>SUM('- 41 -'!$H45,F45)</f>
        <v>21201746</v>
      </c>
    </row>
    <row r="46" spans="1:9" ht="14.1" customHeight="1" x14ac:dyDescent="0.2">
      <c r="A46" s="19" t="s">
        <v>144</v>
      </c>
      <c r="B46" s="418">
        <v>2346019</v>
      </c>
      <c r="C46" s="70">
        <f t="shared" si="0"/>
        <v>0.56681254981148088</v>
      </c>
      <c r="D46" s="418">
        <v>1013532</v>
      </c>
      <c r="E46" s="70">
        <f t="shared" si="1"/>
        <v>0.244875534782766</v>
      </c>
      <c r="F46" s="20">
        <f>SUM('- 42 -'!$B46,'- 42 -'!$D46,'- 42 -'!$F46,'- 42 -'!$H46,B46,D46)</f>
        <v>168668469</v>
      </c>
      <c r="G46" s="70">
        <f t="shared" si="2"/>
        <v>40.751334489059431</v>
      </c>
      <c r="I46" s="20">
        <f>SUM('- 41 -'!$H46,F46)</f>
        <v>413896799</v>
      </c>
    </row>
    <row r="47" spans="1:9" ht="5.0999999999999996" customHeight="1" x14ac:dyDescent="0.2">
      <c r="A47" s="21"/>
      <c r="B47" s="22"/>
      <c r="C47"/>
      <c r="D47" s="22"/>
      <c r="E47"/>
      <c r="F47" s="22"/>
      <c r="G47"/>
      <c r="I47" s="22"/>
    </row>
    <row r="48" spans="1:9" ht="14.1" customHeight="1" x14ac:dyDescent="0.2">
      <c r="A48" s="286" t="s">
        <v>145</v>
      </c>
      <c r="B48" s="421">
        <f>SUM(B11:B46)</f>
        <v>31075812</v>
      </c>
      <c r="C48" s="294">
        <f>B48/I48*100</f>
        <v>1.2535704752877594</v>
      </c>
      <c r="D48" s="421">
        <f>SUM(D11:D46)</f>
        <v>10504962</v>
      </c>
      <c r="E48" s="294">
        <f>D48/I48*100</f>
        <v>0.4237607759765008</v>
      </c>
      <c r="F48" s="287">
        <f>SUM(F11:F46)</f>
        <v>1017488000</v>
      </c>
      <c r="G48" s="294">
        <f>F48/I48*100</f>
        <v>41.044556317936021</v>
      </c>
      <c r="I48" s="287">
        <f>SUM(I11:I46)</f>
        <v>2478984039</v>
      </c>
    </row>
    <row r="49" spans="1:9" ht="5.0999999999999996" customHeight="1" x14ac:dyDescent="0.2">
      <c r="A49" s="21" t="s">
        <v>7</v>
      </c>
      <c r="B49" s="22"/>
      <c r="C49"/>
      <c r="D49" s="22"/>
      <c r="E49"/>
      <c r="F49" s="22"/>
      <c r="G49"/>
      <c r="I49" s="22"/>
    </row>
    <row r="50" spans="1:9" ht="14.1" customHeight="1" x14ac:dyDescent="0.2">
      <c r="A50" s="19" t="s">
        <v>146</v>
      </c>
      <c r="B50" s="418">
        <v>118751</v>
      </c>
      <c r="C50" s="70">
        <f>B50/I50*100</f>
        <v>3.2176131337120375</v>
      </c>
      <c r="D50" s="418">
        <v>51426</v>
      </c>
      <c r="E50" s="70">
        <f>D50/I50*100</f>
        <v>1.393411196657504</v>
      </c>
      <c r="F50" s="20">
        <f>SUM('- 42 -'!$B50,'- 42 -'!$D50,'- 42 -'!$F50,'- 42 -'!$H50,B50,D50)</f>
        <v>2252202</v>
      </c>
      <c r="G50" s="70">
        <f>F50/I50*100</f>
        <v>61.024452299117641</v>
      </c>
      <c r="I50" s="20">
        <f>SUM('- 41 -'!$H50,F50)</f>
        <v>3690655</v>
      </c>
    </row>
    <row r="51" spans="1:9" ht="14.1" customHeight="1" x14ac:dyDescent="0.2">
      <c r="A51" s="284" t="s">
        <v>601</v>
      </c>
      <c r="B51" s="417">
        <v>18700003</v>
      </c>
      <c r="C51" s="291">
        <f>B51/I51*100</f>
        <v>54.954393444359219</v>
      </c>
      <c r="D51" s="417">
        <v>603221</v>
      </c>
      <c r="E51" s="291">
        <f>D51/I51*100</f>
        <v>1.7727079598810658</v>
      </c>
      <c r="F51" s="285">
        <f>SUM('- 42 -'!$B51,'- 42 -'!$D51,'- 42 -'!$F51,'- 42 -'!$H51,B51,D51)</f>
        <v>23614995</v>
      </c>
      <c r="G51" s="291">
        <f>F51/I51*100</f>
        <v>69.39826300651265</v>
      </c>
      <c r="I51" s="285">
        <f>SUM('- 41 -'!$H51,F51)</f>
        <v>34028222</v>
      </c>
    </row>
    <row r="52" spans="1:9" ht="50.1" customHeight="1" x14ac:dyDescent="0.2"/>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E58"/>
  <sheetViews>
    <sheetView showGridLines="0" showZeros="0" workbookViewId="0"/>
  </sheetViews>
  <sheetFormatPr defaultColWidth="15.83203125" defaultRowHeight="12" x14ac:dyDescent="0.2"/>
  <cols>
    <col min="1" max="1" width="37.33203125" style="2" customWidth="1"/>
    <col min="2" max="2" width="23.6640625" style="2" customWidth="1"/>
    <col min="3" max="3" width="25.1640625" style="2" customWidth="1"/>
    <col min="4" max="4" width="22.6640625" style="2" customWidth="1"/>
    <col min="5" max="5" width="17.1640625" style="2" customWidth="1"/>
    <col min="6" max="16384" width="15.83203125" style="2"/>
  </cols>
  <sheetData>
    <row r="1" spans="1:5" ht="6.95" customHeight="1" x14ac:dyDescent="0.2">
      <c r="A1" s="7"/>
    </row>
    <row r="2" spans="1:5" ht="14.1" customHeight="1" x14ac:dyDescent="0.2">
      <c r="A2" s="63"/>
      <c r="B2" s="447" t="s">
        <v>223</v>
      </c>
      <c r="C2" s="208"/>
      <c r="D2" s="208"/>
      <c r="E2" s="209"/>
    </row>
    <row r="3" spans="1:5" ht="14.1" customHeight="1" x14ac:dyDescent="0.2">
      <c r="A3" s="542"/>
      <c r="B3" s="23"/>
      <c r="C3" s="448" t="str">
        <f>"FOR THE YEAR ENDED JUNE 30, "&amp;SPRINGYR</f>
        <v>FOR THE YEAR ENDED JUNE 30, 2019</v>
      </c>
      <c r="D3" s="211"/>
      <c r="E3" s="212"/>
    </row>
    <row r="7" spans="1:5" ht="13.5" x14ac:dyDescent="0.2">
      <c r="B7" s="697" t="s">
        <v>384</v>
      </c>
      <c r="C7" s="698"/>
      <c r="D7" s="740"/>
      <c r="E7" s="645" t="str">
        <f>"% OF "&amp;FALLYR&amp;"/"&amp;SPRINGYR&amp;" OPERATING"</f>
        <v>% OF 2018/2019 OPERATING</v>
      </c>
    </row>
    <row r="8" spans="1:5" x14ac:dyDescent="0.2">
      <c r="A8" s="67"/>
      <c r="B8" s="338"/>
      <c r="C8" s="375"/>
      <c r="D8" s="375"/>
      <c r="E8" s="741"/>
    </row>
    <row r="9" spans="1:5" ht="14.25" x14ac:dyDescent="0.2">
      <c r="A9" s="35" t="s">
        <v>42</v>
      </c>
      <c r="B9" s="445" t="s">
        <v>380</v>
      </c>
      <c r="C9" s="445" t="s">
        <v>276</v>
      </c>
      <c r="D9" s="505" t="s">
        <v>31</v>
      </c>
      <c r="E9" s="425" t="s">
        <v>381</v>
      </c>
    </row>
    <row r="10" spans="1:5" ht="5.0999999999999996" customHeight="1" x14ac:dyDescent="0.2">
      <c r="A10" s="6"/>
      <c r="B10" s="7"/>
      <c r="C10" s="7"/>
      <c r="D10" s="7"/>
      <c r="E10" s="7"/>
    </row>
    <row r="11" spans="1:5" ht="14.1" customHeight="1" x14ac:dyDescent="0.2">
      <c r="A11" s="284" t="s">
        <v>110</v>
      </c>
      <c r="B11" s="417">
        <v>3395</v>
      </c>
      <c r="C11" s="417">
        <v>808704</v>
      </c>
      <c r="D11" s="285">
        <f>+B11+C11</f>
        <v>812099</v>
      </c>
      <c r="E11" s="291">
        <f>D11/'- 3 -'!$B11*100</f>
        <v>4.0272867985167906</v>
      </c>
    </row>
    <row r="12" spans="1:5" ht="14.1" customHeight="1" x14ac:dyDescent="0.2">
      <c r="A12" s="19" t="s">
        <v>111</v>
      </c>
      <c r="B12" s="418">
        <v>138446</v>
      </c>
      <c r="C12" s="418">
        <v>1176971</v>
      </c>
      <c r="D12" s="20">
        <f t="shared" ref="D12:D46" si="0">+B12+C12</f>
        <v>1315417</v>
      </c>
      <c r="E12" s="70">
        <f>D12/'- 3 -'!$B12*100</f>
        <v>3.8214893099038449</v>
      </c>
    </row>
    <row r="13" spans="1:5" ht="14.1" customHeight="1" x14ac:dyDescent="0.2">
      <c r="A13" s="284" t="s">
        <v>112</v>
      </c>
      <c r="B13" s="417">
        <v>2746150</v>
      </c>
      <c r="C13" s="417">
        <v>3403795</v>
      </c>
      <c r="D13" s="285">
        <f t="shared" si="0"/>
        <v>6149945</v>
      </c>
      <c r="E13" s="291">
        <f>D13/'- 3 -'!$B13*100</f>
        <v>6.0892490099658927</v>
      </c>
    </row>
    <row r="14" spans="1:5" ht="14.1" customHeight="1" x14ac:dyDescent="0.2">
      <c r="A14" s="19" t="s">
        <v>359</v>
      </c>
      <c r="B14" s="418">
        <v>872512</v>
      </c>
      <c r="C14" s="418">
        <v>2745407</v>
      </c>
      <c r="D14" s="20">
        <f t="shared" si="0"/>
        <v>3617919</v>
      </c>
      <c r="E14" s="70">
        <f>D14/'- 3 -'!$B14*100</f>
        <v>3.918889476675294</v>
      </c>
    </row>
    <row r="15" spans="1:5" ht="14.1" customHeight="1" x14ac:dyDescent="0.2">
      <c r="A15" s="284" t="s">
        <v>113</v>
      </c>
      <c r="B15" s="417">
        <v>0</v>
      </c>
      <c r="C15" s="417">
        <v>782242</v>
      </c>
      <c r="D15" s="285">
        <f t="shared" si="0"/>
        <v>782242</v>
      </c>
      <c r="E15" s="291">
        <f>D15/'- 3 -'!$B15*100</f>
        <v>3.8492484551549482</v>
      </c>
    </row>
    <row r="16" spans="1:5" ht="14.1" customHeight="1" x14ac:dyDescent="0.2">
      <c r="A16" s="19" t="s">
        <v>114</v>
      </c>
      <c r="B16" s="418">
        <v>69943</v>
      </c>
      <c r="C16" s="418">
        <v>261519</v>
      </c>
      <c r="D16" s="20">
        <f t="shared" si="0"/>
        <v>331462</v>
      </c>
      <c r="E16" s="70">
        <f>D16/'- 3 -'!$B16*100</f>
        <v>2.204273602263819</v>
      </c>
    </row>
    <row r="17" spans="1:5" ht="14.1" customHeight="1" x14ac:dyDescent="0.2">
      <c r="A17" s="284" t="s">
        <v>115</v>
      </c>
      <c r="B17" s="417">
        <v>25687</v>
      </c>
      <c r="C17" s="417">
        <v>719309</v>
      </c>
      <c r="D17" s="285">
        <f t="shared" si="0"/>
        <v>744996</v>
      </c>
      <c r="E17" s="291">
        <f>D17/'- 3 -'!$B17*100</f>
        <v>4.0312392961905399</v>
      </c>
    </row>
    <row r="18" spans="1:5" ht="14.1" customHeight="1" x14ac:dyDescent="0.2">
      <c r="A18" s="19" t="s">
        <v>116</v>
      </c>
      <c r="B18" s="418">
        <v>0</v>
      </c>
      <c r="C18" s="418">
        <v>5008332</v>
      </c>
      <c r="D18" s="20">
        <f t="shared" si="0"/>
        <v>5008332</v>
      </c>
      <c r="E18" s="70">
        <f>D18/'- 3 -'!$B18*100</f>
        <v>3.5741132859859892</v>
      </c>
    </row>
    <row r="19" spans="1:5" ht="14.1" customHeight="1" x14ac:dyDescent="0.2">
      <c r="A19" s="284" t="s">
        <v>117</v>
      </c>
      <c r="B19" s="417">
        <v>442139</v>
      </c>
      <c r="C19" s="417">
        <v>1008176.4900000021</v>
      </c>
      <c r="D19" s="285">
        <f t="shared" si="0"/>
        <v>1450315.4900000021</v>
      </c>
      <c r="E19" s="291">
        <f>D19/'- 3 -'!$B19*100</f>
        <v>2.8627820808533997</v>
      </c>
    </row>
    <row r="20" spans="1:5" ht="14.1" customHeight="1" x14ac:dyDescent="0.2">
      <c r="A20" s="19" t="s">
        <v>118</v>
      </c>
      <c r="B20" s="418">
        <v>0</v>
      </c>
      <c r="C20" s="418">
        <v>3407529</v>
      </c>
      <c r="D20" s="20">
        <f t="shared" si="0"/>
        <v>3407529</v>
      </c>
      <c r="E20" s="70">
        <f>D20/'- 3 -'!$B20*100</f>
        <v>3.8056118286187255</v>
      </c>
    </row>
    <row r="21" spans="1:5" ht="14.1" customHeight="1" x14ac:dyDescent="0.2">
      <c r="A21" s="284" t="s">
        <v>119</v>
      </c>
      <c r="B21" s="417">
        <v>0</v>
      </c>
      <c r="C21" s="417">
        <v>1028785</v>
      </c>
      <c r="D21" s="285">
        <f t="shared" si="0"/>
        <v>1028785</v>
      </c>
      <c r="E21" s="291">
        <f>D21/'- 3 -'!$B21*100</f>
        <v>2.7319013939167145</v>
      </c>
    </row>
    <row r="22" spans="1:5" ht="14.1" customHeight="1" x14ac:dyDescent="0.2">
      <c r="A22" s="19" t="s">
        <v>120</v>
      </c>
      <c r="B22" s="418">
        <v>553000</v>
      </c>
      <c r="C22" s="418">
        <v>336920</v>
      </c>
      <c r="D22" s="20">
        <f t="shared" si="0"/>
        <v>889920</v>
      </c>
      <c r="E22" s="70">
        <f>D22/'- 3 -'!$B22*100</f>
        <v>4.2387455119438346</v>
      </c>
    </row>
    <row r="23" spans="1:5" ht="14.1" customHeight="1" x14ac:dyDescent="0.2">
      <c r="A23" s="284" t="s">
        <v>121</v>
      </c>
      <c r="B23" s="417">
        <v>0</v>
      </c>
      <c r="C23" s="417">
        <v>604421</v>
      </c>
      <c r="D23" s="285">
        <f t="shared" si="0"/>
        <v>604421</v>
      </c>
      <c r="E23" s="291">
        <f>D23/'- 3 -'!$B23*100</f>
        <v>3.766258326808765</v>
      </c>
    </row>
    <row r="24" spans="1:5" ht="14.1" customHeight="1" x14ac:dyDescent="0.2">
      <c r="A24" s="19" t="s">
        <v>122</v>
      </c>
      <c r="B24" s="418">
        <v>0</v>
      </c>
      <c r="C24" s="418">
        <v>1810042</v>
      </c>
      <c r="D24" s="20">
        <f t="shared" si="0"/>
        <v>1810042</v>
      </c>
      <c r="E24" s="70">
        <f>D24/'- 3 -'!$B24*100</f>
        <v>3.1023647252107356</v>
      </c>
    </row>
    <row r="25" spans="1:5" ht="14.1" customHeight="1" x14ac:dyDescent="0.2">
      <c r="A25" s="284" t="s">
        <v>123</v>
      </c>
      <c r="B25" s="417">
        <v>3311762</v>
      </c>
      <c r="C25" s="417">
        <v>2549305</v>
      </c>
      <c r="D25" s="285">
        <f t="shared" si="0"/>
        <v>5861067</v>
      </c>
      <c r="E25" s="291">
        <f>D25/'- 3 -'!$B25*100</f>
        <v>2.9994304473704028</v>
      </c>
    </row>
    <row r="26" spans="1:5" ht="14.1" customHeight="1" x14ac:dyDescent="0.2">
      <c r="A26" s="19" t="s">
        <v>124</v>
      </c>
      <c r="B26" s="418">
        <v>0</v>
      </c>
      <c r="C26" s="418">
        <v>1228537</v>
      </c>
      <c r="D26" s="20">
        <f t="shared" si="0"/>
        <v>1228537</v>
      </c>
      <c r="E26" s="70">
        <f>D26/'- 3 -'!$B26*100</f>
        <v>3.0004172127273741</v>
      </c>
    </row>
    <row r="27" spans="1:5" ht="14.1" customHeight="1" x14ac:dyDescent="0.2">
      <c r="A27" s="284" t="s">
        <v>125</v>
      </c>
      <c r="B27" s="417">
        <v>2360751</v>
      </c>
      <c r="C27" s="417">
        <v>2246130</v>
      </c>
      <c r="D27" s="285">
        <f t="shared" si="0"/>
        <v>4606881</v>
      </c>
      <c r="E27" s="291">
        <f>D27/'- 3 -'!$B27*100</f>
        <v>11.171661880858847</v>
      </c>
    </row>
    <row r="28" spans="1:5" ht="14.1" customHeight="1" x14ac:dyDescent="0.2">
      <c r="A28" s="19" t="s">
        <v>126</v>
      </c>
      <c r="B28" s="418">
        <v>0</v>
      </c>
      <c r="C28" s="418">
        <v>375941</v>
      </c>
      <c r="D28" s="20">
        <f t="shared" si="0"/>
        <v>375941</v>
      </c>
      <c r="E28" s="70">
        <f>D28/'- 3 -'!$B28*100</f>
        <v>1.287411376838526</v>
      </c>
    </row>
    <row r="29" spans="1:5" ht="14.1" customHeight="1" x14ac:dyDescent="0.2">
      <c r="A29" s="284" t="s">
        <v>127</v>
      </c>
      <c r="B29" s="417">
        <v>1243617</v>
      </c>
      <c r="C29" s="417">
        <v>5433263</v>
      </c>
      <c r="D29" s="285">
        <f t="shared" si="0"/>
        <v>6676880</v>
      </c>
      <c r="E29" s="291">
        <f>D29/'- 3 -'!$B29*100</f>
        <v>3.9599421258023924</v>
      </c>
    </row>
    <row r="30" spans="1:5" ht="14.1" customHeight="1" x14ac:dyDescent="0.2">
      <c r="A30" s="19" t="s">
        <v>128</v>
      </c>
      <c r="B30" s="418">
        <v>30684</v>
      </c>
      <c r="C30" s="418">
        <v>580827</v>
      </c>
      <c r="D30" s="20">
        <f t="shared" si="0"/>
        <v>611511</v>
      </c>
      <c r="E30" s="70">
        <f>D30/'- 3 -'!$B30*100</f>
        <v>3.958249536249081</v>
      </c>
    </row>
    <row r="31" spans="1:5" ht="14.1" customHeight="1" x14ac:dyDescent="0.2">
      <c r="A31" s="284" t="s">
        <v>129</v>
      </c>
      <c r="B31" s="417">
        <v>789</v>
      </c>
      <c r="C31" s="417">
        <v>1566421</v>
      </c>
      <c r="D31" s="285">
        <f t="shared" si="0"/>
        <v>1567210</v>
      </c>
      <c r="E31" s="291">
        <f>D31/'- 3 -'!$B31*100</f>
        <v>4.0392112330592997</v>
      </c>
    </row>
    <row r="32" spans="1:5" ht="14.1" customHeight="1" x14ac:dyDescent="0.2">
      <c r="A32" s="19" t="s">
        <v>130</v>
      </c>
      <c r="B32" s="418">
        <v>0</v>
      </c>
      <c r="C32" s="418">
        <v>2585381</v>
      </c>
      <c r="D32" s="20">
        <f t="shared" si="0"/>
        <v>2585381</v>
      </c>
      <c r="E32" s="70">
        <f>D32/'- 3 -'!$B32*100</f>
        <v>8.5230888924419421</v>
      </c>
    </row>
    <row r="33" spans="1:5" ht="14.1" customHeight="1" x14ac:dyDescent="0.2">
      <c r="A33" s="284" t="s">
        <v>131</v>
      </c>
      <c r="B33" s="417">
        <v>26166</v>
      </c>
      <c r="C33" s="417">
        <v>1109760</v>
      </c>
      <c r="D33" s="285">
        <f t="shared" si="0"/>
        <v>1135926</v>
      </c>
      <c r="E33" s="291">
        <f>D33/'- 3 -'!$B33*100</f>
        <v>4.0399312043097488</v>
      </c>
    </row>
    <row r="34" spans="1:5" ht="14.1" customHeight="1" x14ac:dyDescent="0.2">
      <c r="A34" s="19" t="s">
        <v>132</v>
      </c>
      <c r="B34" s="418">
        <v>625162</v>
      </c>
      <c r="C34" s="418">
        <v>630022</v>
      </c>
      <c r="D34" s="20">
        <f t="shared" si="0"/>
        <v>1255184</v>
      </c>
      <c r="E34" s="70">
        <f>D34/'- 3 -'!$B34*100</f>
        <v>4.0297179434371531</v>
      </c>
    </row>
    <row r="35" spans="1:5" ht="14.1" customHeight="1" x14ac:dyDescent="0.2">
      <c r="A35" s="284" t="s">
        <v>133</v>
      </c>
      <c r="B35" s="417">
        <v>31647</v>
      </c>
      <c r="C35" s="417">
        <v>8585492</v>
      </c>
      <c r="D35" s="285">
        <f t="shared" si="0"/>
        <v>8617139</v>
      </c>
      <c r="E35" s="291">
        <f>D35/'- 3 -'!$B35*100</f>
        <v>4.4535815213241792</v>
      </c>
    </row>
    <row r="36" spans="1:5" ht="14.1" customHeight="1" x14ac:dyDescent="0.2">
      <c r="A36" s="19" t="s">
        <v>134</v>
      </c>
      <c r="B36" s="418">
        <v>0</v>
      </c>
      <c r="C36" s="418">
        <v>848020</v>
      </c>
      <c r="D36" s="20">
        <f t="shared" si="0"/>
        <v>848020</v>
      </c>
      <c r="E36" s="70">
        <f>D36/'- 3 -'!$B36*100</f>
        <v>3.4813413127516473</v>
      </c>
    </row>
    <row r="37" spans="1:5" ht="14.1" customHeight="1" x14ac:dyDescent="0.2">
      <c r="A37" s="284" t="s">
        <v>135</v>
      </c>
      <c r="B37" s="417">
        <v>440230</v>
      </c>
      <c r="C37" s="417">
        <v>1614593</v>
      </c>
      <c r="D37" s="285">
        <f t="shared" si="0"/>
        <v>2054823</v>
      </c>
      <c r="E37" s="291">
        <f>D37/'- 3 -'!$B37*100</f>
        <v>3.7849704756082305</v>
      </c>
    </row>
    <row r="38" spans="1:5" ht="14.1" customHeight="1" x14ac:dyDescent="0.2">
      <c r="A38" s="19" t="s">
        <v>136</v>
      </c>
      <c r="B38" s="418">
        <v>4951686</v>
      </c>
      <c r="C38" s="418">
        <v>1316217</v>
      </c>
      <c r="D38" s="20">
        <f t="shared" si="0"/>
        <v>6267903</v>
      </c>
      <c r="E38" s="70">
        <f>D38/'- 3 -'!$B38*100</f>
        <v>4.3140107741402218</v>
      </c>
    </row>
    <row r="39" spans="1:5" ht="14.1" customHeight="1" x14ac:dyDescent="0.2">
      <c r="A39" s="284" t="s">
        <v>137</v>
      </c>
      <c r="B39" s="417">
        <v>0</v>
      </c>
      <c r="C39" s="417">
        <v>912312</v>
      </c>
      <c r="D39" s="285">
        <f t="shared" si="0"/>
        <v>912312</v>
      </c>
      <c r="E39" s="291">
        <f>D39/'- 3 -'!$B39*100</f>
        <v>4.0390924819146399</v>
      </c>
    </row>
    <row r="40" spans="1:5" ht="14.1" customHeight="1" x14ac:dyDescent="0.2">
      <c r="A40" s="19" t="s">
        <v>138</v>
      </c>
      <c r="B40" s="418">
        <v>533741</v>
      </c>
      <c r="C40" s="418">
        <v>4282082</v>
      </c>
      <c r="D40" s="20">
        <f t="shared" si="0"/>
        <v>4815823</v>
      </c>
      <c r="E40" s="70">
        <f>D40/'- 3 -'!$B40*100</f>
        <v>4.4977375996664684</v>
      </c>
    </row>
    <row r="41" spans="1:5" ht="14.1" customHeight="1" x14ac:dyDescent="0.2">
      <c r="A41" s="284" t="s">
        <v>139</v>
      </c>
      <c r="B41" s="417">
        <v>0</v>
      </c>
      <c r="C41" s="417">
        <v>2449831</v>
      </c>
      <c r="D41" s="285">
        <f t="shared" si="0"/>
        <v>2449831</v>
      </c>
      <c r="E41" s="291">
        <f>D41/'- 3 -'!$B41*100</f>
        <v>3.6956046032488747</v>
      </c>
    </row>
    <row r="42" spans="1:5" ht="14.1" customHeight="1" x14ac:dyDescent="0.2">
      <c r="A42" s="19" t="s">
        <v>140</v>
      </c>
      <c r="B42" s="418">
        <v>0</v>
      </c>
      <c r="C42" s="418">
        <v>676629</v>
      </c>
      <c r="D42" s="20">
        <f t="shared" si="0"/>
        <v>676629</v>
      </c>
      <c r="E42" s="70">
        <f>D42/'- 3 -'!$B42*100</f>
        <v>3.2354306067893792</v>
      </c>
    </row>
    <row r="43" spans="1:5" ht="14.1" customHeight="1" x14ac:dyDescent="0.2">
      <c r="A43" s="284" t="s">
        <v>141</v>
      </c>
      <c r="B43" s="417">
        <v>117958</v>
      </c>
      <c r="C43" s="417">
        <v>772027</v>
      </c>
      <c r="D43" s="285">
        <f t="shared" si="0"/>
        <v>889985</v>
      </c>
      <c r="E43" s="291">
        <f>D43/'- 3 -'!$B43*100</f>
        <v>6.4485587264562954</v>
      </c>
    </row>
    <row r="44" spans="1:5" ht="14.1" customHeight="1" x14ac:dyDescent="0.2">
      <c r="A44" s="19" t="s">
        <v>142</v>
      </c>
      <c r="B44" s="418">
        <v>0</v>
      </c>
      <c r="C44" s="418">
        <v>455398</v>
      </c>
      <c r="D44" s="20">
        <f t="shared" si="0"/>
        <v>455398</v>
      </c>
      <c r="E44" s="70">
        <f>D44/'- 3 -'!$B44*100</f>
        <v>4.0264227861518034</v>
      </c>
    </row>
    <row r="45" spans="1:5" ht="14.1" customHeight="1" x14ac:dyDescent="0.2">
      <c r="A45" s="284" t="s">
        <v>143</v>
      </c>
      <c r="B45" s="417">
        <v>0</v>
      </c>
      <c r="C45" s="417">
        <v>784320</v>
      </c>
      <c r="D45" s="285">
        <f t="shared" si="0"/>
        <v>784320</v>
      </c>
      <c r="E45" s="291">
        <f>D45/'- 3 -'!$B45*100</f>
        <v>3.8004638259872903</v>
      </c>
    </row>
    <row r="46" spans="1:5" ht="14.1" customHeight="1" x14ac:dyDescent="0.2">
      <c r="A46" s="19" t="s">
        <v>144</v>
      </c>
      <c r="B46" s="418">
        <v>5750663</v>
      </c>
      <c r="C46" s="418">
        <v>10253704</v>
      </c>
      <c r="D46" s="20">
        <f t="shared" si="0"/>
        <v>16004367</v>
      </c>
      <c r="E46" s="70">
        <f>D46/'- 3 -'!$B46*100</f>
        <v>3.9639771803099029</v>
      </c>
    </row>
    <row r="47" spans="1:5" ht="5.0999999999999996" customHeight="1" x14ac:dyDescent="0.2">
      <c r="A47" s="21"/>
      <c r="B47" s="22"/>
      <c r="C47" s="22"/>
      <c r="D47" s="22"/>
      <c r="E47"/>
    </row>
    <row r="48" spans="1:5" ht="14.1" customHeight="1" x14ac:dyDescent="0.2">
      <c r="A48" s="286" t="s">
        <v>145</v>
      </c>
      <c r="B48" s="421">
        <f>SUM(B11:B46)</f>
        <v>24276128</v>
      </c>
      <c r="C48" s="421">
        <f>SUM(C11:C46)</f>
        <v>74358364.49000001</v>
      </c>
      <c r="D48" s="287">
        <f>SUM(D11:D46)</f>
        <v>98634492.49000001</v>
      </c>
      <c r="E48" s="294">
        <f>D48/'- 3 -'!$B48*100</f>
        <v>4.0789227847896434</v>
      </c>
    </row>
    <row r="49" spans="1:5" ht="5.0999999999999996" customHeight="1" x14ac:dyDescent="0.2">
      <c r="A49" s="21" t="s">
        <v>7</v>
      </c>
      <c r="B49" s="22"/>
      <c r="C49" s="22"/>
      <c r="D49" s="22"/>
      <c r="E49"/>
    </row>
    <row r="50" spans="1:5" ht="14.1" customHeight="1" x14ac:dyDescent="0.2">
      <c r="A50" s="19" t="s">
        <v>146</v>
      </c>
      <c r="B50" s="418">
        <v>0</v>
      </c>
      <c r="C50" s="418">
        <v>526564</v>
      </c>
      <c r="D50" s="20">
        <f t="shared" ref="D50:D51" si="1">+B50+C50</f>
        <v>526564</v>
      </c>
      <c r="E50" s="70">
        <f>D50/'- 3 -'!$B50*100</f>
        <v>15.448079199555242</v>
      </c>
    </row>
    <row r="51" spans="1:5" ht="14.1" customHeight="1" x14ac:dyDescent="0.2">
      <c r="A51" s="284" t="s">
        <v>601</v>
      </c>
      <c r="B51" s="417">
        <v>4856703</v>
      </c>
      <c r="C51" s="417">
        <v>0</v>
      </c>
      <c r="D51" s="285">
        <f t="shared" si="1"/>
        <v>4856703</v>
      </c>
      <c r="E51" s="291">
        <f>D51/'- 3 -'!$B51*100</f>
        <v>15.332014284868695</v>
      </c>
    </row>
    <row r="52" spans="1:5" ht="50.1" customHeight="1" x14ac:dyDescent="0.2">
      <c r="A52" s="23"/>
      <c r="B52" s="23"/>
      <c r="C52" s="23"/>
      <c r="D52" s="23"/>
      <c r="E52" s="23"/>
    </row>
    <row r="53" spans="1:5" x14ac:dyDescent="0.2">
      <c r="A53" s="38" t="s">
        <v>382</v>
      </c>
      <c r="B53" s="184"/>
      <c r="C53" s="184"/>
      <c r="D53" s="184"/>
      <c r="E53" s="184"/>
    </row>
    <row r="54" spans="1:5" x14ac:dyDescent="0.2">
      <c r="A54" s="626" t="s">
        <v>530</v>
      </c>
      <c r="B54" s="626"/>
      <c r="C54" s="626"/>
      <c r="D54" s="626"/>
      <c r="E54" s="626"/>
    </row>
    <row r="55" spans="1:5" ht="12" customHeight="1" x14ac:dyDescent="0.2">
      <c r="A55" s="626"/>
      <c r="B55" s="626"/>
      <c r="C55" s="626"/>
      <c r="D55" s="626"/>
      <c r="E55" s="626"/>
    </row>
    <row r="56" spans="1:5" ht="12" customHeight="1" x14ac:dyDescent="0.2">
      <c r="A56" s="626" t="s">
        <v>529</v>
      </c>
      <c r="B56" s="626"/>
      <c r="C56" s="626"/>
      <c r="D56" s="626"/>
      <c r="E56" s="626"/>
    </row>
    <row r="57" spans="1:5" ht="12" customHeight="1" x14ac:dyDescent="0.2">
      <c r="A57" s="626"/>
      <c r="B57" s="626"/>
      <c r="C57" s="626"/>
      <c r="D57" s="626"/>
      <c r="E57" s="626"/>
    </row>
    <row r="58" spans="1:5" ht="15" x14ac:dyDescent="0.25">
      <c r="A58" s="525"/>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54"/>
  <sheetViews>
    <sheetView showGridLines="0" showZeros="0" workbookViewId="0"/>
  </sheetViews>
  <sheetFormatPr defaultColWidth="12.83203125" defaultRowHeight="12" x14ac:dyDescent="0.2"/>
  <cols>
    <col min="1" max="1" width="29.83203125" style="2" customWidth="1"/>
    <col min="2" max="8" width="14.83203125" style="2" customWidth="1"/>
    <col min="9" max="16384" width="12.83203125" style="2"/>
  </cols>
  <sheetData>
    <row r="1" spans="1:8" ht="6.95" customHeight="1" x14ac:dyDescent="0.2">
      <c r="A1" s="7"/>
      <c r="B1" s="89"/>
      <c r="C1" s="89"/>
      <c r="D1" s="89"/>
      <c r="E1" s="89"/>
      <c r="F1" s="89"/>
      <c r="G1" s="89"/>
      <c r="H1" s="89"/>
    </row>
    <row r="2" spans="1:8" ht="15.95" customHeight="1" x14ac:dyDescent="0.2">
      <c r="A2" s="63"/>
      <c r="B2" s="90" t="s">
        <v>81</v>
      </c>
      <c r="C2" s="91"/>
      <c r="D2" s="91"/>
      <c r="E2" s="91"/>
      <c r="F2" s="91"/>
      <c r="G2" s="91"/>
      <c r="H2" s="92" t="s">
        <v>82</v>
      </c>
    </row>
    <row r="3" spans="1:8" ht="15.95" customHeight="1" x14ac:dyDescent="0.2">
      <c r="A3" s="542"/>
      <c r="B3" s="93" t="str">
        <f>"ACTUAL SEPTEMBER 30, "&amp;FALLYR</f>
        <v>ACTUAL SEPTEMBER 30, 2018</v>
      </c>
      <c r="C3" s="94"/>
      <c r="D3" s="95"/>
      <c r="E3" s="94"/>
      <c r="F3" s="95"/>
      <c r="G3" s="94"/>
      <c r="H3" s="96"/>
    </row>
    <row r="4" spans="1:8" ht="15.95" customHeight="1" x14ac:dyDescent="0.2">
      <c r="B4" s="89"/>
      <c r="C4" s="89"/>
      <c r="D4" s="89"/>
      <c r="E4" s="89"/>
      <c r="F4" s="89"/>
      <c r="G4" s="97"/>
      <c r="H4" s="89"/>
    </row>
    <row r="5" spans="1:8" ht="15.95" customHeight="1" x14ac:dyDescent="0.2">
      <c r="B5" s="89"/>
      <c r="C5" s="89"/>
      <c r="D5" s="89"/>
      <c r="E5" s="89"/>
      <c r="F5" s="89"/>
      <c r="G5" s="89"/>
      <c r="H5" s="89"/>
    </row>
    <row r="6" spans="1:8" ht="15.95" customHeight="1" x14ac:dyDescent="0.2">
      <c r="B6" s="288" t="s">
        <v>26</v>
      </c>
      <c r="C6" s="289"/>
      <c r="D6" s="289"/>
      <c r="E6" s="289"/>
      <c r="F6" s="289"/>
      <c r="G6" s="289"/>
      <c r="H6" s="290"/>
    </row>
    <row r="7" spans="1:8" ht="15.95" customHeight="1" x14ac:dyDescent="0.2">
      <c r="B7" s="98" t="s">
        <v>236</v>
      </c>
      <c r="C7" s="99"/>
      <c r="D7" s="99"/>
      <c r="E7" s="100" t="s">
        <v>237</v>
      </c>
      <c r="F7" s="99"/>
      <c r="G7" s="99"/>
      <c r="H7" s="101"/>
    </row>
    <row r="8" spans="1:8" ht="15.95" customHeight="1" x14ac:dyDescent="0.2">
      <c r="A8" s="102"/>
      <c r="B8" s="615" t="s">
        <v>20</v>
      </c>
      <c r="C8" s="103" t="s">
        <v>7</v>
      </c>
      <c r="D8" s="617" t="s">
        <v>22</v>
      </c>
      <c r="E8" s="619" t="s">
        <v>20</v>
      </c>
      <c r="F8" s="103" t="s">
        <v>7</v>
      </c>
      <c r="G8" s="621" t="s">
        <v>22</v>
      </c>
      <c r="H8" s="621" t="s">
        <v>452</v>
      </c>
    </row>
    <row r="9" spans="1:8" ht="15.95" customHeight="1" x14ac:dyDescent="0.2">
      <c r="A9" s="104" t="s">
        <v>42</v>
      </c>
      <c r="B9" s="616"/>
      <c r="C9" s="105" t="s">
        <v>21</v>
      </c>
      <c r="D9" s="618"/>
      <c r="E9" s="620"/>
      <c r="F9" s="105" t="s">
        <v>21</v>
      </c>
      <c r="G9" s="622"/>
      <c r="H9" s="622"/>
    </row>
    <row r="10" spans="1:8" ht="5.0999999999999996" customHeight="1" x14ac:dyDescent="0.2">
      <c r="A10" s="6"/>
      <c r="B10" s="85"/>
      <c r="C10" s="85"/>
      <c r="D10" s="85"/>
      <c r="E10" s="85"/>
      <c r="F10" s="85"/>
      <c r="G10" s="85"/>
      <c r="H10" s="85"/>
    </row>
    <row r="11" spans="1:8" ht="14.1" customHeight="1" x14ac:dyDescent="0.2">
      <c r="A11" s="284" t="s">
        <v>110</v>
      </c>
      <c r="B11" s="291">
        <v>1813</v>
      </c>
      <c r="C11" s="291">
        <v>0</v>
      </c>
      <c r="D11" s="292">
        <v>0</v>
      </c>
      <c r="E11" s="293">
        <v>0</v>
      </c>
      <c r="F11" s="291">
        <v>0</v>
      </c>
      <c r="G11" s="291">
        <v>0</v>
      </c>
      <c r="H11" s="291">
        <v>0</v>
      </c>
    </row>
    <row r="12" spans="1:8" ht="14.1" customHeight="1" x14ac:dyDescent="0.2">
      <c r="A12" s="19" t="s">
        <v>111</v>
      </c>
      <c r="B12" s="70">
        <v>1347.56</v>
      </c>
      <c r="C12" s="70">
        <v>0</v>
      </c>
      <c r="D12" s="106">
        <v>0</v>
      </c>
      <c r="E12" s="107">
        <v>497</v>
      </c>
      <c r="F12" s="70">
        <v>0</v>
      </c>
      <c r="G12" s="70">
        <v>136</v>
      </c>
      <c r="H12" s="70">
        <v>0</v>
      </c>
    </row>
    <row r="13" spans="1:8" ht="14.1" customHeight="1" x14ac:dyDescent="0.2">
      <c r="A13" s="284" t="s">
        <v>112</v>
      </c>
      <c r="B13" s="291">
        <v>6374.5</v>
      </c>
      <c r="C13" s="291">
        <v>0</v>
      </c>
      <c r="D13" s="292">
        <v>335</v>
      </c>
      <c r="E13" s="293">
        <v>974.5</v>
      </c>
      <c r="F13" s="291">
        <v>0</v>
      </c>
      <c r="G13" s="291">
        <v>461</v>
      </c>
      <c r="H13" s="291">
        <v>0</v>
      </c>
    </row>
    <row r="14" spans="1:8" ht="14.1" customHeight="1" x14ac:dyDescent="0.2">
      <c r="A14" s="19" t="s">
        <v>359</v>
      </c>
      <c r="B14" s="70">
        <v>0</v>
      </c>
      <c r="C14" s="70">
        <v>5388.3</v>
      </c>
      <c r="D14" s="106">
        <v>0</v>
      </c>
      <c r="E14" s="107">
        <v>0</v>
      </c>
      <c r="F14" s="70">
        <v>0</v>
      </c>
      <c r="G14" s="70">
        <v>0</v>
      </c>
      <c r="H14" s="70">
        <v>0</v>
      </c>
    </row>
    <row r="15" spans="1:8" ht="14.1" customHeight="1" x14ac:dyDescent="0.2">
      <c r="A15" s="284" t="s">
        <v>113</v>
      </c>
      <c r="B15" s="291">
        <v>1392.4</v>
      </c>
      <c r="C15" s="291">
        <v>0</v>
      </c>
      <c r="D15" s="292">
        <v>0</v>
      </c>
      <c r="E15" s="293">
        <v>0</v>
      </c>
      <c r="F15" s="291">
        <v>0</v>
      </c>
      <c r="G15" s="291">
        <v>0</v>
      </c>
      <c r="H15" s="291">
        <v>0</v>
      </c>
    </row>
    <row r="16" spans="1:8" ht="14.1" customHeight="1" x14ac:dyDescent="0.2">
      <c r="A16" s="19" t="s">
        <v>114</v>
      </c>
      <c r="B16" s="70">
        <v>535.9</v>
      </c>
      <c r="C16" s="70">
        <v>0</v>
      </c>
      <c r="D16" s="106">
        <v>0</v>
      </c>
      <c r="E16" s="107">
        <v>250</v>
      </c>
      <c r="F16" s="70">
        <v>0</v>
      </c>
      <c r="G16" s="70">
        <v>118</v>
      </c>
      <c r="H16" s="70">
        <v>0</v>
      </c>
    </row>
    <row r="17" spans="1:8" ht="14.1" customHeight="1" x14ac:dyDescent="0.2">
      <c r="A17" s="284" t="s">
        <v>115</v>
      </c>
      <c r="B17" s="291">
        <v>1409.9</v>
      </c>
      <c r="C17" s="291">
        <v>0</v>
      </c>
      <c r="D17" s="292">
        <v>0</v>
      </c>
      <c r="E17" s="293">
        <v>0</v>
      </c>
      <c r="F17" s="291">
        <v>0</v>
      </c>
      <c r="G17" s="291">
        <v>0</v>
      </c>
      <c r="H17" s="291">
        <v>0</v>
      </c>
    </row>
    <row r="18" spans="1:8" ht="14.1" customHeight="1" x14ac:dyDescent="0.2">
      <c r="A18" s="19" t="s">
        <v>116</v>
      </c>
      <c r="B18" s="70">
        <v>5966.3</v>
      </c>
      <c r="C18" s="70">
        <v>0</v>
      </c>
      <c r="D18" s="106">
        <v>0</v>
      </c>
      <c r="E18" s="107">
        <v>0</v>
      </c>
      <c r="F18" s="70">
        <v>0</v>
      </c>
      <c r="G18" s="70">
        <v>0</v>
      </c>
      <c r="H18" s="70">
        <v>0</v>
      </c>
    </row>
    <row r="19" spans="1:8" ht="14.1" customHeight="1" x14ac:dyDescent="0.2">
      <c r="A19" s="284" t="s">
        <v>117</v>
      </c>
      <c r="B19" s="291">
        <v>4288.6000000000004</v>
      </c>
      <c r="C19" s="291">
        <v>0</v>
      </c>
      <c r="D19" s="292">
        <v>0</v>
      </c>
      <c r="E19" s="293">
        <v>0</v>
      </c>
      <c r="F19" s="291">
        <v>0</v>
      </c>
      <c r="G19" s="291">
        <v>0</v>
      </c>
      <c r="H19" s="291">
        <v>0</v>
      </c>
    </row>
    <row r="20" spans="1:8" ht="14.1" customHeight="1" x14ac:dyDescent="0.2">
      <c r="A20" s="19" t="s">
        <v>118</v>
      </c>
      <c r="B20" s="70">
        <v>7342.5</v>
      </c>
      <c r="C20" s="70">
        <v>0</v>
      </c>
      <c r="D20" s="106">
        <v>0</v>
      </c>
      <c r="E20" s="107">
        <v>0</v>
      </c>
      <c r="F20" s="70">
        <v>0</v>
      </c>
      <c r="G20" s="70">
        <v>0</v>
      </c>
      <c r="H20" s="70">
        <v>0</v>
      </c>
    </row>
    <row r="21" spans="1:8" ht="14.1" customHeight="1" x14ac:dyDescent="0.2">
      <c r="A21" s="284" t="s">
        <v>119</v>
      </c>
      <c r="B21" s="291">
        <v>2086.8000000000002</v>
      </c>
      <c r="C21" s="291">
        <v>0</v>
      </c>
      <c r="D21" s="292">
        <v>0</v>
      </c>
      <c r="E21" s="293">
        <v>463</v>
      </c>
      <c r="F21" s="291">
        <v>0</v>
      </c>
      <c r="G21" s="291">
        <v>292</v>
      </c>
      <c r="H21" s="291">
        <v>0</v>
      </c>
    </row>
    <row r="22" spans="1:8" ht="14.1" customHeight="1" x14ac:dyDescent="0.2">
      <c r="A22" s="19" t="s">
        <v>120</v>
      </c>
      <c r="B22" s="70">
        <v>814.6</v>
      </c>
      <c r="C22" s="70">
        <v>0</v>
      </c>
      <c r="D22" s="106">
        <v>0</v>
      </c>
      <c r="E22" s="107">
        <v>496</v>
      </c>
      <c r="F22" s="70">
        <v>0</v>
      </c>
      <c r="G22" s="70">
        <v>158</v>
      </c>
      <c r="H22" s="70">
        <v>0</v>
      </c>
    </row>
    <row r="23" spans="1:8" ht="14.1" customHeight="1" x14ac:dyDescent="0.2">
      <c r="A23" s="284" t="s">
        <v>121</v>
      </c>
      <c r="B23" s="291">
        <v>948.5</v>
      </c>
      <c r="C23" s="291">
        <v>0</v>
      </c>
      <c r="D23" s="292">
        <v>0</v>
      </c>
      <c r="E23" s="293">
        <v>0</v>
      </c>
      <c r="F23" s="291">
        <v>0</v>
      </c>
      <c r="G23" s="291">
        <v>0</v>
      </c>
      <c r="H23" s="291">
        <v>0</v>
      </c>
    </row>
    <row r="24" spans="1:8" ht="14.1" customHeight="1" x14ac:dyDescent="0.2">
      <c r="A24" s="19" t="s">
        <v>122</v>
      </c>
      <c r="B24" s="70">
        <v>2720.1</v>
      </c>
      <c r="C24" s="70">
        <v>0</v>
      </c>
      <c r="D24" s="106">
        <v>235.5</v>
      </c>
      <c r="E24" s="107">
        <v>473.5</v>
      </c>
      <c r="F24" s="70">
        <v>0</v>
      </c>
      <c r="G24" s="70">
        <v>110</v>
      </c>
      <c r="H24" s="70">
        <v>83.5</v>
      </c>
    </row>
    <row r="25" spans="1:8" ht="14.1" customHeight="1" x14ac:dyDescent="0.2">
      <c r="A25" s="284" t="s">
        <v>123</v>
      </c>
      <c r="B25" s="291">
        <v>9658.7999999999993</v>
      </c>
      <c r="C25" s="291">
        <v>0</v>
      </c>
      <c r="D25" s="292">
        <v>4451.2</v>
      </c>
      <c r="E25" s="293">
        <v>360</v>
      </c>
      <c r="F25" s="291">
        <v>0</v>
      </c>
      <c r="G25" s="291">
        <v>317</v>
      </c>
      <c r="H25" s="291">
        <v>0</v>
      </c>
    </row>
    <row r="26" spans="1:8" ht="14.1" customHeight="1" x14ac:dyDescent="0.2">
      <c r="A26" s="19" t="s">
        <v>124</v>
      </c>
      <c r="B26" s="70">
        <v>2184.8000000000002</v>
      </c>
      <c r="C26" s="70">
        <v>0</v>
      </c>
      <c r="D26" s="106">
        <v>158</v>
      </c>
      <c r="E26" s="107">
        <v>367</v>
      </c>
      <c r="F26" s="70">
        <v>0</v>
      </c>
      <c r="G26" s="70">
        <v>86</v>
      </c>
      <c r="H26" s="70">
        <v>73.5</v>
      </c>
    </row>
    <row r="27" spans="1:8" ht="14.1" customHeight="1" x14ac:dyDescent="0.2">
      <c r="A27" s="284" t="s">
        <v>125</v>
      </c>
      <c r="B27" s="291">
        <v>2478.5</v>
      </c>
      <c r="C27" s="291">
        <v>0</v>
      </c>
      <c r="D27" s="292">
        <v>0</v>
      </c>
      <c r="E27" s="293">
        <v>101</v>
      </c>
      <c r="F27" s="291">
        <v>0</v>
      </c>
      <c r="G27" s="291">
        <v>238</v>
      </c>
      <c r="H27" s="291">
        <v>0</v>
      </c>
    </row>
    <row r="28" spans="1:8" ht="14.1" customHeight="1" x14ac:dyDescent="0.2">
      <c r="A28" s="19" t="s">
        <v>126</v>
      </c>
      <c r="B28" s="70">
        <v>1970</v>
      </c>
      <c r="C28" s="70">
        <v>0</v>
      </c>
      <c r="D28" s="106">
        <v>0</v>
      </c>
      <c r="E28" s="107">
        <v>0</v>
      </c>
      <c r="F28" s="70">
        <v>0</v>
      </c>
      <c r="G28" s="70">
        <v>0</v>
      </c>
      <c r="H28" s="70">
        <v>0</v>
      </c>
    </row>
    <row r="29" spans="1:8" ht="14.1" customHeight="1" x14ac:dyDescent="0.2">
      <c r="A29" s="284" t="s">
        <v>127</v>
      </c>
      <c r="B29" s="291">
        <v>8184.1</v>
      </c>
      <c r="C29" s="291">
        <v>0</v>
      </c>
      <c r="D29" s="292">
        <v>1241.5</v>
      </c>
      <c r="E29" s="293">
        <v>2664.4</v>
      </c>
      <c r="F29" s="291">
        <v>0</v>
      </c>
      <c r="G29" s="291">
        <v>1782.5</v>
      </c>
      <c r="H29" s="291">
        <v>0</v>
      </c>
    </row>
    <row r="30" spans="1:8" ht="14.1" customHeight="1" x14ac:dyDescent="0.2">
      <c r="A30" s="19" t="s">
        <v>128</v>
      </c>
      <c r="B30" s="70">
        <v>1023.5</v>
      </c>
      <c r="C30" s="70">
        <v>0</v>
      </c>
      <c r="D30" s="106">
        <v>0</v>
      </c>
      <c r="E30" s="107">
        <v>0</v>
      </c>
      <c r="F30" s="70">
        <v>0</v>
      </c>
      <c r="G30" s="70">
        <v>0</v>
      </c>
      <c r="H30" s="70">
        <v>0</v>
      </c>
    </row>
    <row r="31" spans="1:8" ht="14.1" customHeight="1" x14ac:dyDescent="0.2">
      <c r="A31" s="284" t="s">
        <v>129</v>
      </c>
      <c r="B31" s="291">
        <v>2480</v>
      </c>
      <c r="C31" s="291">
        <v>0</v>
      </c>
      <c r="D31" s="292">
        <v>0</v>
      </c>
      <c r="E31" s="293">
        <v>474.5</v>
      </c>
      <c r="F31" s="291">
        <v>0</v>
      </c>
      <c r="G31" s="291">
        <v>288</v>
      </c>
      <c r="H31" s="291">
        <v>0</v>
      </c>
    </row>
    <row r="32" spans="1:8" ht="14.1" customHeight="1" x14ac:dyDescent="0.2">
      <c r="A32" s="19" t="s">
        <v>130</v>
      </c>
      <c r="B32" s="70">
        <v>1928</v>
      </c>
      <c r="C32" s="70">
        <v>0</v>
      </c>
      <c r="D32" s="106">
        <v>129.5</v>
      </c>
      <c r="E32" s="107">
        <v>112</v>
      </c>
      <c r="F32" s="70">
        <v>0</v>
      </c>
      <c r="G32" s="70">
        <v>57</v>
      </c>
      <c r="H32" s="70">
        <v>0</v>
      </c>
    </row>
    <row r="33" spans="1:10" ht="14.1" customHeight="1" x14ac:dyDescent="0.2">
      <c r="A33" s="284" t="s">
        <v>131</v>
      </c>
      <c r="B33" s="291">
        <v>1609.6999999999998</v>
      </c>
      <c r="C33" s="291">
        <v>0</v>
      </c>
      <c r="D33" s="292">
        <v>0</v>
      </c>
      <c r="E33" s="293">
        <v>216</v>
      </c>
      <c r="F33" s="291">
        <v>117</v>
      </c>
      <c r="G33" s="291">
        <v>105.5</v>
      </c>
      <c r="H33" s="291">
        <v>0</v>
      </c>
    </row>
    <row r="34" spans="1:10" ht="14.1" customHeight="1" x14ac:dyDescent="0.2">
      <c r="A34" s="19" t="s">
        <v>132</v>
      </c>
      <c r="B34" s="70">
        <v>1668.75</v>
      </c>
      <c r="C34" s="70">
        <v>0</v>
      </c>
      <c r="D34" s="106">
        <v>254.5</v>
      </c>
      <c r="E34" s="107">
        <v>73.5</v>
      </c>
      <c r="F34" s="70">
        <v>158.5</v>
      </c>
      <c r="G34" s="70">
        <v>0</v>
      </c>
      <c r="H34" s="70">
        <v>0</v>
      </c>
    </row>
    <row r="35" spans="1:10" ht="14.1" customHeight="1" x14ac:dyDescent="0.2">
      <c r="A35" s="284" t="s">
        <v>133</v>
      </c>
      <c r="B35" s="291">
        <v>9387.5</v>
      </c>
      <c r="C35" s="291">
        <v>0</v>
      </c>
      <c r="D35" s="292">
        <v>1319.5</v>
      </c>
      <c r="E35" s="293">
        <v>2419</v>
      </c>
      <c r="F35" s="291">
        <v>0</v>
      </c>
      <c r="G35" s="291">
        <v>1861.5</v>
      </c>
      <c r="H35" s="291">
        <v>374.5</v>
      </c>
    </row>
    <row r="36" spans="1:10" ht="14.1" customHeight="1" x14ac:dyDescent="0.2">
      <c r="A36" s="19" t="s">
        <v>134</v>
      </c>
      <c r="B36" s="70">
        <v>1671.3</v>
      </c>
      <c r="C36" s="70">
        <v>0</v>
      </c>
      <c r="D36" s="106">
        <v>0</v>
      </c>
      <c r="E36" s="107">
        <v>0</v>
      </c>
      <c r="F36" s="70">
        <v>0</v>
      </c>
      <c r="G36" s="70">
        <v>0</v>
      </c>
      <c r="H36" s="70">
        <v>0</v>
      </c>
    </row>
    <row r="37" spans="1:10" ht="14.1" customHeight="1" x14ac:dyDescent="0.2">
      <c r="A37" s="284" t="s">
        <v>135</v>
      </c>
      <c r="B37" s="291">
        <v>2172</v>
      </c>
      <c r="C37" s="291">
        <v>0</v>
      </c>
      <c r="D37" s="292">
        <v>768.5</v>
      </c>
      <c r="E37" s="293">
        <v>787</v>
      </c>
      <c r="F37" s="291">
        <v>0</v>
      </c>
      <c r="G37" s="291">
        <v>609.5</v>
      </c>
      <c r="H37" s="291">
        <v>0</v>
      </c>
    </row>
    <row r="38" spans="1:10" ht="14.1" customHeight="1" x14ac:dyDescent="0.2">
      <c r="A38" s="19" t="s">
        <v>136</v>
      </c>
      <c r="B38" s="70">
        <v>6615</v>
      </c>
      <c r="C38" s="70">
        <v>0</v>
      </c>
      <c r="D38" s="106">
        <v>618.5</v>
      </c>
      <c r="E38" s="107">
        <v>2340.8000000000002</v>
      </c>
      <c r="F38" s="70">
        <v>0</v>
      </c>
      <c r="G38" s="70">
        <v>1334</v>
      </c>
      <c r="H38" s="70">
        <v>227.5</v>
      </c>
    </row>
    <row r="39" spans="1:10" ht="14.1" customHeight="1" x14ac:dyDescent="0.2">
      <c r="A39" s="284" t="s">
        <v>137</v>
      </c>
      <c r="B39" s="291">
        <v>1503</v>
      </c>
      <c r="C39" s="291">
        <v>0</v>
      </c>
      <c r="D39" s="292">
        <v>0</v>
      </c>
      <c r="E39" s="293">
        <v>0</v>
      </c>
      <c r="F39" s="291">
        <v>0</v>
      </c>
      <c r="G39" s="291">
        <v>0</v>
      </c>
      <c r="H39" s="291">
        <v>0</v>
      </c>
    </row>
    <row r="40" spans="1:10" ht="14.1" customHeight="1" x14ac:dyDescent="0.2">
      <c r="A40" s="19" t="s">
        <v>138</v>
      </c>
      <c r="B40" s="70">
        <v>5607.19</v>
      </c>
      <c r="C40" s="70">
        <v>0</v>
      </c>
      <c r="D40" s="106">
        <v>1354</v>
      </c>
      <c r="E40" s="107">
        <v>701.76</v>
      </c>
      <c r="F40" s="70">
        <v>0</v>
      </c>
      <c r="G40" s="70">
        <v>306</v>
      </c>
      <c r="H40" s="70">
        <v>0</v>
      </c>
    </row>
    <row r="41" spans="1:10" ht="14.1" customHeight="1" x14ac:dyDescent="0.2">
      <c r="A41" s="284" t="s">
        <v>139</v>
      </c>
      <c r="B41" s="291">
        <v>2058.5</v>
      </c>
      <c r="C41" s="291">
        <v>0</v>
      </c>
      <c r="D41" s="292">
        <v>0</v>
      </c>
      <c r="E41" s="293">
        <v>1606.5</v>
      </c>
      <c r="F41" s="291">
        <v>0</v>
      </c>
      <c r="G41" s="291">
        <v>710.5</v>
      </c>
      <c r="H41" s="291">
        <v>77</v>
      </c>
    </row>
    <row r="42" spans="1:10" ht="14.1" customHeight="1" x14ac:dyDescent="0.2">
      <c r="A42" s="19" t="s">
        <v>140</v>
      </c>
      <c r="B42" s="70">
        <v>980</v>
      </c>
      <c r="C42" s="70">
        <v>0</v>
      </c>
      <c r="D42" s="106">
        <v>0</v>
      </c>
      <c r="E42" s="107">
        <v>198.3</v>
      </c>
      <c r="F42" s="70">
        <v>0</v>
      </c>
      <c r="G42" s="70">
        <v>73.2</v>
      </c>
      <c r="H42" s="70">
        <v>0</v>
      </c>
    </row>
    <row r="43" spans="1:10" ht="14.1" customHeight="1" x14ac:dyDescent="0.2">
      <c r="A43" s="284" t="s">
        <v>141</v>
      </c>
      <c r="B43" s="291">
        <v>980.5</v>
      </c>
      <c r="C43" s="291">
        <v>0</v>
      </c>
      <c r="D43" s="292">
        <v>0</v>
      </c>
      <c r="E43" s="293">
        <v>0</v>
      </c>
      <c r="F43" s="291">
        <v>0</v>
      </c>
      <c r="G43" s="291">
        <v>0</v>
      </c>
      <c r="H43" s="291">
        <v>0</v>
      </c>
    </row>
    <row r="44" spans="1:10" ht="14.1" customHeight="1" x14ac:dyDescent="0.2">
      <c r="A44" s="19" t="s">
        <v>142</v>
      </c>
      <c r="B44" s="70">
        <v>665.5</v>
      </c>
      <c r="C44" s="70">
        <v>0</v>
      </c>
      <c r="D44" s="106">
        <v>44.5</v>
      </c>
      <c r="E44" s="107">
        <v>0</v>
      </c>
      <c r="F44" s="70">
        <v>0</v>
      </c>
      <c r="G44" s="70">
        <v>0</v>
      </c>
      <c r="H44" s="70">
        <v>0</v>
      </c>
    </row>
    <row r="45" spans="1:10" ht="14.1" customHeight="1" x14ac:dyDescent="0.2">
      <c r="A45" s="284" t="s">
        <v>143</v>
      </c>
      <c r="B45" s="291">
        <v>776</v>
      </c>
      <c r="C45" s="291">
        <v>0</v>
      </c>
      <c r="D45" s="292">
        <v>0</v>
      </c>
      <c r="E45" s="293">
        <v>738.5</v>
      </c>
      <c r="F45" s="291">
        <v>0</v>
      </c>
      <c r="G45" s="291">
        <v>264</v>
      </c>
      <c r="H45" s="291">
        <v>0</v>
      </c>
    </row>
    <row r="46" spans="1:10" ht="14.1" customHeight="1" x14ac:dyDescent="0.2">
      <c r="A46" s="19" t="s">
        <v>144</v>
      </c>
      <c r="B46" s="70">
        <v>19975</v>
      </c>
      <c r="C46" s="70">
        <v>0</v>
      </c>
      <c r="D46" s="106">
        <v>1403</v>
      </c>
      <c r="E46" s="107">
        <v>4653.5</v>
      </c>
      <c r="F46" s="70">
        <v>0</v>
      </c>
      <c r="G46" s="70">
        <v>2930</v>
      </c>
      <c r="H46" s="70">
        <v>235.5</v>
      </c>
    </row>
    <row r="47" spans="1:10" ht="5.0999999999999996" customHeight="1" x14ac:dyDescent="0.2">
      <c r="A47"/>
      <c r="B47"/>
      <c r="C47"/>
      <c r="D47"/>
      <c r="E47"/>
      <c r="F47"/>
      <c r="G47"/>
      <c r="H47"/>
      <c r="I47"/>
      <c r="J47"/>
    </row>
    <row r="48" spans="1:10" ht="14.1" customHeight="1" x14ac:dyDescent="0.2">
      <c r="A48" s="286" t="s">
        <v>145</v>
      </c>
      <c r="B48" s="294">
        <f t="shared" ref="B48:H48" si="0">SUM(B11:B46)</f>
        <v>122618.29999999999</v>
      </c>
      <c r="C48" s="294">
        <f t="shared" si="0"/>
        <v>5388.3</v>
      </c>
      <c r="D48" s="295">
        <f t="shared" si="0"/>
        <v>12313.2</v>
      </c>
      <c r="E48" s="296">
        <f t="shared" si="0"/>
        <v>20967.760000000002</v>
      </c>
      <c r="F48" s="294">
        <f t="shared" si="0"/>
        <v>275.5</v>
      </c>
      <c r="G48" s="294">
        <f t="shared" si="0"/>
        <v>12237.7</v>
      </c>
      <c r="H48" s="294">
        <f t="shared" si="0"/>
        <v>1071.5</v>
      </c>
    </row>
    <row r="49" spans="1:8" ht="5.0999999999999996" customHeight="1" x14ac:dyDescent="0.2">
      <c r="A49" s="21" t="s">
        <v>7</v>
      </c>
      <c r="B49" s="71"/>
      <c r="C49" s="71"/>
      <c r="D49" s="71"/>
      <c r="E49" s="71"/>
      <c r="F49" s="71"/>
      <c r="G49" s="71"/>
      <c r="H49" s="71"/>
    </row>
    <row r="50" spans="1:8" ht="14.1" customHeight="1" x14ac:dyDescent="0.2">
      <c r="A50" s="19" t="s">
        <v>146</v>
      </c>
      <c r="B50" s="70">
        <v>180.5</v>
      </c>
      <c r="C50" s="70">
        <v>0</v>
      </c>
      <c r="D50" s="106">
        <v>0</v>
      </c>
      <c r="E50" s="107">
        <v>0</v>
      </c>
      <c r="F50" s="70">
        <v>0</v>
      </c>
      <c r="G50" s="70">
        <v>0</v>
      </c>
      <c r="H50" s="70">
        <v>0</v>
      </c>
    </row>
    <row r="51" spans="1:8" ht="14.1" customHeight="1" x14ac:dyDescent="0.2">
      <c r="A51" s="284" t="s">
        <v>601</v>
      </c>
      <c r="B51" s="291">
        <v>131</v>
      </c>
      <c r="C51" s="291">
        <v>0</v>
      </c>
      <c r="D51" s="292">
        <v>0</v>
      </c>
      <c r="E51" s="293">
        <v>0</v>
      </c>
      <c r="F51" s="291">
        <v>0</v>
      </c>
      <c r="G51" s="291">
        <v>0</v>
      </c>
      <c r="H51" s="291">
        <v>0</v>
      </c>
    </row>
    <row r="52" spans="1:8" ht="50.1" customHeight="1" x14ac:dyDescent="0.2">
      <c r="A52" s="23"/>
      <c r="B52" s="108"/>
      <c r="C52" s="108"/>
      <c r="D52" s="108"/>
      <c r="E52" s="108"/>
      <c r="F52" s="108"/>
      <c r="G52" s="108"/>
      <c r="H52" s="108"/>
    </row>
    <row r="53" spans="1:8" ht="15" customHeight="1" x14ac:dyDescent="0.2">
      <c r="A53" s="85" t="s">
        <v>337</v>
      </c>
      <c r="C53" s="85"/>
      <c r="D53" s="85"/>
      <c r="E53" s="85"/>
      <c r="F53" s="85"/>
      <c r="G53" s="85"/>
      <c r="H53" s="85"/>
    </row>
    <row r="54" spans="1:8" ht="12" customHeight="1" x14ac:dyDescent="0.2">
      <c r="A54" s="85" t="s">
        <v>338</v>
      </c>
      <c r="C54" s="85"/>
      <c r="D54" s="85"/>
      <c r="E54" s="85"/>
      <c r="F54" s="85"/>
      <c r="G54" s="85"/>
      <c r="H54" s="85"/>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F56"/>
  <sheetViews>
    <sheetView showGridLines="0" showZeros="0" workbookViewId="0"/>
  </sheetViews>
  <sheetFormatPr defaultColWidth="19.83203125" defaultRowHeight="12" x14ac:dyDescent="0.2"/>
  <cols>
    <col min="1" max="1" width="34.83203125" style="2" customWidth="1"/>
    <col min="2" max="2" width="19.83203125" style="2" customWidth="1"/>
    <col min="3" max="4" width="19.33203125" style="2" customWidth="1"/>
    <col min="5" max="16384" width="19.83203125" style="2"/>
  </cols>
  <sheetData>
    <row r="1" spans="1:6" ht="6.95" customHeight="1" x14ac:dyDescent="0.2">
      <c r="A1" s="7"/>
    </row>
    <row r="2" spans="1:6" ht="15.95" customHeight="1" x14ac:dyDescent="0.2">
      <c r="A2" s="134"/>
      <c r="B2" s="742" t="str">
        <f>'- 46 -'!B2:C3</f>
        <v>CAPITAL FUND 2018/2019 ACTUAL</v>
      </c>
      <c r="C2" s="742"/>
      <c r="D2" s="742"/>
      <c r="E2" s="742"/>
      <c r="F2" s="231" t="s">
        <v>253</v>
      </c>
    </row>
    <row r="3" spans="1:6" ht="15.95" customHeight="1" x14ac:dyDescent="0.2">
      <c r="A3" s="541"/>
      <c r="B3" s="743" t="s">
        <v>148</v>
      </c>
      <c r="C3" s="743"/>
      <c r="D3" s="743"/>
      <c r="E3" s="743"/>
      <c r="F3" s="226"/>
    </row>
    <row r="4" spans="1:6" ht="15.95" customHeight="1" x14ac:dyDescent="0.2">
      <c r="B4" s="8"/>
      <c r="C4" s="8"/>
      <c r="D4" s="8"/>
      <c r="E4" s="8"/>
    </row>
    <row r="5" spans="1:6" ht="15.95" customHeight="1" x14ac:dyDescent="0.2">
      <c r="B5" s="8"/>
      <c r="C5" s="8"/>
      <c r="D5" s="8"/>
      <c r="E5" s="8"/>
    </row>
    <row r="6" spans="1:6" ht="15.95" customHeight="1" x14ac:dyDescent="0.2">
      <c r="B6" s="405" t="s">
        <v>1</v>
      </c>
      <c r="C6" s="173"/>
      <c r="D6" s="444"/>
      <c r="E6" s="174"/>
    </row>
    <row r="7" spans="1:6" ht="15.95" customHeight="1" x14ac:dyDescent="0.2">
      <c r="B7" s="406"/>
      <c r="C7" s="406"/>
      <c r="D7" s="746" t="s">
        <v>532</v>
      </c>
      <c r="E7" s="406"/>
    </row>
    <row r="8" spans="1:6" ht="15.95" customHeight="1" x14ac:dyDescent="0.2">
      <c r="A8" s="403"/>
      <c r="B8" s="407"/>
      <c r="C8" s="744" t="s">
        <v>531</v>
      </c>
      <c r="D8" s="744"/>
      <c r="E8" s="744" t="s">
        <v>534</v>
      </c>
    </row>
    <row r="9" spans="1:6" ht="15.95" customHeight="1" x14ac:dyDescent="0.2">
      <c r="A9" s="404" t="s">
        <v>42</v>
      </c>
      <c r="B9" s="431" t="s">
        <v>273</v>
      </c>
      <c r="C9" s="745"/>
      <c r="D9" s="745"/>
      <c r="E9" s="745"/>
    </row>
    <row r="10" spans="1:6" ht="5.0999999999999996" customHeight="1" x14ac:dyDescent="0.2">
      <c r="A10" s="6"/>
      <c r="B10" s="207"/>
      <c r="C10" s="207"/>
      <c r="D10" s="207"/>
      <c r="E10" s="207"/>
    </row>
    <row r="11" spans="1:6" ht="14.1" customHeight="1" x14ac:dyDescent="0.2">
      <c r="A11" s="284" t="s">
        <v>110</v>
      </c>
      <c r="B11" s="285">
        <v>1219133</v>
      </c>
      <c r="C11" s="285">
        <v>668991</v>
      </c>
      <c r="D11" s="285">
        <v>-244</v>
      </c>
      <c r="E11" s="285">
        <f t="shared" ref="E11:E46" si="0">SUM(B11:D11)</f>
        <v>1887880</v>
      </c>
    </row>
    <row r="12" spans="1:6" ht="14.1" customHeight="1" x14ac:dyDescent="0.2">
      <c r="A12" s="19" t="s">
        <v>111</v>
      </c>
      <c r="B12" s="20">
        <v>2371353</v>
      </c>
      <c r="C12" s="20">
        <v>571700</v>
      </c>
      <c r="D12" s="20">
        <v>0</v>
      </c>
      <c r="E12" s="20">
        <f t="shared" si="0"/>
        <v>2943053</v>
      </c>
    </row>
    <row r="13" spans="1:6" ht="14.1" customHeight="1" x14ac:dyDescent="0.2">
      <c r="A13" s="284" t="s">
        <v>112</v>
      </c>
      <c r="B13" s="285">
        <v>3236255</v>
      </c>
      <c r="C13" s="285">
        <v>1483599</v>
      </c>
      <c r="D13" s="285">
        <v>0</v>
      </c>
      <c r="E13" s="285">
        <f t="shared" si="0"/>
        <v>4719854</v>
      </c>
    </row>
    <row r="14" spans="1:6" ht="14.1" customHeight="1" x14ac:dyDescent="0.2">
      <c r="A14" s="19" t="s">
        <v>359</v>
      </c>
      <c r="B14" s="20">
        <v>3255802</v>
      </c>
      <c r="C14" s="20">
        <v>2012292</v>
      </c>
      <c r="D14" s="20">
        <v>0</v>
      </c>
      <c r="E14" s="20">
        <f t="shared" si="0"/>
        <v>5268094</v>
      </c>
    </row>
    <row r="15" spans="1:6" ht="14.1" customHeight="1" x14ac:dyDescent="0.2">
      <c r="A15" s="284" t="s">
        <v>113</v>
      </c>
      <c r="B15" s="285">
        <v>1615909</v>
      </c>
      <c r="C15" s="285">
        <v>659139</v>
      </c>
      <c r="D15" s="285">
        <v>0</v>
      </c>
      <c r="E15" s="285">
        <f t="shared" si="0"/>
        <v>2275048</v>
      </c>
    </row>
    <row r="16" spans="1:6" ht="14.1" customHeight="1" x14ac:dyDescent="0.2">
      <c r="A16" s="19" t="s">
        <v>114</v>
      </c>
      <c r="B16" s="20">
        <v>340095</v>
      </c>
      <c r="C16" s="20">
        <v>102747</v>
      </c>
      <c r="D16" s="20">
        <v>0</v>
      </c>
      <c r="E16" s="20">
        <f t="shared" si="0"/>
        <v>442842</v>
      </c>
    </row>
    <row r="17" spans="1:5" ht="14.1" customHeight="1" x14ac:dyDescent="0.2">
      <c r="A17" s="284" t="s">
        <v>115</v>
      </c>
      <c r="B17" s="285">
        <v>1141285</v>
      </c>
      <c r="C17" s="285">
        <v>401465</v>
      </c>
      <c r="D17" s="285">
        <v>0</v>
      </c>
      <c r="E17" s="285">
        <f t="shared" si="0"/>
        <v>1542750</v>
      </c>
    </row>
    <row r="18" spans="1:5" ht="14.1" customHeight="1" x14ac:dyDescent="0.2">
      <c r="A18" s="19" t="s">
        <v>116</v>
      </c>
      <c r="B18" s="20">
        <v>4413125</v>
      </c>
      <c r="C18" s="20">
        <v>2196839</v>
      </c>
      <c r="D18" s="20">
        <v>0</v>
      </c>
      <c r="E18" s="20">
        <f t="shared" si="0"/>
        <v>6609964</v>
      </c>
    </row>
    <row r="19" spans="1:5" ht="14.1" customHeight="1" x14ac:dyDescent="0.2">
      <c r="A19" s="284" t="s">
        <v>117</v>
      </c>
      <c r="B19" s="285">
        <v>3887674</v>
      </c>
      <c r="C19" s="285">
        <v>2831222</v>
      </c>
      <c r="D19" s="285">
        <v>0</v>
      </c>
      <c r="E19" s="285">
        <f t="shared" si="0"/>
        <v>6718896</v>
      </c>
    </row>
    <row r="20" spans="1:5" ht="14.1" customHeight="1" x14ac:dyDescent="0.2">
      <c r="A20" s="19" t="s">
        <v>118</v>
      </c>
      <c r="B20" s="20">
        <v>5091548</v>
      </c>
      <c r="C20" s="20">
        <v>3797932</v>
      </c>
      <c r="D20" s="20">
        <v>0</v>
      </c>
      <c r="E20" s="20">
        <f t="shared" si="0"/>
        <v>8889480</v>
      </c>
    </row>
    <row r="21" spans="1:5" ht="14.1" customHeight="1" x14ac:dyDescent="0.2">
      <c r="A21" s="284" t="s">
        <v>119</v>
      </c>
      <c r="B21" s="285">
        <v>1634125</v>
      </c>
      <c r="C21" s="285">
        <v>751554</v>
      </c>
      <c r="D21" s="285">
        <v>0</v>
      </c>
      <c r="E21" s="285">
        <f t="shared" si="0"/>
        <v>2385679</v>
      </c>
    </row>
    <row r="22" spans="1:5" ht="14.1" customHeight="1" x14ac:dyDescent="0.2">
      <c r="A22" s="19" t="s">
        <v>120</v>
      </c>
      <c r="B22" s="20">
        <v>1210414</v>
      </c>
      <c r="C22" s="20">
        <v>791434</v>
      </c>
      <c r="D22" s="20">
        <v>0</v>
      </c>
      <c r="E22" s="20">
        <f t="shared" si="0"/>
        <v>2001848</v>
      </c>
    </row>
    <row r="23" spans="1:5" ht="14.1" customHeight="1" x14ac:dyDescent="0.2">
      <c r="A23" s="284" t="s">
        <v>121</v>
      </c>
      <c r="B23" s="285">
        <v>818752</v>
      </c>
      <c r="C23" s="285">
        <v>471201</v>
      </c>
      <c r="D23" s="285">
        <v>0</v>
      </c>
      <c r="E23" s="285">
        <f t="shared" si="0"/>
        <v>1289953</v>
      </c>
    </row>
    <row r="24" spans="1:5" ht="14.1" customHeight="1" x14ac:dyDescent="0.2">
      <c r="A24" s="19" t="s">
        <v>122</v>
      </c>
      <c r="B24" s="20">
        <v>2852269</v>
      </c>
      <c r="C24" s="20">
        <v>1238634</v>
      </c>
      <c r="D24" s="20">
        <v>0</v>
      </c>
      <c r="E24" s="20">
        <f t="shared" si="0"/>
        <v>4090903</v>
      </c>
    </row>
    <row r="25" spans="1:5" ht="14.1" customHeight="1" x14ac:dyDescent="0.2">
      <c r="A25" s="284" t="s">
        <v>123</v>
      </c>
      <c r="B25" s="285">
        <v>5282885</v>
      </c>
      <c r="C25" s="285">
        <v>2102604</v>
      </c>
      <c r="D25" s="285">
        <v>0</v>
      </c>
      <c r="E25" s="285">
        <f t="shared" si="0"/>
        <v>7385489</v>
      </c>
    </row>
    <row r="26" spans="1:5" ht="14.1" customHeight="1" x14ac:dyDescent="0.2">
      <c r="A26" s="19" t="s">
        <v>124</v>
      </c>
      <c r="B26" s="20">
        <v>2083873</v>
      </c>
      <c r="C26" s="20">
        <v>1291990</v>
      </c>
      <c r="D26" s="20">
        <v>0</v>
      </c>
      <c r="E26" s="20">
        <f t="shared" si="0"/>
        <v>3375863</v>
      </c>
    </row>
    <row r="27" spans="1:5" ht="14.1" customHeight="1" x14ac:dyDescent="0.2">
      <c r="A27" s="284" t="s">
        <v>125</v>
      </c>
      <c r="B27" s="285">
        <v>1125722</v>
      </c>
      <c r="C27" s="285">
        <v>451453</v>
      </c>
      <c r="D27" s="285">
        <v>0</v>
      </c>
      <c r="E27" s="285">
        <f t="shared" si="0"/>
        <v>1577175</v>
      </c>
    </row>
    <row r="28" spans="1:5" ht="14.1" customHeight="1" x14ac:dyDescent="0.2">
      <c r="A28" s="19" t="s">
        <v>126</v>
      </c>
      <c r="B28" s="20">
        <v>930280</v>
      </c>
      <c r="C28" s="20">
        <v>511307</v>
      </c>
      <c r="D28" s="20">
        <v>0</v>
      </c>
      <c r="E28" s="20">
        <f t="shared" si="0"/>
        <v>1441587</v>
      </c>
    </row>
    <row r="29" spans="1:5" ht="14.1" customHeight="1" x14ac:dyDescent="0.2">
      <c r="A29" s="284" t="s">
        <v>127</v>
      </c>
      <c r="B29" s="285">
        <v>5062848</v>
      </c>
      <c r="C29" s="285">
        <v>2918750</v>
      </c>
      <c r="D29" s="285">
        <v>2410000</v>
      </c>
      <c r="E29" s="285">
        <f t="shared" si="0"/>
        <v>10391598</v>
      </c>
    </row>
    <row r="30" spans="1:5" ht="14.1" customHeight="1" x14ac:dyDescent="0.2">
      <c r="A30" s="19" t="s">
        <v>128</v>
      </c>
      <c r="B30" s="20">
        <v>560173</v>
      </c>
      <c r="C30" s="20">
        <v>167327</v>
      </c>
      <c r="D30" s="20">
        <v>0</v>
      </c>
      <c r="E30" s="20">
        <f t="shared" si="0"/>
        <v>727500</v>
      </c>
    </row>
    <row r="31" spans="1:5" ht="14.1" customHeight="1" x14ac:dyDescent="0.2">
      <c r="A31" s="284" t="s">
        <v>129</v>
      </c>
      <c r="B31" s="285">
        <v>1504557</v>
      </c>
      <c r="C31" s="285">
        <v>445727</v>
      </c>
      <c r="D31" s="285">
        <v>0</v>
      </c>
      <c r="E31" s="285">
        <f t="shared" si="0"/>
        <v>1950284</v>
      </c>
    </row>
    <row r="32" spans="1:5" ht="14.1" customHeight="1" x14ac:dyDescent="0.2">
      <c r="A32" s="19" t="s">
        <v>130</v>
      </c>
      <c r="B32" s="20">
        <v>1259252</v>
      </c>
      <c r="C32" s="20">
        <v>504356</v>
      </c>
      <c r="D32" s="20">
        <v>0</v>
      </c>
      <c r="E32" s="20">
        <f t="shared" si="0"/>
        <v>1763608</v>
      </c>
    </row>
    <row r="33" spans="1:5" ht="14.1" customHeight="1" x14ac:dyDescent="0.2">
      <c r="A33" s="284" t="s">
        <v>131</v>
      </c>
      <c r="B33" s="285">
        <v>1565450</v>
      </c>
      <c r="C33" s="285">
        <v>254058</v>
      </c>
      <c r="D33" s="285">
        <v>0</v>
      </c>
      <c r="E33" s="285">
        <f t="shared" si="0"/>
        <v>1819508</v>
      </c>
    </row>
    <row r="34" spans="1:5" ht="14.1" customHeight="1" x14ac:dyDescent="0.2">
      <c r="A34" s="19" t="s">
        <v>132</v>
      </c>
      <c r="B34" s="20">
        <v>1624749</v>
      </c>
      <c r="C34" s="20">
        <v>678324</v>
      </c>
      <c r="D34" s="20">
        <v>0</v>
      </c>
      <c r="E34" s="20">
        <f t="shared" si="0"/>
        <v>2303073</v>
      </c>
    </row>
    <row r="35" spans="1:5" ht="14.1" customHeight="1" x14ac:dyDescent="0.2">
      <c r="A35" s="284" t="s">
        <v>133</v>
      </c>
      <c r="B35" s="285">
        <v>7116825</v>
      </c>
      <c r="C35" s="285">
        <v>2539930</v>
      </c>
      <c r="D35" s="285">
        <v>9260</v>
      </c>
      <c r="E35" s="285">
        <f t="shared" si="0"/>
        <v>9666015</v>
      </c>
    </row>
    <row r="36" spans="1:5" ht="14.1" customHeight="1" x14ac:dyDescent="0.2">
      <c r="A36" s="19" t="s">
        <v>134</v>
      </c>
      <c r="B36" s="20">
        <v>1109440</v>
      </c>
      <c r="C36" s="20">
        <v>227221</v>
      </c>
      <c r="D36" s="20">
        <v>0</v>
      </c>
      <c r="E36" s="20">
        <f t="shared" si="0"/>
        <v>1336661</v>
      </c>
    </row>
    <row r="37" spans="1:5" ht="14.1" customHeight="1" x14ac:dyDescent="0.2">
      <c r="A37" s="284" t="s">
        <v>135</v>
      </c>
      <c r="B37" s="285">
        <v>2334063</v>
      </c>
      <c r="C37" s="285">
        <v>1282468</v>
      </c>
      <c r="D37" s="285">
        <v>0</v>
      </c>
      <c r="E37" s="285">
        <f t="shared" si="0"/>
        <v>3616531</v>
      </c>
    </row>
    <row r="38" spans="1:5" ht="14.1" customHeight="1" x14ac:dyDescent="0.2">
      <c r="A38" s="19" t="s">
        <v>136</v>
      </c>
      <c r="B38" s="20">
        <v>6464444</v>
      </c>
      <c r="C38" s="20">
        <v>4279303</v>
      </c>
      <c r="D38" s="20">
        <v>0</v>
      </c>
      <c r="E38" s="20">
        <f t="shared" si="0"/>
        <v>10743747</v>
      </c>
    </row>
    <row r="39" spans="1:5" ht="14.1" customHeight="1" x14ac:dyDescent="0.2">
      <c r="A39" s="284" t="s">
        <v>137</v>
      </c>
      <c r="B39" s="285">
        <v>1501788</v>
      </c>
      <c r="C39" s="285">
        <v>703969</v>
      </c>
      <c r="D39" s="285">
        <v>0</v>
      </c>
      <c r="E39" s="285">
        <f t="shared" si="0"/>
        <v>2205757</v>
      </c>
    </row>
    <row r="40" spans="1:5" ht="14.1" customHeight="1" x14ac:dyDescent="0.2">
      <c r="A40" s="19" t="s">
        <v>138</v>
      </c>
      <c r="B40" s="20">
        <v>3818505</v>
      </c>
      <c r="C40" s="20">
        <v>1063156</v>
      </c>
      <c r="D40" s="20">
        <v>0</v>
      </c>
      <c r="E40" s="20">
        <f t="shared" si="0"/>
        <v>4881661</v>
      </c>
    </row>
    <row r="41" spans="1:5" ht="14.1" customHeight="1" x14ac:dyDescent="0.2">
      <c r="A41" s="284" t="s">
        <v>139</v>
      </c>
      <c r="B41" s="285">
        <v>3094554</v>
      </c>
      <c r="C41" s="285">
        <v>1158586</v>
      </c>
      <c r="D41" s="285">
        <v>0</v>
      </c>
      <c r="E41" s="285">
        <f t="shared" si="0"/>
        <v>4253140</v>
      </c>
    </row>
    <row r="42" spans="1:5" ht="14.1" customHeight="1" x14ac:dyDescent="0.2">
      <c r="A42" s="19" t="s">
        <v>140</v>
      </c>
      <c r="B42" s="20">
        <v>1513173</v>
      </c>
      <c r="C42" s="20">
        <v>665713</v>
      </c>
      <c r="D42" s="20">
        <v>134347</v>
      </c>
      <c r="E42" s="20">
        <f t="shared" si="0"/>
        <v>2313233</v>
      </c>
    </row>
    <row r="43" spans="1:5" ht="14.1" customHeight="1" x14ac:dyDescent="0.2">
      <c r="A43" s="284" t="s">
        <v>141</v>
      </c>
      <c r="B43" s="285">
        <v>672958</v>
      </c>
      <c r="C43" s="285">
        <v>341292</v>
      </c>
      <c r="D43" s="285">
        <v>0</v>
      </c>
      <c r="E43" s="285">
        <f t="shared" si="0"/>
        <v>1014250</v>
      </c>
    </row>
    <row r="44" spans="1:5" ht="14.1" customHeight="1" x14ac:dyDescent="0.2">
      <c r="A44" s="19" t="s">
        <v>142</v>
      </c>
      <c r="B44" s="20">
        <v>561048</v>
      </c>
      <c r="C44" s="20">
        <v>157755</v>
      </c>
      <c r="D44" s="20">
        <v>0</v>
      </c>
      <c r="E44" s="20">
        <f t="shared" si="0"/>
        <v>718803</v>
      </c>
    </row>
    <row r="45" spans="1:5" ht="14.1" customHeight="1" x14ac:dyDescent="0.2">
      <c r="A45" s="284" t="s">
        <v>143</v>
      </c>
      <c r="B45" s="285">
        <v>904327</v>
      </c>
      <c r="C45" s="285">
        <v>366640</v>
      </c>
      <c r="D45" s="285">
        <v>0</v>
      </c>
      <c r="E45" s="285">
        <f t="shared" si="0"/>
        <v>1270967</v>
      </c>
    </row>
    <row r="46" spans="1:5" ht="14.1" customHeight="1" x14ac:dyDescent="0.2">
      <c r="A46" s="19" t="s">
        <v>144</v>
      </c>
      <c r="B46" s="20">
        <v>11258180</v>
      </c>
      <c r="C46" s="20">
        <v>5367188</v>
      </c>
      <c r="D46" s="20">
        <v>8099</v>
      </c>
      <c r="E46" s="20">
        <f t="shared" si="0"/>
        <v>16633467</v>
      </c>
    </row>
    <row r="47" spans="1:5" ht="5.0999999999999996" customHeight="1" x14ac:dyDescent="0.2">
      <c r="A47" s="21"/>
      <c r="B47" s="22"/>
      <c r="C47" s="22"/>
      <c r="D47" s="22"/>
      <c r="E47" s="22"/>
    </row>
    <row r="48" spans="1:5" ht="14.1" customHeight="1" x14ac:dyDescent="0.2">
      <c r="A48" s="286" t="s">
        <v>145</v>
      </c>
      <c r="B48" s="287">
        <f>SUM(B11:B46)</f>
        <v>94436833</v>
      </c>
      <c r="C48" s="287">
        <f>SUM(C11:C46)</f>
        <v>45457866</v>
      </c>
      <c r="D48" s="287">
        <f>SUM(D11:D46)</f>
        <v>2561462</v>
      </c>
      <c r="E48" s="287">
        <f>SUM(E11:E46)</f>
        <v>142456161</v>
      </c>
    </row>
    <row r="49" spans="1:6" ht="5.0999999999999996" customHeight="1" x14ac:dyDescent="0.2">
      <c r="A49" s="21" t="s">
        <v>7</v>
      </c>
      <c r="B49" s="22"/>
      <c r="C49" s="22"/>
      <c r="D49" s="22"/>
      <c r="E49" s="22"/>
    </row>
    <row r="50" spans="1:6" ht="14.1" customHeight="1" x14ac:dyDescent="0.2">
      <c r="A50" s="19" t="s">
        <v>146</v>
      </c>
      <c r="B50" s="20">
        <v>95544</v>
      </c>
      <c r="C50" s="20">
        <v>0</v>
      </c>
      <c r="D50" s="20">
        <v>0</v>
      </c>
      <c r="E50" s="20">
        <f>SUM(B50:D50)</f>
        <v>95544</v>
      </c>
    </row>
    <row r="51" spans="1:6" ht="14.1" customHeight="1" x14ac:dyDescent="0.2">
      <c r="A51" s="284" t="s">
        <v>601</v>
      </c>
      <c r="B51" s="285">
        <v>1233932</v>
      </c>
      <c r="C51" s="285">
        <v>185084</v>
      </c>
      <c r="D51" s="285">
        <v>0</v>
      </c>
      <c r="E51" s="285">
        <f>SUM(B51:D51)</f>
        <v>1419016</v>
      </c>
    </row>
    <row r="52" spans="1:6" ht="50.1" customHeight="1" x14ac:dyDescent="0.2">
      <c r="A52" s="23"/>
      <c r="B52" s="23"/>
      <c r="C52" s="23"/>
      <c r="D52" s="23"/>
      <c r="E52" s="23"/>
      <c r="F52" s="23"/>
    </row>
    <row r="53" spans="1:6" x14ac:dyDescent="0.2">
      <c r="A53" s="434" t="s">
        <v>351</v>
      </c>
      <c r="B53" s="184"/>
      <c r="C53" s="184"/>
      <c r="D53" s="184"/>
      <c r="E53" s="184"/>
    </row>
    <row r="54" spans="1:6" x14ac:dyDescent="0.2">
      <c r="A54" s="442" t="s">
        <v>361</v>
      </c>
      <c r="B54" s="184"/>
      <c r="C54" s="184"/>
      <c r="D54" s="184"/>
      <c r="E54" s="184"/>
    </row>
    <row r="55" spans="1:6" x14ac:dyDescent="0.2">
      <c r="A55" s="434" t="s">
        <v>387</v>
      </c>
    </row>
    <row r="56" spans="1:6" x14ac:dyDescent="0.2">
      <c r="A56" s="434"/>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54"/>
  <sheetViews>
    <sheetView showGridLines="0" showZeros="0" workbookViewId="0"/>
  </sheetViews>
  <sheetFormatPr defaultColWidth="15.83203125" defaultRowHeight="12" x14ac:dyDescent="0.2"/>
  <cols>
    <col min="1" max="1" width="34.83203125" style="2" customWidth="1"/>
    <col min="2" max="4" width="22.83203125" style="2" customWidth="1"/>
    <col min="5" max="5" width="4.83203125" style="2" customWidth="1"/>
    <col min="6" max="6" width="25.83203125" style="2" customWidth="1"/>
    <col min="7" max="16384" width="15.83203125" style="2"/>
  </cols>
  <sheetData>
    <row r="1" spans="1:6" ht="6.95" customHeight="1" x14ac:dyDescent="0.2">
      <c r="A1" s="7"/>
      <c r="E1"/>
    </row>
    <row r="2" spans="1:6" ht="15.95" customHeight="1" x14ac:dyDescent="0.2">
      <c r="A2" s="134"/>
      <c r="B2" s="748" t="str">
        <f>"CAPITAL FUND "&amp;FALLYR&amp;"/"&amp;SPRINGYR&amp;" ACTUAL"</f>
        <v>CAPITAL FUND 2018/2019 ACTUAL</v>
      </c>
      <c r="C2" s="748"/>
      <c r="D2" s="748"/>
      <c r="E2" s="748"/>
      <c r="F2" s="231" t="s">
        <v>255</v>
      </c>
    </row>
    <row r="3" spans="1:6" ht="15.95" customHeight="1" x14ac:dyDescent="0.2">
      <c r="A3" s="541"/>
      <c r="B3" s="743" t="s">
        <v>0</v>
      </c>
      <c r="C3" s="749"/>
      <c r="D3" s="749"/>
      <c r="E3" s="749"/>
      <c r="F3" s="226"/>
    </row>
    <row r="4" spans="1:6" ht="15.95" customHeight="1" x14ac:dyDescent="0.2">
      <c r="B4" s="8"/>
      <c r="C4" s="8"/>
      <c r="D4" s="8"/>
      <c r="E4"/>
    </row>
    <row r="5" spans="1:6" ht="15.95" customHeight="1" x14ac:dyDescent="0.2">
      <c r="B5" s="8"/>
      <c r="C5" s="8"/>
      <c r="D5" s="8"/>
      <c r="E5" s="439"/>
    </row>
    <row r="6" spans="1:6" ht="15.95" customHeight="1" x14ac:dyDescent="0.2">
      <c r="B6" s="409" t="s">
        <v>2</v>
      </c>
      <c r="C6" s="435"/>
      <c r="D6" s="436"/>
      <c r="E6" s="439"/>
      <c r="F6" s="438" t="s">
        <v>47</v>
      </c>
    </row>
    <row r="7" spans="1:6" ht="15.95" customHeight="1" x14ac:dyDescent="0.2">
      <c r="B7" s="350"/>
      <c r="C7" s="350"/>
      <c r="D7" s="374"/>
      <c r="E7" s="439"/>
      <c r="F7" s="747" t="s">
        <v>538</v>
      </c>
    </row>
    <row r="8" spans="1:6" ht="15.95" customHeight="1" x14ac:dyDescent="0.2">
      <c r="A8" s="67"/>
      <c r="B8" s="750" t="s">
        <v>535</v>
      </c>
      <c r="C8" s="738" t="s">
        <v>536</v>
      </c>
      <c r="D8" s="738" t="s">
        <v>537</v>
      </c>
      <c r="E8" s="439"/>
      <c r="F8" s="738"/>
    </row>
    <row r="9" spans="1:6" ht="15.95" customHeight="1" x14ac:dyDescent="0.2">
      <c r="A9" s="35" t="s">
        <v>42</v>
      </c>
      <c r="B9" s="751"/>
      <c r="C9" s="641"/>
      <c r="D9" s="641"/>
      <c r="E9"/>
      <c r="F9" s="739"/>
    </row>
    <row r="10" spans="1:6" ht="5.0999999999999996" customHeight="1" x14ac:dyDescent="0.2">
      <c r="A10" s="6"/>
      <c r="B10" s="207"/>
      <c r="C10" s="207"/>
      <c r="D10" s="207"/>
      <c r="E10"/>
      <c r="F10" s="207"/>
    </row>
    <row r="11" spans="1:6" ht="14.1" customHeight="1" x14ac:dyDescent="0.2">
      <c r="A11" s="284" t="s">
        <v>110</v>
      </c>
      <c r="B11" s="285">
        <v>1961716</v>
      </c>
      <c r="C11" s="285">
        <v>0</v>
      </c>
      <c r="D11" s="285">
        <f t="shared" ref="D11:D46" si="0">SUM(B11:C11)</f>
        <v>1961716</v>
      </c>
      <c r="E11"/>
      <c r="F11" s="285">
        <v>419744</v>
      </c>
    </row>
    <row r="12" spans="1:6" ht="14.1" customHeight="1" x14ac:dyDescent="0.2">
      <c r="A12" s="19" t="s">
        <v>111</v>
      </c>
      <c r="B12" s="20">
        <v>1536078</v>
      </c>
      <c r="C12" s="20">
        <v>106735</v>
      </c>
      <c r="D12" s="20">
        <f t="shared" si="0"/>
        <v>1642813</v>
      </c>
      <c r="E12"/>
      <c r="F12" s="20">
        <v>1232044</v>
      </c>
    </row>
    <row r="13" spans="1:6" ht="14.1" customHeight="1" x14ac:dyDescent="0.2">
      <c r="A13" s="284" t="s">
        <v>112</v>
      </c>
      <c r="B13" s="285">
        <v>3522401</v>
      </c>
      <c r="C13" s="285">
        <v>21068</v>
      </c>
      <c r="D13" s="285">
        <f t="shared" si="0"/>
        <v>3543469</v>
      </c>
      <c r="E13"/>
      <c r="F13" s="285">
        <v>1062389</v>
      </c>
    </row>
    <row r="14" spans="1:6" ht="14.1" customHeight="1" x14ac:dyDescent="0.2">
      <c r="A14" s="19" t="s">
        <v>359</v>
      </c>
      <c r="B14" s="20">
        <v>5483930</v>
      </c>
      <c r="C14" s="20">
        <v>59553</v>
      </c>
      <c r="D14" s="20">
        <f t="shared" si="0"/>
        <v>5543483</v>
      </c>
      <c r="E14"/>
      <c r="F14" s="20">
        <v>2315560</v>
      </c>
    </row>
    <row r="15" spans="1:6" ht="14.1" customHeight="1" x14ac:dyDescent="0.2">
      <c r="A15" s="284" t="s">
        <v>113</v>
      </c>
      <c r="B15" s="285">
        <v>2051619</v>
      </c>
      <c r="C15" s="285">
        <v>53461</v>
      </c>
      <c r="D15" s="285">
        <f t="shared" si="0"/>
        <v>2105080</v>
      </c>
      <c r="E15"/>
      <c r="F15" s="285">
        <v>1265043</v>
      </c>
    </row>
    <row r="16" spans="1:6" ht="14.1" customHeight="1" x14ac:dyDescent="0.2">
      <c r="A16" s="19" t="s">
        <v>114</v>
      </c>
      <c r="B16" s="20">
        <v>276988</v>
      </c>
      <c r="C16" s="20">
        <v>0</v>
      </c>
      <c r="D16" s="20">
        <f t="shared" si="0"/>
        <v>276988</v>
      </c>
      <c r="E16"/>
      <c r="F16" s="20">
        <v>107157</v>
      </c>
    </row>
    <row r="17" spans="1:6" ht="14.1" customHeight="1" x14ac:dyDescent="0.2">
      <c r="A17" s="284" t="s">
        <v>115</v>
      </c>
      <c r="B17" s="285">
        <v>1191417</v>
      </c>
      <c r="C17" s="285">
        <v>82266</v>
      </c>
      <c r="D17" s="285">
        <f t="shared" si="0"/>
        <v>1273683</v>
      </c>
      <c r="E17"/>
      <c r="F17" s="285">
        <v>440606</v>
      </c>
    </row>
    <row r="18" spans="1:6" ht="14.1" customHeight="1" x14ac:dyDescent="0.2">
      <c r="A18" s="19" t="s">
        <v>116</v>
      </c>
      <c r="B18" s="20">
        <v>5315642</v>
      </c>
      <c r="C18" s="20">
        <v>1634104</v>
      </c>
      <c r="D18" s="20">
        <f t="shared" si="0"/>
        <v>6949746</v>
      </c>
      <c r="E18"/>
      <c r="F18" s="20">
        <v>1032583</v>
      </c>
    </row>
    <row r="19" spans="1:6" ht="14.1" customHeight="1" x14ac:dyDescent="0.2">
      <c r="A19" s="284" t="s">
        <v>117</v>
      </c>
      <c r="B19" s="285">
        <v>6698388</v>
      </c>
      <c r="C19" s="285">
        <v>12851</v>
      </c>
      <c r="D19" s="285">
        <f t="shared" si="0"/>
        <v>6711239</v>
      </c>
      <c r="E19"/>
      <c r="F19" s="285">
        <v>1062415</v>
      </c>
    </row>
    <row r="20" spans="1:6" ht="14.1" customHeight="1" x14ac:dyDescent="0.2">
      <c r="A20" s="19" t="s">
        <v>118</v>
      </c>
      <c r="B20" s="20">
        <v>9277051</v>
      </c>
      <c r="C20" s="20">
        <v>82794</v>
      </c>
      <c r="D20" s="20">
        <f t="shared" si="0"/>
        <v>9359845</v>
      </c>
      <c r="E20"/>
      <c r="F20" s="20">
        <v>1061743</v>
      </c>
    </row>
    <row r="21" spans="1:6" ht="14.1" customHeight="1" x14ac:dyDescent="0.2">
      <c r="A21" s="284" t="s">
        <v>119</v>
      </c>
      <c r="B21" s="285">
        <v>1952217</v>
      </c>
      <c r="C21" s="285">
        <v>14455</v>
      </c>
      <c r="D21" s="285">
        <f t="shared" si="0"/>
        <v>1966672</v>
      </c>
      <c r="E21"/>
      <c r="F21" s="285">
        <v>1232427</v>
      </c>
    </row>
    <row r="22" spans="1:6" ht="14.1" customHeight="1" x14ac:dyDescent="0.2">
      <c r="A22" s="19" t="s">
        <v>120</v>
      </c>
      <c r="B22" s="20">
        <v>1866400</v>
      </c>
      <c r="C22" s="20">
        <v>0</v>
      </c>
      <c r="D22" s="20">
        <f t="shared" si="0"/>
        <v>1866400</v>
      </c>
      <c r="E22"/>
      <c r="F22" s="20">
        <v>167711</v>
      </c>
    </row>
    <row r="23" spans="1:6" ht="14.1" customHeight="1" x14ac:dyDescent="0.2">
      <c r="A23" s="284" t="s">
        <v>121</v>
      </c>
      <c r="B23" s="285">
        <v>1322911</v>
      </c>
      <c r="C23" s="285">
        <v>0</v>
      </c>
      <c r="D23" s="285">
        <f t="shared" si="0"/>
        <v>1322911</v>
      </c>
      <c r="E23"/>
      <c r="F23" s="285">
        <v>409837</v>
      </c>
    </row>
    <row r="24" spans="1:6" ht="14.1" customHeight="1" x14ac:dyDescent="0.2">
      <c r="A24" s="19" t="s">
        <v>122</v>
      </c>
      <c r="B24" s="20">
        <v>3187568</v>
      </c>
      <c r="C24" s="20">
        <v>48839</v>
      </c>
      <c r="D24" s="20">
        <f t="shared" si="0"/>
        <v>3236407</v>
      </c>
      <c r="E24"/>
      <c r="F24" s="20">
        <v>1865859</v>
      </c>
    </row>
    <row r="25" spans="1:6" ht="14.1" customHeight="1" x14ac:dyDescent="0.2">
      <c r="A25" s="284" t="s">
        <v>123</v>
      </c>
      <c r="B25" s="285">
        <v>5286752</v>
      </c>
      <c r="C25" s="285">
        <v>1053482</v>
      </c>
      <c r="D25" s="285">
        <f t="shared" si="0"/>
        <v>6340234</v>
      </c>
      <c r="E25"/>
      <c r="F25" s="285">
        <v>1597631</v>
      </c>
    </row>
    <row r="26" spans="1:6" ht="14.1" customHeight="1" x14ac:dyDescent="0.2">
      <c r="A26" s="19" t="s">
        <v>124</v>
      </c>
      <c r="B26" s="20">
        <v>2896463</v>
      </c>
      <c r="C26" s="20">
        <v>47259</v>
      </c>
      <c r="D26" s="20">
        <f t="shared" si="0"/>
        <v>2943722</v>
      </c>
      <c r="E26"/>
      <c r="F26" s="20">
        <v>1378620</v>
      </c>
    </row>
    <row r="27" spans="1:6" ht="14.1" customHeight="1" x14ac:dyDescent="0.2">
      <c r="A27" s="284" t="s">
        <v>125</v>
      </c>
      <c r="B27" s="285">
        <v>1272614</v>
      </c>
      <c r="C27" s="285">
        <v>31712</v>
      </c>
      <c r="D27" s="285">
        <f t="shared" si="0"/>
        <v>1304326</v>
      </c>
      <c r="E27"/>
      <c r="F27" s="285">
        <v>543774</v>
      </c>
    </row>
    <row r="28" spans="1:6" ht="14.1" customHeight="1" x14ac:dyDescent="0.2">
      <c r="A28" s="19" t="s">
        <v>126</v>
      </c>
      <c r="B28" s="20">
        <v>1134860</v>
      </c>
      <c r="C28" s="20">
        <v>44891</v>
      </c>
      <c r="D28" s="20">
        <f t="shared" si="0"/>
        <v>1179751</v>
      </c>
      <c r="E28"/>
      <c r="F28" s="20">
        <v>-50929</v>
      </c>
    </row>
    <row r="29" spans="1:6" ht="14.1" customHeight="1" x14ac:dyDescent="0.2">
      <c r="A29" s="284" t="s">
        <v>127</v>
      </c>
      <c r="B29" s="285">
        <v>6937038</v>
      </c>
      <c r="C29" s="285">
        <v>2320354</v>
      </c>
      <c r="D29" s="285">
        <f t="shared" si="0"/>
        <v>9257392</v>
      </c>
      <c r="E29"/>
      <c r="F29" s="285">
        <v>6817722</v>
      </c>
    </row>
    <row r="30" spans="1:6" ht="14.1" customHeight="1" x14ac:dyDescent="0.2">
      <c r="A30" s="19" t="s">
        <v>128</v>
      </c>
      <c r="B30" s="20">
        <v>465716</v>
      </c>
      <c r="C30" s="20">
        <v>25658</v>
      </c>
      <c r="D30" s="20">
        <f t="shared" si="0"/>
        <v>491374</v>
      </c>
      <c r="E30"/>
      <c r="F30" s="20">
        <v>125706</v>
      </c>
    </row>
    <row r="31" spans="1:6" ht="14.1" customHeight="1" x14ac:dyDescent="0.2">
      <c r="A31" s="284" t="s">
        <v>129</v>
      </c>
      <c r="B31" s="285">
        <v>859016</v>
      </c>
      <c r="C31" s="285">
        <v>88298</v>
      </c>
      <c r="D31" s="285">
        <f t="shared" si="0"/>
        <v>947314</v>
      </c>
      <c r="E31"/>
      <c r="F31" s="285">
        <v>3077101</v>
      </c>
    </row>
    <row r="32" spans="1:6" ht="14.1" customHeight="1" x14ac:dyDescent="0.2">
      <c r="A32" s="19" t="s">
        <v>130</v>
      </c>
      <c r="B32" s="20">
        <v>1346857</v>
      </c>
      <c r="C32" s="20">
        <v>74674</v>
      </c>
      <c r="D32" s="20">
        <f t="shared" si="0"/>
        <v>1421531</v>
      </c>
      <c r="E32"/>
      <c r="F32" s="20">
        <v>828428</v>
      </c>
    </row>
    <row r="33" spans="1:6" ht="14.1" customHeight="1" x14ac:dyDescent="0.2">
      <c r="A33" s="284" t="s">
        <v>131</v>
      </c>
      <c r="B33" s="285">
        <v>879092</v>
      </c>
      <c r="C33" s="285">
        <v>7872</v>
      </c>
      <c r="D33" s="285">
        <f t="shared" si="0"/>
        <v>886964</v>
      </c>
      <c r="E33"/>
      <c r="F33" s="285">
        <v>1015839</v>
      </c>
    </row>
    <row r="34" spans="1:6" ht="14.1" customHeight="1" x14ac:dyDescent="0.2">
      <c r="A34" s="19" t="s">
        <v>132</v>
      </c>
      <c r="B34" s="20">
        <v>1714318</v>
      </c>
      <c r="C34" s="20">
        <v>5972</v>
      </c>
      <c r="D34" s="20">
        <f t="shared" si="0"/>
        <v>1720290</v>
      </c>
      <c r="E34"/>
      <c r="F34" s="20">
        <v>916044</v>
      </c>
    </row>
    <row r="35" spans="1:6" ht="14.1" customHeight="1" x14ac:dyDescent="0.2">
      <c r="A35" s="284" t="s">
        <v>133</v>
      </c>
      <c r="B35" s="285">
        <v>6113439</v>
      </c>
      <c r="C35" s="285">
        <v>284077</v>
      </c>
      <c r="D35" s="285">
        <f t="shared" si="0"/>
        <v>6397516</v>
      </c>
      <c r="E35"/>
      <c r="F35" s="285">
        <v>3854422</v>
      </c>
    </row>
    <row r="36" spans="1:6" ht="14.1" customHeight="1" x14ac:dyDescent="0.2">
      <c r="A36" s="19" t="s">
        <v>134</v>
      </c>
      <c r="B36" s="20">
        <v>815709</v>
      </c>
      <c r="C36" s="20">
        <v>0</v>
      </c>
      <c r="D36" s="20">
        <f t="shared" si="0"/>
        <v>815709</v>
      </c>
      <c r="E36"/>
      <c r="F36" s="20">
        <v>666056</v>
      </c>
    </row>
    <row r="37" spans="1:6" ht="14.1" customHeight="1" x14ac:dyDescent="0.2">
      <c r="A37" s="284" t="s">
        <v>135</v>
      </c>
      <c r="B37" s="285">
        <v>3284370</v>
      </c>
      <c r="C37" s="285">
        <v>22517</v>
      </c>
      <c r="D37" s="285">
        <f t="shared" si="0"/>
        <v>3306887</v>
      </c>
      <c r="E37"/>
      <c r="F37" s="285">
        <v>1011286</v>
      </c>
    </row>
    <row r="38" spans="1:6" ht="14.1" customHeight="1" x14ac:dyDescent="0.2">
      <c r="A38" s="19" t="s">
        <v>136</v>
      </c>
      <c r="B38" s="20">
        <v>8383621</v>
      </c>
      <c r="C38" s="20">
        <v>446712</v>
      </c>
      <c r="D38" s="20">
        <f t="shared" si="0"/>
        <v>8830333</v>
      </c>
      <c r="E38"/>
      <c r="F38" s="20">
        <v>4993796</v>
      </c>
    </row>
    <row r="39" spans="1:6" ht="14.1" customHeight="1" x14ac:dyDescent="0.2">
      <c r="A39" s="284" t="s">
        <v>137</v>
      </c>
      <c r="B39" s="285">
        <v>2136779</v>
      </c>
      <c r="C39" s="285">
        <v>5775</v>
      </c>
      <c r="D39" s="285">
        <f t="shared" si="0"/>
        <v>2142554</v>
      </c>
      <c r="E39"/>
      <c r="F39" s="285">
        <v>1070752</v>
      </c>
    </row>
    <row r="40" spans="1:6" ht="14.1" customHeight="1" x14ac:dyDescent="0.2">
      <c r="A40" s="19" t="s">
        <v>138</v>
      </c>
      <c r="B40" s="20">
        <v>2687808</v>
      </c>
      <c r="C40" s="20">
        <v>-21871</v>
      </c>
      <c r="D40" s="20">
        <f t="shared" si="0"/>
        <v>2665937</v>
      </c>
      <c r="E40"/>
      <c r="F40" s="20">
        <v>3444595</v>
      </c>
    </row>
    <row r="41" spans="1:6" ht="14.1" customHeight="1" x14ac:dyDescent="0.2">
      <c r="A41" s="284" t="s">
        <v>139</v>
      </c>
      <c r="B41" s="285">
        <v>2897232</v>
      </c>
      <c r="C41" s="285">
        <v>63983</v>
      </c>
      <c r="D41" s="285">
        <f t="shared" si="0"/>
        <v>2961215</v>
      </c>
      <c r="E41"/>
      <c r="F41" s="285">
        <v>1439479</v>
      </c>
    </row>
    <row r="42" spans="1:6" ht="14.1" customHeight="1" x14ac:dyDescent="0.2">
      <c r="A42" s="19" t="s">
        <v>140</v>
      </c>
      <c r="B42" s="20">
        <v>1558524</v>
      </c>
      <c r="C42" s="20">
        <v>95000</v>
      </c>
      <c r="D42" s="20">
        <f t="shared" si="0"/>
        <v>1653524</v>
      </c>
      <c r="E42"/>
      <c r="F42" s="20">
        <v>615635</v>
      </c>
    </row>
    <row r="43" spans="1:6" ht="14.1" customHeight="1" x14ac:dyDescent="0.2">
      <c r="A43" s="284" t="s">
        <v>141</v>
      </c>
      <c r="B43" s="285">
        <v>811016</v>
      </c>
      <c r="C43" s="285">
        <v>14287</v>
      </c>
      <c r="D43" s="285">
        <f t="shared" si="0"/>
        <v>825303</v>
      </c>
      <c r="E43"/>
      <c r="F43" s="285">
        <v>60403</v>
      </c>
    </row>
    <row r="44" spans="1:6" ht="14.1" customHeight="1" x14ac:dyDescent="0.2">
      <c r="A44" s="19" t="s">
        <v>142</v>
      </c>
      <c r="B44" s="20">
        <v>404381</v>
      </c>
      <c r="C44" s="20">
        <v>0</v>
      </c>
      <c r="D44" s="20">
        <f t="shared" si="0"/>
        <v>404381</v>
      </c>
      <c r="E44"/>
      <c r="F44" s="20">
        <v>247188</v>
      </c>
    </row>
    <row r="45" spans="1:6" ht="14.1" customHeight="1" x14ac:dyDescent="0.2">
      <c r="A45" s="284" t="s">
        <v>143</v>
      </c>
      <c r="B45" s="285">
        <v>719545</v>
      </c>
      <c r="C45" s="285">
        <v>7627</v>
      </c>
      <c r="D45" s="285">
        <f t="shared" si="0"/>
        <v>727172</v>
      </c>
      <c r="E45"/>
      <c r="F45" s="285">
        <v>540512</v>
      </c>
    </row>
    <row r="46" spans="1:6" ht="14.1" customHeight="1" x14ac:dyDescent="0.2">
      <c r="A46" s="19" t="s">
        <v>144</v>
      </c>
      <c r="B46" s="20">
        <v>13885565</v>
      </c>
      <c r="C46" s="20">
        <v>1142713</v>
      </c>
      <c r="D46" s="20">
        <f t="shared" si="0"/>
        <v>15028278</v>
      </c>
      <c r="E46"/>
      <c r="F46" s="20">
        <v>5195778</v>
      </c>
    </row>
    <row r="47" spans="1:6" ht="5.0999999999999996" customHeight="1" x14ac:dyDescent="0.2">
      <c r="A47" s="21"/>
      <c r="B47" s="22"/>
      <c r="C47" s="22"/>
      <c r="D47" s="22"/>
      <c r="E47"/>
      <c r="F47" s="22"/>
    </row>
    <row r="48" spans="1:6" ht="14.1" customHeight="1" x14ac:dyDescent="0.2">
      <c r="A48" s="286" t="s">
        <v>145</v>
      </c>
      <c r="B48" s="287">
        <f>SUM(B11:B46)</f>
        <v>112135041</v>
      </c>
      <c r="C48" s="287">
        <f>SUM(C11:C46)</f>
        <v>7877118</v>
      </c>
      <c r="D48" s="287">
        <f>SUM(D11:D46)</f>
        <v>120012159</v>
      </c>
      <c r="E48"/>
      <c r="F48" s="287">
        <f>SUM(F11:F46)</f>
        <v>53064956</v>
      </c>
    </row>
    <row r="49" spans="1:6" ht="5.0999999999999996" customHeight="1" x14ac:dyDescent="0.2">
      <c r="A49" s="21" t="s">
        <v>7</v>
      </c>
      <c r="B49" s="22"/>
      <c r="C49" s="22"/>
      <c r="D49" s="22"/>
      <c r="E49"/>
      <c r="F49" s="22"/>
    </row>
    <row r="50" spans="1:6" ht="14.1" customHeight="1" x14ac:dyDescent="0.2">
      <c r="A50" s="19" t="s">
        <v>146</v>
      </c>
      <c r="B50" s="20">
        <v>0</v>
      </c>
      <c r="C50" s="20">
        <v>9856</v>
      </c>
      <c r="D50" s="20">
        <f>SUM(B50:C50)</f>
        <v>9856</v>
      </c>
      <c r="E50"/>
      <c r="F50" s="20">
        <v>141166</v>
      </c>
    </row>
    <row r="51" spans="1:6" ht="14.1" customHeight="1" x14ac:dyDescent="0.2">
      <c r="A51" s="284" t="s">
        <v>601</v>
      </c>
      <c r="B51" s="285">
        <v>153287</v>
      </c>
      <c r="C51" s="285">
        <v>94188</v>
      </c>
      <c r="D51" s="285">
        <f>SUM(B51:C51)</f>
        <v>247475</v>
      </c>
      <c r="E51"/>
      <c r="F51" s="285">
        <v>829187</v>
      </c>
    </row>
    <row r="52" spans="1:6" ht="50.1" customHeight="1" x14ac:dyDescent="0.2">
      <c r="A52" s="23"/>
      <c r="B52" s="23"/>
      <c r="C52" s="23"/>
      <c r="D52" s="23"/>
      <c r="E52" s="23"/>
      <c r="F52" s="23"/>
    </row>
    <row r="53" spans="1:6" ht="13.5" customHeight="1" x14ac:dyDescent="0.2">
      <c r="A53" s="414" t="s">
        <v>621</v>
      </c>
      <c r="B53" s="184"/>
      <c r="C53" s="184"/>
      <c r="D53" s="184"/>
      <c r="E53" s="184"/>
    </row>
    <row r="54" spans="1:6" x14ac:dyDescent="0.2">
      <c r="A54" s="414" t="s">
        <v>352</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E55"/>
  <sheetViews>
    <sheetView showGridLines="0" showZeros="0" workbookViewId="0"/>
  </sheetViews>
  <sheetFormatPr defaultColWidth="19.83203125" defaultRowHeight="12" x14ac:dyDescent="0.2"/>
  <cols>
    <col min="1" max="1" width="32.83203125" style="2" customWidth="1"/>
    <col min="2" max="4" width="18.83203125" style="2" customWidth="1"/>
    <col min="5" max="5" width="44.83203125" style="2" customWidth="1"/>
    <col min="6" max="16384" width="19.83203125" style="2"/>
  </cols>
  <sheetData>
    <row r="1" spans="1:5" ht="6.95" customHeight="1" x14ac:dyDescent="0.2">
      <c r="A1" s="7"/>
      <c r="B1" s="7"/>
    </row>
    <row r="2" spans="1:5" ht="15.95" customHeight="1" x14ac:dyDescent="0.2">
      <c r="A2" s="134"/>
      <c r="B2" s="748" t="str">
        <f>"CAPITAL FUND "&amp;FALLYR&amp;"/"&amp;SPRINGYR&amp;" ACTUAL"</f>
        <v>CAPITAL FUND 2018/2019 ACTUAL</v>
      </c>
      <c r="C2" s="748"/>
      <c r="D2" s="748"/>
      <c r="E2" s="231" t="s">
        <v>254</v>
      </c>
    </row>
    <row r="3" spans="1:5" ht="15.95" customHeight="1" x14ac:dyDescent="0.2">
      <c r="A3" s="541"/>
      <c r="B3" s="743" t="s">
        <v>272</v>
      </c>
      <c r="C3" s="743"/>
      <c r="D3" s="743"/>
      <c r="E3" s="226"/>
    </row>
    <row r="4" spans="1:5" ht="15.95" customHeight="1" x14ac:dyDescent="0.2">
      <c r="C4" s="8"/>
      <c r="D4" s="8"/>
    </row>
    <row r="5" spans="1:5" ht="15.95" customHeight="1" x14ac:dyDescent="0.2">
      <c r="B5" s="440"/>
      <c r="C5" s="441"/>
      <c r="D5" s="441"/>
    </row>
    <row r="6" spans="1:5" ht="15.95" customHeight="1" x14ac:dyDescent="0.2">
      <c r="B6" s="756" t="s">
        <v>539</v>
      </c>
      <c r="C6" s="752" t="s">
        <v>268</v>
      </c>
      <c r="D6" s="753"/>
    </row>
    <row r="7" spans="1:5" ht="15.95" customHeight="1" x14ac:dyDescent="0.2">
      <c r="B7" s="757"/>
      <c r="C7" s="761" t="s">
        <v>541</v>
      </c>
      <c r="D7" s="408"/>
    </row>
    <row r="8" spans="1:5" ht="15.95" customHeight="1" x14ac:dyDescent="0.2">
      <c r="A8" s="403"/>
      <c r="B8" s="757"/>
      <c r="C8" s="761"/>
      <c r="D8" s="759" t="s">
        <v>540</v>
      </c>
    </row>
    <row r="9" spans="1:5" ht="15.95" customHeight="1" x14ac:dyDescent="0.2">
      <c r="A9" s="404" t="s">
        <v>42</v>
      </c>
      <c r="B9" s="758"/>
      <c r="C9" s="762"/>
      <c r="D9" s="760"/>
    </row>
    <row r="10" spans="1:5" ht="5.0999999999999996" customHeight="1" x14ac:dyDescent="0.2">
      <c r="A10" s="6"/>
      <c r="B10" s="207"/>
      <c r="C10" s="207"/>
    </row>
    <row r="11" spans="1:5" ht="14.1" customHeight="1" x14ac:dyDescent="0.2">
      <c r="A11" s="284" t="s">
        <v>110</v>
      </c>
      <c r="B11" s="419">
        <v>6989192</v>
      </c>
      <c r="C11" s="417">
        <v>5420139</v>
      </c>
      <c r="D11" s="285">
        <v>1569053</v>
      </c>
    </row>
    <row r="12" spans="1:5" ht="14.1" customHeight="1" x14ac:dyDescent="0.2">
      <c r="A12" s="19" t="s">
        <v>111</v>
      </c>
      <c r="B12" s="420">
        <v>13665260</v>
      </c>
      <c r="C12" s="418">
        <v>10320822</v>
      </c>
      <c r="D12" s="20">
        <v>3344438</v>
      </c>
    </row>
    <row r="13" spans="1:5" ht="14.1" customHeight="1" x14ac:dyDescent="0.2">
      <c r="A13" s="284" t="s">
        <v>112</v>
      </c>
      <c r="B13" s="419">
        <v>18355015</v>
      </c>
      <c r="C13" s="417">
        <v>11061560</v>
      </c>
      <c r="D13" s="285">
        <v>7293455</v>
      </c>
    </row>
    <row r="14" spans="1:5" ht="14.1" customHeight="1" x14ac:dyDescent="0.2">
      <c r="A14" s="19" t="s">
        <v>359</v>
      </c>
      <c r="B14" s="420">
        <v>41799940</v>
      </c>
      <c r="C14" s="418">
        <v>35951485</v>
      </c>
      <c r="D14" s="20">
        <v>5848455</v>
      </c>
    </row>
    <row r="15" spans="1:5" ht="14.1" customHeight="1" x14ac:dyDescent="0.2">
      <c r="A15" s="284" t="s">
        <v>113</v>
      </c>
      <c r="B15" s="419">
        <v>10271907</v>
      </c>
      <c r="C15" s="417">
        <v>8140342</v>
      </c>
      <c r="D15" s="285">
        <v>2131565</v>
      </c>
    </row>
    <row r="16" spans="1:5" ht="14.1" customHeight="1" x14ac:dyDescent="0.2">
      <c r="A16" s="19" t="s">
        <v>114</v>
      </c>
      <c r="B16" s="420">
        <v>2247553</v>
      </c>
      <c r="C16" s="418">
        <v>2025053</v>
      </c>
      <c r="D16" s="20">
        <v>222500</v>
      </c>
    </row>
    <row r="17" spans="1:4" ht="14.1" customHeight="1" x14ac:dyDescent="0.2">
      <c r="A17" s="284" t="s">
        <v>115</v>
      </c>
      <c r="B17" s="419">
        <v>6134391</v>
      </c>
      <c r="C17" s="417">
        <v>4303735</v>
      </c>
      <c r="D17" s="285">
        <v>1830656</v>
      </c>
    </row>
    <row r="18" spans="1:4" ht="14.1" customHeight="1" x14ac:dyDescent="0.2">
      <c r="A18" s="19" t="s">
        <v>116</v>
      </c>
      <c r="B18" s="420">
        <v>34025183</v>
      </c>
      <c r="C18" s="418">
        <v>30584600</v>
      </c>
      <c r="D18" s="20">
        <v>3440583</v>
      </c>
    </row>
    <row r="19" spans="1:4" ht="14.1" customHeight="1" x14ac:dyDescent="0.2">
      <c r="A19" s="284" t="s">
        <v>117</v>
      </c>
      <c r="B19" s="419">
        <v>24089529</v>
      </c>
      <c r="C19" s="417">
        <v>22940798</v>
      </c>
      <c r="D19" s="285">
        <v>1148731</v>
      </c>
    </row>
    <row r="20" spans="1:4" ht="14.1" customHeight="1" x14ac:dyDescent="0.2">
      <c r="A20" s="19" t="s">
        <v>118</v>
      </c>
      <c r="B20" s="420">
        <v>25838521</v>
      </c>
      <c r="C20" s="418">
        <v>24814995</v>
      </c>
      <c r="D20" s="37">
        <v>1023526</v>
      </c>
    </row>
    <row r="21" spans="1:4" ht="14.1" customHeight="1" x14ac:dyDescent="0.2">
      <c r="A21" s="284" t="s">
        <v>119</v>
      </c>
      <c r="B21" s="419">
        <v>4855968</v>
      </c>
      <c r="C21" s="417">
        <v>4772506</v>
      </c>
      <c r="D21" s="285">
        <v>83462</v>
      </c>
    </row>
    <row r="22" spans="1:4" ht="14.1" customHeight="1" x14ac:dyDescent="0.2">
      <c r="A22" s="19" t="s">
        <v>120</v>
      </c>
      <c r="B22" s="420">
        <v>18357161</v>
      </c>
      <c r="C22" s="418">
        <v>18357161</v>
      </c>
      <c r="D22" s="20">
        <v>0</v>
      </c>
    </row>
    <row r="23" spans="1:4" ht="14.1" customHeight="1" x14ac:dyDescent="0.2">
      <c r="A23" s="284" t="s">
        <v>121</v>
      </c>
      <c r="B23" s="419">
        <v>5567662</v>
      </c>
      <c r="C23" s="417">
        <v>3975754</v>
      </c>
      <c r="D23" s="285">
        <v>1591908</v>
      </c>
    </row>
    <row r="24" spans="1:4" ht="14.1" customHeight="1" x14ac:dyDescent="0.2">
      <c r="A24" s="19" t="s">
        <v>122</v>
      </c>
      <c r="B24" s="420">
        <v>12186640</v>
      </c>
      <c r="C24" s="418">
        <v>10511850</v>
      </c>
      <c r="D24" s="20">
        <v>1674790</v>
      </c>
    </row>
    <row r="25" spans="1:4" ht="14.1" customHeight="1" x14ac:dyDescent="0.2">
      <c r="A25" s="284" t="s">
        <v>123</v>
      </c>
      <c r="B25" s="419">
        <v>28582971</v>
      </c>
      <c r="C25" s="417">
        <v>24317487</v>
      </c>
      <c r="D25" s="285">
        <v>4265484</v>
      </c>
    </row>
    <row r="26" spans="1:4" ht="14.1" customHeight="1" x14ac:dyDescent="0.2">
      <c r="A26" s="19" t="s">
        <v>124</v>
      </c>
      <c r="B26" s="420">
        <v>5356434</v>
      </c>
      <c r="C26" s="418">
        <v>4937558</v>
      </c>
      <c r="D26" s="20">
        <v>418876</v>
      </c>
    </row>
    <row r="27" spans="1:4" ht="14.1" customHeight="1" x14ac:dyDescent="0.2">
      <c r="A27" s="284" t="s">
        <v>125</v>
      </c>
      <c r="B27" s="419">
        <v>8451504</v>
      </c>
      <c r="C27" s="417">
        <v>7893849</v>
      </c>
      <c r="D27" s="285">
        <v>557655</v>
      </c>
    </row>
    <row r="28" spans="1:4" ht="14.1" customHeight="1" x14ac:dyDescent="0.2">
      <c r="A28" s="19" t="s">
        <v>126</v>
      </c>
      <c r="B28" s="420">
        <v>1267927</v>
      </c>
      <c r="C28" s="418">
        <v>1267927</v>
      </c>
      <c r="D28" s="20">
        <v>0</v>
      </c>
    </row>
    <row r="29" spans="1:4" ht="14.1" customHeight="1" x14ac:dyDescent="0.2">
      <c r="A29" s="284" t="s">
        <v>127</v>
      </c>
      <c r="B29" s="419">
        <v>42433738</v>
      </c>
      <c r="C29" s="417">
        <v>26716734</v>
      </c>
      <c r="D29" s="285">
        <v>15717004</v>
      </c>
    </row>
    <row r="30" spans="1:4" ht="14.1" customHeight="1" x14ac:dyDescent="0.2">
      <c r="A30" s="19" t="s">
        <v>128</v>
      </c>
      <c r="B30" s="420">
        <v>2833561</v>
      </c>
      <c r="C30" s="418">
        <v>1278569</v>
      </c>
      <c r="D30" s="20">
        <v>1554992</v>
      </c>
    </row>
    <row r="31" spans="1:4" ht="14.1" customHeight="1" x14ac:dyDescent="0.2">
      <c r="A31" s="284" t="s">
        <v>129</v>
      </c>
      <c r="B31" s="419">
        <v>9623731</v>
      </c>
      <c r="C31" s="417">
        <v>5634244</v>
      </c>
      <c r="D31" s="285">
        <v>3989487</v>
      </c>
    </row>
    <row r="32" spans="1:4" ht="14.1" customHeight="1" x14ac:dyDescent="0.2">
      <c r="A32" s="19" t="s">
        <v>130</v>
      </c>
      <c r="B32" s="420">
        <v>5306359</v>
      </c>
      <c r="C32" s="418">
        <v>5014866</v>
      </c>
      <c r="D32" s="20">
        <v>291490</v>
      </c>
    </row>
    <row r="33" spans="1:4" ht="14.1" customHeight="1" x14ac:dyDescent="0.2">
      <c r="A33" s="284" t="s">
        <v>131</v>
      </c>
      <c r="B33" s="419">
        <v>7968986</v>
      </c>
      <c r="C33" s="417">
        <v>6609652</v>
      </c>
      <c r="D33" s="285">
        <v>1359334</v>
      </c>
    </row>
    <row r="34" spans="1:4" ht="14.1" customHeight="1" x14ac:dyDescent="0.2">
      <c r="A34" s="19" t="s">
        <v>132</v>
      </c>
      <c r="B34" s="420">
        <v>7850713</v>
      </c>
      <c r="C34" s="418">
        <v>7480644</v>
      </c>
      <c r="D34" s="20">
        <v>370069</v>
      </c>
    </row>
    <row r="35" spans="1:4" ht="14.1" customHeight="1" x14ac:dyDescent="0.2">
      <c r="A35" s="284" t="s">
        <v>133</v>
      </c>
      <c r="B35" s="419">
        <v>27561293</v>
      </c>
      <c r="C35" s="417">
        <v>24778557</v>
      </c>
      <c r="D35" s="285">
        <v>2782736</v>
      </c>
    </row>
    <row r="36" spans="1:4" ht="14.1" customHeight="1" x14ac:dyDescent="0.2">
      <c r="A36" s="19" t="s">
        <v>134</v>
      </c>
      <c r="B36" s="420">
        <v>7964178</v>
      </c>
      <c r="C36" s="418">
        <v>5162109</v>
      </c>
      <c r="D36" s="20">
        <v>2802069</v>
      </c>
    </row>
    <row r="37" spans="1:4" ht="14.1" customHeight="1" x14ac:dyDescent="0.2">
      <c r="A37" s="284" t="s">
        <v>135</v>
      </c>
      <c r="B37" s="419">
        <v>11715100</v>
      </c>
      <c r="C37" s="417">
        <v>11424600</v>
      </c>
      <c r="D37" s="285">
        <v>290500</v>
      </c>
    </row>
    <row r="38" spans="1:4" ht="14.1" customHeight="1" x14ac:dyDescent="0.2">
      <c r="A38" s="19" t="s">
        <v>136</v>
      </c>
      <c r="B38" s="420">
        <v>47456712</v>
      </c>
      <c r="C38" s="418">
        <v>46968342</v>
      </c>
      <c r="D38" s="20">
        <v>488370</v>
      </c>
    </row>
    <row r="39" spans="1:4" ht="14.1" customHeight="1" x14ac:dyDescent="0.2">
      <c r="A39" s="284" t="s">
        <v>137</v>
      </c>
      <c r="B39" s="419">
        <v>8591051</v>
      </c>
      <c r="C39" s="417">
        <v>5497533</v>
      </c>
      <c r="D39" s="285">
        <v>3093518</v>
      </c>
    </row>
    <row r="40" spans="1:4" ht="14.1" customHeight="1" x14ac:dyDescent="0.2">
      <c r="A40" s="19" t="s">
        <v>138</v>
      </c>
      <c r="B40" s="420">
        <v>33351357</v>
      </c>
      <c r="C40" s="418">
        <v>27450617</v>
      </c>
      <c r="D40" s="20">
        <v>5900740</v>
      </c>
    </row>
    <row r="41" spans="1:4" ht="14.1" customHeight="1" x14ac:dyDescent="0.2">
      <c r="A41" s="284" t="s">
        <v>139</v>
      </c>
      <c r="B41" s="419">
        <v>13770137</v>
      </c>
      <c r="C41" s="417">
        <v>13051183</v>
      </c>
      <c r="D41" s="285">
        <v>718954</v>
      </c>
    </row>
    <row r="42" spans="1:4" ht="14.1" customHeight="1" x14ac:dyDescent="0.2">
      <c r="A42" s="19" t="s">
        <v>140</v>
      </c>
      <c r="B42" s="420">
        <v>6255289</v>
      </c>
      <c r="C42" s="418">
        <v>3458118</v>
      </c>
      <c r="D42" s="20">
        <v>2797171</v>
      </c>
    </row>
    <row r="43" spans="1:4" ht="14.1" customHeight="1" x14ac:dyDescent="0.2">
      <c r="A43" s="284" t="s">
        <v>141</v>
      </c>
      <c r="B43" s="419">
        <v>1037699</v>
      </c>
      <c r="C43" s="417">
        <v>900833</v>
      </c>
      <c r="D43" s="285">
        <v>136866</v>
      </c>
    </row>
    <row r="44" spans="1:4" ht="14.1" customHeight="1" x14ac:dyDescent="0.2">
      <c r="A44" s="19" t="s">
        <v>142</v>
      </c>
      <c r="B44" s="420">
        <v>3161501</v>
      </c>
      <c r="C44" s="418">
        <v>1554594</v>
      </c>
      <c r="D44" s="20">
        <v>1606907</v>
      </c>
    </row>
    <row r="45" spans="1:4" ht="14.1" customHeight="1" x14ac:dyDescent="0.2">
      <c r="A45" s="284" t="s">
        <v>143</v>
      </c>
      <c r="B45" s="419">
        <v>4891265</v>
      </c>
      <c r="C45" s="417">
        <v>4196445</v>
      </c>
      <c r="D45" s="285">
        <v>694820</v>
      </c>
    </row>
    <row r="46" spans="1:4" ht="14.1" customHeight="1" x14ac:dyDescent="0.2">
      <c r="A46" s="19" t="s">
        <v>144</v>
      </c>
      <c r="B46" s="420">
        <v>81951568</v>
      </c>
      <c r="C46" s="418">
        <v>78462818</v>
      </c>
      <c r="D46" s="20">
        <v>3488750</v>
      </c>
    </row>
    <row r="47" spans="1:4" ht="5.0999999999999996" customHeight="1" x14ac:dyDescent="0.2">
      <c r="A47" s="21"/>
      <c r="B47" s="22"/>
      <c r="C47" s="22"/>
      <c r="D47" s="22"/>
    </row>
    <row r="48" spans="1:4" ht="14.1" customHeight="1" x14ac:dyDescent="0.2">
      <c r="A48" s="286" t="s">
        <v>145</v>
      </c>
      <c r="B48" s="422">
        <f>SUM(B11:B46)</f>
        <v>591766996</v>
      </c>
      <c r="C48" s="421">
        <f>SUM(C11:C46)</f>
        <v>507238079</v>
      </c>
      <c r="D48" s="287">
        <f>SUM(D11:D46)</f>
        <v>84528914</v>
      </c>
    </row>
    <row r="49" spans="1:5" ht="5.0999999999999996" customHeight="1" x14ac:dyDescent="0.2">
      <c r="A49" s="21" t="s">
        <v>7</v>
      </c>
      <c r="B49" s="22"/>
      <c r="C49" s="22"/>
      <c r="D49" s="22"/>
    </row>
    <row r="50" spans="1:5" ht="14.1" customHeight="1" x14ac:dyDescent="0.2">
      <c r="A50" s="19" t="s">
        <v>146</v>
      </c>
      <c r="B50" s="420">
        <v>1527612</v>
      </c>
      <c r="C50" s="418">
        <v>904542</v>
      </c>
      <c r="D50" s="37">
        <v>623070</v>
      </c>
    </row>
    <row r="51" spans="1:5" ht="14.1" customHeight="1" x14ac:dyDescent="0.2">
      <c r="A51" s="284" t="s">
        <v>601</v>
      </c>
      <c r="B51" s="419">
        <v>6242334</v>
      </c>
      <c r="C51" s="417">
        <v>6242334</v>
      </c>
      <c r="D51" s="285">
        <v>0</v>
      </c>
    </row>
    <row r="52" spans="1:5" ht="50.1" customHeight="1" x14ac:dyDescent="0.2">
      <c r="A52" s="23"/>
      <c r="B52" s="23"/>
      <c r="C52" s="23"/>
      <c r="D52" s="23"/>
      <c r="E52" s="23"/>
    </row>
    <row r="53" spans="1:5" ht="21.6" customHeight="1" x14ac:dyDescent="0.2">
      <c r="A53" s="754" t="s">
        <v>635</v>
      </c>
      <c r="B53" s="754"/>
      <c r="C53" s="754"/>
      <c r="D53" s="754"/>
      <c r="E53" s="754"/>
    </row>
    <row r="54" spans="1:5" ht="2.4500000000000002" customHeight="1" x14ac:dyDescent="0.2">
      <c r="A54" s="755"/>
      <c r="B54" s="755"/>
      <c r="C54" s="755"/>
      <c r="D54" s="755"/>
      <c r="E54" s="755"/>
    </row>
    <row r="55" spans="1:5" x14ac:dyDescent="0.2">
      <c r="A55" s="502" t="s">
        <v>353</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H57"/>
  <sheetViews>
    <sheetView showGridLines="0" showZeros="0" workbookViewId="0"/>
  </sheetViews>
  <sheetFormatPr defaultColWidth="15.83203125" defaultRowHeight="12" x14ac:dyDescent="0.2"/>
  <cols>
    <col min="1" max="1" width="29" style="2" customWidth="1"/>
    <col min="2" max="2" width="14.33203125" style="2" customWidth="1"/>
    <col min="3" max="3" width="16.33203125" style="2" customWidth="1"/>
    <col min="4" max="4" width="15.1640625" style="2" customWidth="1"/>
    <col min="5" max="5" width="15" style="2" customWidth="1"/>
    <col min="6" max="6" width="15.1640625" style="2" customWidth="1"/>
    <col min="7" max="7" width="16.6640625" style="2" customWidth="1"/>
    <col min="8" max="16384" width="15.83203125" style="2"/>
  </cols>
  <sheetData>
    <row r="1" spans="1:7" ht="6.95" customHeight="1" x14ac:dyDescent="0.2">
      <c r="A1" s="7"/>
    </row>
    <row r="2" spans="1:7" ht="15.95" customHeight="1" x14ac:dyDescent="0.2">
      <c r="A2" s="134"/>
      <c r="B2" s="748" t="str">
        <f>"CAPITAL FUND "&amp;FALLYR&amp;"/"&amp;SPRINGYR&amp;" ACTUAL"</f>
        <v>CAPITAL FUND 2018/2019 ACTUAL</v>
      </c>
      <c r="C2" s="748"/>
      <c r="D2" s="748"/>
      <c r="E2" s="748"/>
      <c r="F2" s="748"/>
      <c r="G2" s="231" t="s">
        <v>256</v>
      </c>
    </row>
    <row r="3" spans="1:7" ht="15.95" customHeight="1" x14ac:dyDescent="0.2">
      <c r="A3" s="541"/>
      <c r="B3" s="743" t="s">
        <v>3</v>
      </c>
      <c r="C3" s="743"/>
      <c r="D3" s="743"/>
      <c r="E3" s="743"/>
      <c r="F3" s="743"/>
      <c r="G3" s="226"/>
    </row>
    <row r="4" spans="1:7" ht="15.95" customHeight="1" x14ac:dyDescent="0.2">
      <c r="B4" s="8"/>
      <c r="C4" s="227"/>
      <c r="D4" s="8"/>
      <c r="E4" s="8"/>
    </row>
    <row r="5" spans="1:7" ht="15.95" customHeight="1" x14ac:dyDescent="0.2">
      <c r="B5" s="8"/>
      <c r="C5" s="8"/>
      <c r="D5" s="8"/>
      <c r="E5" s="8"/>
    </row>
    <row r="6" spans="1:7" ht="15.95" customHeight="1" x14ac:dyDescent="0.2">
      <c r="B6" s="766" t="s">
        <v>275</v>
      </c>
      <c r="C6" s="767"/>
      <c r="D6" s="767"/>
      <c r="E6" s="767"/>
      <c r="F6" s="767"/>
      <c r="G6" s="768"/>
    </row>
    <row r="7" spans="1:7" ht="15.95" customHeight="1" x14ac:dyDescent="0.2">
      <c r="B7" s="423"/>
      <c r="C7" s="451"/>
      <c r="D7" s="769" t="s">
        <v>542</v>
      </c>
      <c r="E7" s="769" t="s">
        <v>543</v>
      </c>
      <c r="F7" s="423"/>
      <c r="G7" s="410"/>
    </row>
    <row r="8" spans="1:7" ht="15.95" customHeight="1" x14ac:dyDescent="0.2">
      <c r="A8" s="403"/>
      <c r="B8" s="764" t="s">
        <v>271</v>
      </c>
      <c r="C8" s="437"/>
      <c r="D8" s="744"/>
      <c r="E8" s="744"/>
      <c r="F8" s="424"/>
      <c r="G8" s="411"/>
    </row>
    <row r="9" spans="1:7" ht="15.95" customHeight="1" x14ac:dyDescent="0.2">
      <c r="A9" s="404" t="s">
        <v>42</v>
      </c>
      <c r="B9" s="765"/>
      <c r="C9" s="425" t="s">
        <v>282</v>
      </c>
      <c r="D9" s="745"/>
      <c r="E9" s="745"/>
      <c r="F9" s="425" t="s">
        <v>363</v>
      </c>
      <c r="G9" s="299" t="s">
        <v>31</v>
      </c>
    </row>
    <row r="10" spans="1:7" ht="5.0999999999999996" customHeight="1" x14ac:dyDescent="0.2">
      <c r="A10" s="6"/>
      <c r="B10" s="207"/>
      <c r="C10" s="207"/>
      <c r="D10" s="207"/>
      <c r="E10" s="207"/>
      <c r="F10" s="207"/>
      <c r="G10" s="207"/>
    </row>
    <row r="11" spans="1:7" ht="14.1" customHeight="1" x14ac:dyDescent="0.2">
      <c r="A11" s="284" t="s">
        <v>110</v>
      </c>
      <c r="B11" s="285">
        <v>403174</v>
      </c>
      <c r="C11" s="285">
        <v>10689306</v>
      </c>
      <c r="D11" s="285">
        <v>26982</v>
      </c>
      <c r="E11" s="285">
        <v>0</v>
      </c>
      <c r="F11" s="285">
        <v>263255</v>
      </c>
      <c r="G11" s="285">
        <f>SUM(B11:F11)</f>
        <v>11382717</v>
      </c>
    </row>
    <row r="12" spans="1:7" ht="14.1" customHeight="1" x14ac:dyDescent="0.2">
      <c r="A12" s="19" t="s">
        <v>111</v>
      </c>
      <c r="B12" s="20">
        <v>101544</v>
      </c>
      <c r="C12" s="20">
        <v>3199755</v>
      </c>
      <c r="D12" s="20">
        <v>634355</v>
      </c>
      <c r="E12" s="20">
        <v>157002</v>
      </c>
      <c r="F12" s="20">
        <v>271461</v>
      </c>
      <c r="G12" s="20">
        <f>SUM(B12:F12)</f>
        <v>4364117</v>
      </c>
    </row>
    <row r="13" spans="1:7" ht="14.1" customHeight="1" x14ac:dyDescent="0.2">
      <c r="A13" s="284" t="s">
        <v>112</v>
      </c>
      <c r="B13" s="285">
        <v>0</v>
      </c>
      <c r="C13" s="285">
        <v>6839655</v>
      </c>
      <c r="D13" s="285">
        <v>268231</v>
      </c>
      <c r="E13" s="285">
        <v>299667</v>
      </c>
      <c r="F13" s="285">
        <v>595177</v>
      </c>
      <c r="G13" s="285">
        <f t="shared" ref="G13:G46" si="0">SUM(B13:F13)</f>
        <v>8002730</v>
      </c>
    </row>
    <row r="14" spans="1:7" ht="14.1" customHeight="1" x14ac:dyDescent="0.2">
      <c r="A14" s="19" t="s">
        <v>359</v>
      </c>
      <c r="B14" s="20">
        <v>185512</v>
      </c>
      <c r="C14" s="20">
        <v>5365468</v>
      </c>
      <c r="D14" s="20">
        <v>234657</v>
      </c>
      <c r="E14" s="20">
        <v>0</v>
      </c>
      <c r="F14" s="20">
        <v>0</v>
      </c>
      <c r="G14" s="20">
        <f t="shared" si="0"/>
        <v>5785637</v>
      </c>
    </row>
    <row r="15" spans="1:7" ht="14.1" customHeight="1" x14ac:dyDescent="0.2">
      <c r="A15" s="284" t="s">
        <v>113</v>
      </c>
      <c r="B15" s="285">
        <v>57506</v>
      </c>
      <c r="C15" s="285">
        <v>346819</v>
      </c>
      <c r="D15" s="285">
        <v>265991</v>
      </c>
      <c r="E15" s="285">
        <v>301279</v>
      </c>
      <c r="F15" s="285">
        <v>420806</v>
      </c>
      <c r="G15" s="285">
        <f t="shared" si="0"/>
        <v>1392401</v>
      </c>
    </row>
    <row r="16" spans="1:7" ht="14.1" customHeight="1" x14ac:dyDescent="0.2">
      <c r="A16" s="19" t="s">
        <v>114</v>
      </c>
      <c r="B16" s="20">
        <v>0</v>
      </c>
      <c r="C16" s="20">
        <v>2572902</v>
      </c>
      <c r="D16" s="20">
        <v>0</v>
      </c>
      <c r="E16" s="20">
        <v>25755</v>
      </c>
      <c r="F16" s="20">
        <v>0</v>
      </c>
      <c r="G16" s="20">
        <f t="shared" si="0"/>
        <v>2598657</v>
      </c>
    </row>
    <row r="17" spans="1:7" ht="14.1" customHeight="1" x14ac:dyDescent="0.2">
      <c r="A17" s="284" t="s">
        <v>115</v>
      </c>
      <c r="B17" s="285">
        <v>0</v>
      </c>
      <c r="C17" s="285">
        <v>2711125</v>
      </c>
      <c r="D17" s="285">
        <v>13106</v>
      </c>
      <c r="E17" s="285">
        <v>0</v>
      </c>
      <c r="F17" s="285">
        <v>121063</v>
      </c>
      <c r="G17" s="285">
        <f t="shared" si="0"/>
        <v>2845294</v>
      </c>
    </row>
    <row r="18" spans="1:7" ht="14.1" customHeight="1" x14ac:dyDescent="0.2">
      <c r="A18" s="19" t="s">
        <v>116</v>
      </c>
      <c r="B18" s="20">
        <v>0</v>
      </c>
      <c r="C18" s="20">
        <v>1423571</v>
      </c>
      <c r="D18" s="20">
        <v>34112</v>
      </c>
      <c r="E18" s="20">
        <v>0</v>
      </c>
      <c r="F18" s="20">
        <v>1754207</v>
      </c>
      <c r="G18" s="20">
        <f t="shared" si="0"/>
        <v>3211890</v>
      </c>
    </row>
    <row r="19" spans="1:7" ht="14.1" customHeight="1" x14ac:dyDescent="0.2">
      <c r="A19" s="284" t="s">
        <v>117</v>
      </c>
      <c r="B19" s="285">
        <v>0</v>
      </c>
      <c r="C19" s="285">
        <v>14886510</v>
      </c>
      <c r="D19" s="285">
        <v>64539</v>
      </c>
      <c r="E19" s="285">
        <v>56509</v>
      </c>
      <c r="F19" s="285">
        <v>591353</v>
      </c>
      <c r="G19" s="285">
        <f t="shared" si="0"/>
        <v>15598911</v>
      </c>
    </row>
    <row r="20" spans="1:7" ht="14.1" customHeight="1" x14ac:dyDescent="0.2">
      <c r="A20" s="19" t="s">
        <v>118</v>
      </c>
      <c r="B20" s="20">
        <v>1079427</v>
      </c>
      <c r="C20" s="20">
        <v>11355961</v>
      </c>
      <c r="D20" s="20">
        <v>139980</v>
      </c>
      <c r="E20" s="20">
        <v>32829</v>
      </c>
      <c r="F20" s="20">
        <v>559749</v>
      </c>
      <c r="G20" s="20">
        <f t="shared" si="0"/>
        <v>13167946</v>
      </c>
    </row>
    <row r="21" spans="1:7" ht="14.1" customHeight="1" x14ac:dyDescent="0.2">
      <c r="A21" s="284" t="s">
        <v>119</v>
      </c>
      <c r="B21" s="285">
        <v>0</v>
      </c>
      <c r="C21" s="285">
        <v>2181932</v>
      </c>
      <c r="D21" s="285">
        <v>0</v>
      </c>
      <c r="E21" s="285">
        <v>0</v>
      </c>
      <c r="F21" s="285">
        <v>259780</v>
      </c>
      <c r="G21" s="285">
        <f t="shared" si="0"/>
        <v>2441712</v>
      </c>
    </row>
    <row r="22" spans="1:7" ht="14.1" customHeight="1" x14ac:dyDescent="0.2">
      <c r="A22" s="19" t="s">
        <v>120</v>
      </c>
      <c r="B22" s="20">
        <v>0</v>
      </c>
      <c r="C22" s="20">
        <v>0</v>
      </c>
      <c r="D22" s="20">
        <v>13128</v>
      </c>
      <c r="E22" s="20">
        <v>0</v>
      </c>
      <c r="F22" s="20">
        <v>154583</v>
      </c>
      <c r="G22" s="20">
        <f t="shared" si="0"/>
        <v>167711</v>
      </c>
    </row>
    <row r="23" spans="1:7" ht="14.1" customHeight="1" x14ac:dyDescent="0.2">
      <c r="A23" s="284" t="s">
        <v>121</v>
      </c>
      <c r="B23" s="285">
        <v>0</v>
      </c>
      <c r="C23" s="285">
        <v>47220</v>
      </c>
      <c r="D23" s="285">
        <v>247812</v>
      </c>
      <c r="E23" s="285">
        <v>0</v>
      </c>
      <c r="F23" s="285">
        <v>149072</v>
      </c>
      <c r="G23" s="285">
        <f t="shared" si="0"/>
        <v>444104</v>
      </c>
    </row>
    <row r="24" spans="1:7" ht="14.1" customHeight="1" x14ac:dyDescent="0.2">
      <c r="A24" s="19" t="s">
        <v>122</v>
      </c>
      <c r="B24" s="20">
        <v>0</v>
      </c>
      <c r="C24" s="20">
        <v>2392559</v>
      </c>
      <c r="D24" s="20">
        <v>703270</v>
      </c>
      <c r="E24" s="20">
        <v>41480</v>
      </c>
      <c r="F24" s="20">
        <v>653940</v>
      </c>
      <c r="G24" s="20">
        <f t="shared" si="0"/>
        <v>3791249</v>
      </c>
    </row>
    <row r="25" spans="1:7" ht="14.1" customHeight="1" x14ac:dyDescent="0.2">
      <c r="A25" s="284" t="s">
        <v>123</v>
      </c>
      <c r="B25" s="285">
        <v>94128</v>
      </c>
      <c r="C25" s="285">
        <v>6996627</v>
      </c>
      <c r="D25" s="285">
        <v>957799</v>
      </c>
      <c r="E25" s="285">
        <v>437713</v>
      </c>
      <c r="F25" s="285">
        <v>498669</v>
      </c>
      <c r="G25" s="285">
        <f t="shared" si="0"/>
        <v>8984936</v>
      </c>
    </row>
    <row r="26" spans="1:7" ht="14.1" customHeight="1" x14ac:dyDescent="0.2">
      <c r="A26" s="19" t="s">
        <v>124</v>
      </c>
      <c r="B26" s="20">
        <v>0</v>
      </c>
      <c r="C26" s="20">
        <v>2350186</v>
      </c>
      <c r="D26" s="20">
        <v>358440</v>
      </c>
      <c r="E26" s="20">
        <v>44069</v>
      </c>
      <c r="F26" s="20">
        <v>394486</v>
      </c>
      <c r="G26" s="20">
        <f t="shared" si="0"/>
        <v>3147181</v>
      </c>
    </row>
    <row r="27" spans="1:7" ht="14.1" customHeight="1" x14ac:dyDescent="0.2">
      <c r="A27" s="284" t="s">
        <v>125</v>
      </c>
      <c r="B27" s="285">
        <v>191236</v>
      </c>
      <c r="C27" s="285">
        <v>255034</v>
      </c>
      <c r="D27" s="285">
        <v>92666</v>
      </c>
      <c r="E27" s="285">
        <v>0</v>
      </c>
      <c r="F27" s="285">
        <v>57631</v>
      </c>
      <c r="G27" s="285">
        <f t="shared" si="0"/>
        <v>596567</v>
      </c>
    </row>
    <row r="28" spans="1:7" ht="14.1" customHeight="1" x14ac:dyDescent="0.2">
      <c r="A28" s="19" t="s">
        <v>126</v>
      </c>
      <c r="B28" s="20">
        <v>0</v>
      </c>
      <c r="C28" s="20">
        <v>135876</v>
      </c>
      <c r="D28" s="20">
        <v>451719</v>
      </c>
      <c r="E28" s="20">
        <v>0</v>
      </c>
      <c r="F28" s="20">
        <v>19723</v>
      </c>
      <c r="G28" s="20">
        <f t="shared" si="0"/>
        <v>607318</v>
      </c>
    </row>
    <row r="29" spans="1:7" ht="14.1" customHeight="1" x14ac:dyDescent="0.2">
      <c r="A29" s="284" t="s">
        <v>127</v>
      </c>
      <c r="B29" s="285">
        <v>3507824</v>
      </c>
      <c r="C29" s="285">
        <v>5792763</v>
      </c>
      <c r="D29" s="285">
        <v>264599</v>
      </c>
      <c r="E29" s="285">
        <v>177471</v>
      </c>
      <c r="F29" s="285">
        <v>1234017</v>
      </c>
      <c r="G29" s="285">
        <f t="shared" si="0"/>
        <v>10976674</v>
      </c>
    </row>
    <row r="30" spans="1:7" ht="14.1" customHeight="1" x14ac:dyDescent="0.2">
      <c r="A30" s="19" t="s">
        <v>128</v>
      </c>
      <c r="B30" s="20">
        <v>0</v>
      </c>
      <c r="C30" s="20">
        <v>265770</v>
      </c>
      <c r="D30" s="20">
        <v>66304</v>
      </c>
      <c r="E30" s="20">
        <v>6061</v>
      </c>
      <c r="F30" s="20">
        <v>40270</v>
      </c>
      <c r="G30" s="20">
        <f t="shared" si="0"/>
        <v>378405</v>
      </c>
    </row>
    <row r="31" spans="1:7" ht="14.1" customHeight="1" x14ac:dyDescent="0.2">
      <c r="A31" s="284" t="s">
        <v>129</v>
      </c>
      <c r="B31" s="285">
        <v>75639</v>
      </c>
      <c r="C31" s="285">
        <v>4529715</v>
      </c>
      <c r="D31" s="285">
        <v>59703</v>
      </c>
      <c r="E31" s="285">
        <v>403856</v>
      </c>
      <c r="F31" s="285">
        <v>521368</v>
      </c>
      <c r="G31" s="285">
        <f t="shared" si="0"/>
        <v>5590281</v>
      </c>
    </row>
    <row r="32" spans="1:7" ht="14.1" customHeight="1" x14ac:dyDescent="0.2">
      <c r="A32" s="19" t="s">
        <v>130</v>
      </c>
      <c r="B32" s="20">
        <v>0</v>
      </c>
      <c r="C32" s="20">
        <v>1336272</v>
      </c>
      <c r="D32" s="20">
        <v>49774</v>
      </c>
      <c r="E32" s="20">
        <v>0</v>
      </c>
      <c r="F32" s="20">
        <v>252888</v>
      </c>
      <c r="G32" s="20">
        <f t="shared" si="0"/>
        <v>1638934</v>
      </c>
    </row>
    <row r="33" spans="1:8" ht="14.1" customHeight="1" x14ac:dyDescent="0.2">
      <c r="A33" s="284" t="s">
        <v>131</v>
      </c>
      <c r="B33" s="285">
        <v>0</v>
      </c>
      <c r="C33" s="285">
        <v>475503</v>
      </c>
      <c r="D33" s="285">
        <v>21798</v>
      </c>
      <c r="E33" s="285">
        <v>9864</v>
      </c>
      <c r="F33" s="285">
        <v>417249</v>
      </c>
      <c r="G33" s="285">
        <f t="shared" si="0"/>
        <v>924414</v>
      </c>
    </row>
    <row r="34" spans="1:8" ht="14.1" customHeight="1" x14ac:dyDescent="0.2">
      <c r="A34" s="19" t="s">
        <v>132</v>
      </c>
      <c r="B34" s="20">
        <v>36939</v>
      </c>
      <c r="C34" s="20">
        <v>2992421</v>
      </c>
      <c r="D34" s="20">
        <v>49291</v>
      </c>
      <c r="E34" s="20">
        <v>0</v>
      </c>
      <c r="F34" s="20">
        <v>425299</v>
      </c>
      <c r="G34" s="20">
        <f t="shared" si="0"/>
        <v>3503950</v>
      </c>
    </row>
    <row r="35" spans="1:8" ht="14.1" customHeight="1" x14ac:dyDescent="0.2">
      <c r="A35" s="284" t="s">
        <v>133</v>
      </c>
      <c r="B35" s="285">
        <v>0</v>
      </c>
      <c r="C35" s="285">
        <v>11307104</v>
      </c>
      <c r="D35" s="285">
        <v>79397</v>
      </c>
      <c r="E35" s="285">
        <v>1274817</v>
      </c>
      <c r="F35" s="285">
        <v>1197886</v>
      </c>
      <c r="G35" s="285">
        <f t="shared" si="0"/>
        <v>13859204</v>
      </c>
    </row>
    <row r="36" spans="1:8" ht="14.1" customHeight="1" x14ac:dyDescent="0.2">
      <c r="A36" s="19" t="s">
        <v>134</v>
      </c>
      <c r="B36" s="20">
        <v>0</v>
      </c>
      <c r="C36" s="20">
        <v>1370389</v>
      </c>
      <c r="D36" s="20">
        <v>0</v>
      </c>
      <c r="E36" s="20">
        <v>0</v>
      </c>
      <c r="F36" s="20">
        <v>414528</v>
      </c>
      <c r="G36" s="20">
        <f t="shared" si="0"/>
        <v>1784917</v>
      </c>
    </row>
    <row r="37" spans="1:8" ht="14.1" customHeight="1" x14ac:dyDescent="0.2">
      <c r="A37" s="284" t="s">
        <v>135</v>
      </c>
      <c r="B37" s="285">
        <v>0</v>
      </c>
      <c r="C37" s="285">
        <v>8890797</v>
      </c>
      <c r="D37" s="285">
        <v>0</v>
      </c>
      <c r="E37" s="285">
        <v>0</v>
      </c>
      <c r="F37" s="285">
        <v>709385</v>
      </c>
      <c r="G37" s="285">
        <f t="shared" si="0"/>
        <v>9600182</v>
      </c>
    </row>
    <row r="38" spans="1:8" ht="14.1" customHeight="1" x14ac:dyDescent="0.2">
      <c r="A38" s="19" t="s">
        <v>136</v>
      </c>
      <c r="B38" s="20">
        <v>675661</v>
      </c>
      <c r="C38" s="20">
        <v>16495014</v>
      </c>
      <c r="D38" s="20">
        <v>285361</v>
      </c>
      <c r="E38" s="20">
        <v>164302</v>
      </c>
      <c r="F38" s="20">
        <v>684462</v>
      </c>
      <c r="G38" s="20">
        <f t="shared" si="0"/>
        <v>18304800</v>
      </c>
    </row>
    <row r="39" spans="1:8" ht="14.1" customHeight="1" x14ac:dyDescent="0.2">
      <c r="A39" s="284" t="s">
        <v>137</v>
      </c>
      <c r="B39" s="285">
        <v>0</v>
      </c>
      <c r="C39" s="285">
        <v>1640601</v>
      </c>
      <c r="D39" s="285">
        <v>44997</v>
      </c>
      <c r="E39" s="285">
        <v>173926</v>
      </c>
      <c r="F39" s="285">
        <v>594120</v>
      </c>
      <c r="G39" s="285">
        <f t="shared" si="0"/>
        <v>2453644</v>
      </c>
    </row>
    <row r="40" spans="1:8" ht="14.1" customHeight="1" x14ac:dyDescent="0.2">
      <c r="A40" s="19" t="s">
        <v>138</v>
      </c>
      <c r="B40" s="20">
        <v>680402</v>
      </c>
      <c r="C40" s="20">
        <v>4616381</v>
      </c>
      <c r="D40" s="20">
        <v>148932</v>
      </c>
      <c r="E40" s="20">
        <v>86069</v>
      </c>
      <c r="F40" s="20">
        <v>110070</v>
      </c>
      <c r="G40" s="20">
        <f t="shared" si="0"/>
        <v>5641854</v>
      </c>
    </row>
    <row r="41" spans="1:8" ht="14.1" customHeight="1" x14ac:dyDescent="0.2">
      <c r="A41" s="284" t="s">
        <v>139</v>
      </c>
      <c r="B41" s="285">
        <v>0</v>
      </c>
      <c r="C41" s="285">
        <v>8464463</v>
      </c>
      <c r="D41" s="285">
        <v>83708</v>
      </c>
      <c r="E41" s="285">
        <v>0</v>
      </c>
      <c r="F41" s="285">
        <v>1113598</v>
      </c>
      <c r="G41" s="285">
        <f t="shared" si="0"/>
        <v>9661769</v>
      </c>
    </row>
    <row r="42" spans="1:8" ht="14.1" customHeight="1" x14ac:dyDescent="0.2">
      <c r="A42" s="19" t="s">
        <v>140</v>
      </c>
      <c r="B42" s="20">
        <v>0</v>
      </c>
      <c r="C42" s="20">
        <v>132835</v>
      </c>
      <c r="D42" s="20">
        <v>90831</v>
      </c>
      <c r="E42" s="20">
        <v>71857</v>
      </c>
      <c r="F42" s="20">
        <v>224908</v>
      </c>
      <c r="G42" s="20">
        <f t="shared" si="0"/>
        <v>520431</v>
      </c>
    </row>
    <row r="43" spans="1:8" ht="14.1" customHeight="1" x14ac:dyDescent="0.2">
      <c r="A43" s="284" t="s">
        <v>141</v>
      </c>
      <c r="B43" s="285">
        <v>0</v>
      </c>
      <c r="C43" s="285">
        <v>4448422</v>
      </c>
      <c r="D43" s="285">
        <v>54840</v>
      </c>
      <c r="E43" s="285">
        <v>0</v>
      </c>
      <c r="F43" s="285">
        <v>197968</v>
      </c>
      <c r="G43" s="285">
        <f t="shared" si="0"/>
        <v>4701230</v>
      </c>
    </row>
    <row r="44" spans="1:8" ht="14.1" customHeight="1" x14ac:dyDescent="0.2">
      <c r="A44" s="19" t="s">
        <v>142</v>
      </c>
      <c r="B44" s="20">
        <v>0</v>
      </c>
      <c r="C44" s="20">
        <v>311903</v>
      </c>
      <c r="D44" s="20">
        <v>52772</v>
      </c>
      <c r="E44" s="20">
        <v>0</v>
      </c>
      <c r="F44" s="20">
        <v>69416</v>
      </c>
      <c r="G44" s="20">
        <f t="shared" si="0"/>
        <v>434091</v>
      </c>
    </row>
    <row r="45" spans="1:8" ht="14.1" customHeight="1" x14ac:dyDescent="0.2">
      <c r="A45" s="284" t="s">
        <v>143</v>
      </c>
      <c r="B45" s="285">
        <v>0</v>
      </c>
      <c r="C45" s="285">
        <v>1139946</v>
      </c>
      <c r="D45" s="285">
        <v>88634</v>
      </c>
      <c r="E45" s="285">
        <v>0</v>
      </c>
      <c r="F45" s="285">
        <v>0</v>
      </c>
      <c r="G45" s="285">
        <f t="shared" si="0"/>
        <v>1228580</v>
      </c>
    </row>
    <row r="46" spans="1:8" ht="14.1" customHeight="1" x14ac:dyDescent="0.2">
      <c r="A46" s="19" t="s">
        <v>144</v>
      </c>
      <c r="B46" s="20">
        <v>2375779</v>
      </c>
      <c r="C46" s="20">
        <v>19319384</v>
      </c>
      <c r="D46" s="20">
        <v>1012058</v>
      </c>
      <c r="E46" s="20">
        <v>166643</v>
      </c>
      <c r="F46" s="20">
        <v>1027493</v>
      </c>
      <c r="G46" s="20">
        <f t="shared" si="0"/>
        <v>23901357</v>
      </c>
    </row>
    <row r="47" spans="1:8" ht="5.0999999999999996" customHeight="1" x14ac:dyDescent="0.2">
      <c r="A47" s="21"/>
      <c r="B47" s="22"/>
      <c r="C47" s="22"/>
      <c r="D47" s="22"/>
      <c r="E47" s="22"/>
      <c r="F47" s="22"/>
      <c r="G47" s="22"/>
    </row>
    <row r="48" spans="1:8" ht="14.1" customHeight="1" x14ac:dyDescent="0.2">
      <c r="A48" s="286" t="s">
        <v>145</v>
      </c>
      <c r="B48" s="287">
        <f t="shared" ref="B48:G48" si="1">SUM(B11:B46)</f>
        <v>9464771</v>
      </c>
      <c r="C48" s="287">
        <f t="shared" si="1"/>
        <v>167280189</v>
      </c>
      <c r="D48" s="287">
        <f t="shared" si="1"/>
        <v>6959786</v>
      </c>
      <c r="E48" s="287">
        <f t="shared" si="1"/>
        <v>3931169</v>
      </c>
      <c r="F48" s="287">
        <f t="shared" si="1"/>
        <v>15999880</v>
      </c>
      <c r="G48" s="287">
        <f t="shared" si="1"/>
        <v>203635795</v>
      </c>
      <c r="H48" s="510">
        <v>0</v>
      </c>
    </row>
    <row r="49" spans="1:7" ht="5.0999999999999996" customHeight="1" x14ac:dyDescent="0.2">
      <c r="A49" s="21" t="s">
        <v>7</v>
      </c>
      <c r="B49" s="22"/>
      <c r="C49" s="22"/>
      <c r="D49" s="22"/>
      <c r="E49" s="22"/>
      <c r="F49" s="22"/>
      <c r="G49" s="22"/>
    </row>
    <row r="50" spans="1:7" ht="14.1" customHeight="1" x14ac:dyDescent="0.2">
      <c r="A50" s="19" t="s">
        <v>146</v>
      </c>
      <c r="B50" s="20">
        <v>0</v>
      </c>
      <c r="C50" s="20">
        <v>0</v>
      </c>
      <c r="D50" s="20">
        <v>0</v>
      </c>
      <c r="E50" s="20">
        <v>28074</v>
      </c>
      <c r="F50" s="20">
        <v>0</v>
      </c>
      <c r="G50" s="20">
        <f>SUM(B50:F50)</f>
        <v>28074</v>
      </c>
    </row>
    <row r="51" spans="1:7" ht="14.1" customHeight="1" x14ac:dyDescent="0.2">
      <c r="A51" s="284" t="s">
        <v>601</v>
      </c>
      <c r="B51" s="285">
        <v>0</v>
      </c>
      <c r="C51" s="285">
        <v>547104</v>
      </c>
      <c r="D51" s="285">
        <v>38533</v>
      </c>
      <c r="E51" s="285">
        <v>93311</v>
      </c>
      <c r="F51" s="285">
        <v>13700</v>
      </c>
      <c r="G51" s="285">
        <f>SUM(B51:F51)</f>
        <v>692648</v>
      </c>
    </row>
    <row r="52" spans="1:7" ht="50.1" customHeight="1" x14ac:dyDescent="0.2">
      <c r="A52" s="23"/>
      <c r="B52" s="23"/>
      <c r="C52" s="23"/>
      <c r="D52" s="23"/>
      <c r="E52" s="23"/>
      <c r="F52" s="23"/>
      <c r="G52" s="23"/>
    </row>
    <row r="53" spans="1:7" ht="15" customHeight="1" x14ac:dyDescent="0.2">
      <c r="A53" s="414" t="s">
        <v>354</v>
      </c>
    </row>
    <row r="54" spans="1:7" x14ac:dyDescent="0.2">
      <c r="A54" s="763" t="s">
        <v>622</v>
      </c>
      <c r="B54" s="763"/>
      <c r="C54" s="763"/>
      <c r="D54" s="763"/>
      <c r="E54" s="763"/>
      <c r="F54" s="763"/>
      <c r="G54" s="763"/>
    </row>
    <row r="55" spans="1:7" x14ac:dyDescent="0.2">
      <c r="A55" s="763"/>
      <c r="B55" s="763"/>
      <c r="C55" s="763"/>
      <c r="D55" s="763"/>
      <c r="E55" s="763"/>
      <c r="F55" s="763"/>
      <c r="G55" s="763"/>
    </row>
    <row r="56" spans="1:7" x14ac:dyDescent="0.2">
      <c r="A56" s="434" t="s">
        <v>416</v>
      </c>
    </row>
    <row r="57" spans="1:7" x14ac:dyDescent="0.2">
      <c r="A57" s="503" t="s">
        <v>355</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H55"/>
  <sheetViews>
    <sheetView showGridLines="0" showZeros="0" workbookViewId="0"/>
  </sheetViews>
  <sheetFormatPr defaultColWidth="19.83203125" defaultRowHeight="12" x14ac:dyDescent="0.2"/>
  <cols>
    <col min="1" max="1" width="30.83203125" style="2" customWidth="1"/>
    <col min="2" max="3" width="16.83203125" style="2" customWidth="1"/>
    <col min="4" max="4" width="3.83203125" style="2" customWidth="1"/>
    <col min="5" max="5" width="18.83203125" style="2" customWidth="1"/>
    <col min="6" max="7" width="16.83203125" style="2" customWidth="1"/>
    <col min="8" max="8" width="14.33203125" style="2" customWidth="1"/>
    <col min="9" max="16384" width="19.83203125" style="2"/>
  </cols>
  <sheetData>
    <row r="1" spans="1:8" ht="6.95" customHeight="1" x14ac:dyDescent="0.2">
      <c r="A1" s="7"/>
      <c r="B1" s="7"/>
      <c r="C1" s="7"/>
      <c r="D1" s="7"/>
    </row>
    <row r="2" spans="1:8" ht="15.95" customHeight="1" x14ac:dyDescent="0.2">
      <c r="A2" s="772" t="str">
        <f>"SPECIAL PURPOSE FUND "&amp;VALUE('- 66 -'!F9+1)&amp;"/"&amp;VALUE('- 66 -'!F9+2)&amp;" ACTUAL"</f>
        <v>SPECIAL PURPOSE FUND 2018/2019 ACTUAL</v>
      </c>
      <c r="B2" s="772"/>
      <c r="C2" s="772"/>
      <c r="D2" s="772"/>
      <c r="E2" s="772"/>
      <c r="F2" s="450" t="s">
        <v>96</v>
      </c>
      <c r="G2" s="446"/>
      <c r="H2" s="446"/>
    </row>
    <row r="3" spans="1:8" ht="15.95" customHeight="1" x14ac:dyDescent="0.2">
      <c r="A3" s="743" t="s">
        <v>391</v>
      </c>
      <c r="B3" s="743"/>
      <c r="C3" s="743"/>
      <c r="D3" s="743"/>
      <c r="E3" s="743"/>
      <c r="F3" s="743"/>
      <c r="G3" s="743"/>
      <c r="H3" s="743"/>
    </row>
    <row r="4" spans="1:8" ht="15.95" customHeight="1" x14ac:dyDescent="0.2">
      <c r="E4" s="8"/>
      <c r="F4" s="8"/>
      <c r="G4" s="8"/>
    </row>
    <row r="5" spans="1:8" ht="15.95" customHeight="1" x14ac:dyDescent="0.2">
      <c r="B5"/>
      <c r="C5"/>
      <c r="D5"/>
      <c r="E5"/>
      <c r="F5"/>
      <c r="G5"/>
      <c r="H5"/>
    </row>
    <row r="6" spans="1:8" ht="15.95" customHeight="1" x14ac:dyDescent="0.2">
      <c r="B6" s="432"/>
      <c r="C6" s="432"/>
      <c r="D6"/>
      <c r="E6" s="756" t="s">
        <v>545</v>
      </c>
      <c r="F6" s="752" t="s">
        <v>268</v>
      </c>
      <c r="G6" s="753"/>
    </row>
    <row r="7" spans="1:8" ht="15.95" customHeight="1" x14ac:dyDescent="0.2">
      <c r="B7" s="408"/>
      <c r="C7" s="408"/>
      <c r="D7"/>
      <c r="E7" s="757"/>
      <c r="F7" s="761" t="s">
        <v>375</v>
      </c>
      <c r="G7" s="408"/>
    </row>
    <row r="8" spans="1:8" ht="15.95" customHeight="1" x14ac:dyDescent="0.2">
      <c r="A8" s="403"/>
      <c r="B8" s="773" t="s">
        <v>533</v>
      </c>
      <c r="C8" s="773" t="s">
        <v>537</v>
      </c>
      <c r="D8"/>
      <c r="E8" s="757"/>
      <c r="F8" s="761"/>
      <c r="G8" s="759" t="s">
        <v>544</v>
      </c>
    </row>
    <row r="9" spans="1:8" ht="15.95" customHeight="1" x14ac:dyDescent="0.2">
      <c r="A9" s="404" t="s">
        <v>42</v>
      </c>
      <c r="B9" s="774"/>
      <c r="C9" s="774"/>
      <c r="D9"/>
      <c r="E9" s="758"/>
      <c r="F9" s="762"/>
      <c r="G9" s="760"/>
    </row>
    <row r="10" spans="1:8" ht="5.0999999999999996" customHeight="1" x14ac:dyDescent="0.2">
      <c r="A10" s="6"/>
      <c r="B10" s="207"/>
      <c r="C10" s="207"/>
      <c r="D10"/>
      <c r="E10" s="7"/>
      <c r="F10" s="207"/>
    </row>
    <row r="11" spans="1:8" ht="14.1" customHeight="1" x14ac:dyDescent="0.2">
      <c r="A11" s="284" t="s">
        <v>110</v>
      </c>
      <c r="B11" s="417">
        <v>375038</v>
      </c>
      <c r="C11" s="417">
        <v>375017</v>
      </c>
      <c r="D11"/>
      <c r="E11" s="550">
        <v>254977</v>
      </c>
      <c r="F11" s="417">
        <v>254977</v>
      </c>
      <c r="G11" s="417">
        <v>0</v>
      </c>
    </row>
    <row r="12" spans="1:8" ht="14.1" customHeight="1" x14ac:dyDescent="0.2">
      <c r="A12" s="19" t="s">
        <v>111</v>
      </c>
      <c r="B12" s="418">
        <v>423058</v>
      </c>
      <c r="C12" s="418">
        <v>435162</v>
      </c>
      <c r="D12"/>
      <c r="E12" s="551">
        <v>410152</v>
      </c>
      <c r="F12" s="418">
        <v>410152</v>
      </c>
      <c r="G12" s="418">
        <v>0</v>
      </c>
    </row>
    <row r="13" spans="1:8" ht="14.1" customHeight="1" x14ac:dyDescent="0.2">
      <c r="A13" s="284" t="s">
        <v>112</v>
      </c>
      <c r="B13" s="417">
        <v>2288723</v>
      </c>
      <c r="C13" s="417">
        <v>2387381</v>
      </c>
      <c r="D13"/>
      <c r="E13" s="550">
        <v>2337078</v>
      </c>
      <c r="F13" s="417">
        <v>900232</v>
      </c>
      <c r="G13" s="417">
        <v>1436846</v>
      </c>
    </row>
    <row r="14" spans="1:8" ht="14.1" customHeight="1" x14ac:dyDescent="0.2">
      <c r="A14" s="19" t="s">
        <v>359</v>
      </c>
      <c r="B14" s="418">
        <v>1459494</v>
      </c>
      <c r="C14" s="418">
        <v>1399809</v>
      </c>
      <c r="D14"/>
      <c r="E14" s="551">
        <v>731397</v>
      </c>
      <c r="F14" s="418">
        <v>609045</v>
      </c>
      <c r="G14" s="418">
        <v>122352</v>
      </c>
    </row>
    <row r="15" spans="1:8" ht="14.1" customHeight="1" x14ac:dyDescent="0.2">
      <c r="A15" s="284" t="s">
        <v>113</v>
      </c>
      <c r="B15" s="417">
        <v>471704</v>
      </c>
      <c r="C15" s="417">
        <v>419602</v>
      </c>
      <c r="D15"/>
      <c r="E15" s="550">
        <v>278530</v>
      </c>
      <c r="F15" s="417">
        <v>214433</v>
      </c>
      <c r="G15" s="417">
        <v>64097</v>
      </c>
    </row>
    <row r="16" spans="1:8" ht="14.1" customHeight="1" x14ac:dyDescent="0.2">
      <c r="A16" s="19" t="s">
        <v>114</v>
      </c>
      <c r="B16" s="418">
        <v>245067</v>
      </c>
      <c r="C16" s="418">
        <v>296971</v>
      </c>
      <c r="D16"/>
      <c r="E16" s="551">
        <v>108017</v>
      </c>
      <c r="F16" s="418">
        <v>108017</v>
      </c>
      <c r="G16" s="418">
        <v>0</v>
      </c>
    </row>
    <row r="17" spans="1:7" ht="14.1" customHeight="1" x14ac:dyDescent="0.2">
      <c r="A17" s="284" t="s">
        <v>115</v>
      </c>
      <c r="B17" s="417">
        <v>736261</v>
      </c>
      <c r="C17" s="417">
        <v>744158</v>
      </c>
      <c r="D17"/>
      <c r="E17" s="550">
        <v>357860</v>
      </c>
      <c r="F17" s="417">
        <v>266123</v>
      </c>
      <c r="G17" s="417">
        <v>91737</v>
      </c>
    </row>
    <row r="18" spans="1:7" ht="14.1" customHeight="1" x14ac:dyDescent="0.2">
      <c r="A18" s="19" t="s">
        <v>116</v>
      </c>
      <c r="B18" s="418">
        <v>625878</v>
      </c>
      <c r="C18" s="418">
        <v>649387</v>
      </c>
      <c r="D18"/>
      <c r="E18" s="551">
        <v>203187</v>
      </c>
      <c r="F18" s="418">
        <v>203187</v>
      </c>
      <c r="G18" s="418">
        <v>0</v>
      </c>
    </row>
    <row r="19" spans="1:7" ht="14.1" customHeight="1" x14ac:dyDescent="0.2">
      <c r="A19" s="284" t="s">
        <v>117</v>
      </c>
      <c r="B19" s="417">
        <v>164707</v>
      </c>
      <c r="C19" s="417">
        <v>156339</v>
      </c>
      <c r="D19"/>
      <c r="E19" s="550">
        <v>165330</v>
      </c>
      <c r="F19" s="417">
        <v>165330</v>
      </c>
      <c r="G19" s="417">
        <v>0</v>
      </c>
    </row>
    <row r="20" spans="1:7" ht="14.1" customHeight="1" x14ac:dyDescent="0.2">
      <c r="A20" s="19" t="s">
        <v>118</v>
      </c>
      <c r="B20" s="418">
        <v>2090632</v>
      </c>
      <c r="C20" s="418">
        <v>2157496</v>
      </c>
      <c r="D20"/>
      <c r="E20" s="551">
        <v>458805</v>
      </c>
      <c r="F20" s="418">
        <v>458805</v>
      </c>
      <c r="G20" s="418">
        <v>0</v>
      </c>
    </row>
    <row r="21" spans="1:7" ht="14.1" customHeight="1" x14ac:dyDescent="0.2">
      <c r="A21" s="284" t="s">
        <v>119</v>
      </c>
      <c r="B21" s="417">
        <v>355788</v>
      </c>
      <c r="C21" s="417">
        <v>341580</v>
      </c>
      <c r="D21"/>
      <c r="E21" s="550">
        <v>150374</v>
      </c>
      <c r="F21" s="417">
        <v>150374</v>
      </c>
      <c r="G21" s="417">
        <v>0</v>
      </c>
    </row>
    <row r="22" spans="1:7" ht="14.1" customHeight="1" x14ac:dyDescent="0.2">
      <c r="A22" s="19" t="s">
        <v>120</v>
      </c>
      <c r="B22" s="418">
        <v>574525</v>
      </c>
      <c r="C22" s="418">
        <v>515074</v>
      </c>
      <c r="D22"/>
      <c r="E22" s="551">
        <v>207667</v>
      </c>
      <c r="F22" s="418">
        <v>207667</v>
      </c>
      <c r="G22" s="418">
        <v>0</v>
      </c>
    </row>
    <row r="23" spans="1:7" ht="14.1" customHeight="1" x14ac:dyDescent="0.2">
      <c r="A23" s="284" t="s">
        <v>121</v>
      </c>
      <c r="B23" s="417">
        <v>264529</v>
      </c>
      <c r="C23" s="417">
        <v>254577</v>
      </c>
      <c r="D23"/>
      <c r="E23" s="550">
        <v>230259</v>
      </c>
      <c r="F23" s="417">
        <v>224280</v>
      </c>
      <c r="G23" s="417">
        <v>5979</v>
      </c>
    </row>
    <row r="24" spans="1:7" ht="14.1" customHeight="1" x14ac:dyDescent="0.2">
      <c r="A24" s="19" t="s">
        <v>122</v>
      </c>
      <c r="B24" s="418">
        <v>984849</v>
      </c>
      <c r="C24" s="418">
        <v>996528</v>
      </c>
      <c r="D24"/>
      <c r="E24" s="551">
        <v>344796</v>
      </c>
      <c r="F24" s="418">
        <v>344796</v>
      </c>
      <c r="G24" s="418">
        <v>0</v>
      </c>
    </row>
    <row r="25" spans="1:7" ht="14.1" customHeight="1" x14ac:dyDescent="0.2">
      <c r="A25" s="284" t="s">
        <v>123</v>
      </c>
      <c r="B25" s="417">
        <v>2557927</v>
      </c>
      <c r="C25" s="417">
        <v>2801665</v>
      </c>
      <c r="D25"/>
      <c r="E25" s="550">
        <v>1272495</v>
      </c>
      <c r="F25" s="417">
        <v>1272495</v>
      </c>
      <c r="G25" s="417">
        <v>0</v>
      </c>
    </row>
    <row r="26" spans="1:7" ht="14.1" customHeight="1" x14ac:dyDescent="0.2">
      <c r="A26" s="19" t="s">
        <v>124</v>
      </c>
      <c r="B26" s="418">
        <v>645051</v>
      </c>
      <c r="C26" s="418">
        <v>650775</v>
      </c>
      <c r="D26"/>
      <c r="E26" s="551">
        <v>475338</v>
      </c>
      <c r="F26" s="418">
        <v>475338</v>
      </c>
      <c r="G26" s="418">
        <v>0</v>
      </c>
    </row>
    <row r="27" spans="1:7" ht="14.1" customHeight="1" x14ac:dyDescent="0.2">
      <c r="A27" s="284" t="s">
        <v>125</v>
      </c>
      <c r="B27" s="417">
        <v>247993</v>
      </c>
      <c r="C27" s="417">
        <v>225142</v>
      </c>
      <c r="D27"/>
      <c r="E27" s="550">
        <v>131278</v>
      </c>
      <c r="F27" s="417">
        <v>131278</v>
      </c>
      <c r="G27" s="417">
        <v>0</v>
      </c>
    </row>
    <row r="28" spans="1:7" ht="14.1" customHeight="1" x14ac:dyDescent="0.2">
      <c r="A28" s="19" t="s">
        <v>126</v>
      </c>
      <c r="B28" s="418">
        <v>1029183</v>
      </c>
      <c r="C28" s="418">
        <v>1051795</v>
      </c>
      <c r="D28"/>
      <c r="E28" s="551">
        <v>423957</v>
      </c>
      <c r="F28" s="418">
        <v>423957</v>
      </c>
      <c r="G28" s="418">
        <v>0</v>
      </c>
    </row>
    <row r="29" spans="1:7" ht="14.1" customHeight="1" x14ac:dyDescent="0.2">
      <c r="A29" s="284" t="s">
        <v>127</v>
      </c>
      <c r="B29" s="417">
        <v>1005344</v>
      </c>
      <c r="C29" s="417">
        <v>961357</v>
      </c>
      <c r="D29"/>
      <c r="E29" s="550">
        <v>431423</v>
      </c>
      <c r="F29" s="417">
        <v>431423</v>
      </c>
      <c r="G29" s="417">
        <v>0</v>
      </c>
    </row>
    <row r="30" spans="1:7" ht="14.1" customHeight="1" x14ac:dyDescent="0.2">
      <c r="A30" s="19" t="s">
        <v>128</v>
      </c>
      <c r="B30" s="418">
        <v>239288</v>
      </c>
      <c r="C30" s="418">
        <v>233852</v>
      </c>
      <c r="D30"/>
      <c r="E30" s="551">
        <v>47292</v>
      </c>
      <c r="F30" s="418">
        <v>47292</v>
      </c>
      <c r="G30" s="418">
        <v>0</v>
      </c>
    </row>
    <row r="31" spans="1:7" ht="14.1" customHeight="1" x14ac:dyDescent="0.2">
      <c r="A31" s="284" t="s">
        <v>129</v>
      </c>
      <c r="B31" s="417">
        <v>1120602</v>
      </c>
      <c r="C31" s="417">
        <v>1176182</v>
      </c>
      <c r="D31"/>
      <c r="E31" s="550">
        <v>193646</v>
      </c>
      <c r="F31" s="417">
        <v>193646</v>
      </c>
      <c r="G31" s="417">
        <v>0</v>
      </c>
    </row>
    <row r="32" spans="1:7" ht="14.1" customHeight="1" x14ac:dyDescent="0.2">
      <c r="A32" s="19" t="s">
        <v>130</v>
      </c>
      <c r="B32" s="418">
        <v>583248</v>
      </c>
      <c r="C32" s="418">
        <v>583702</v>
      </c>
      <c r="D32"/>
      <c r="E32" s="551">
        <v>159051</v>
      </c>
      <c r="F32" s="418">
        <v>131761</v>
      </c>
      <c r="G32" s="418">
        <v>27290</v>
      </c>
    </row>
    <row r="33" spans="1:7" ht="14.1" customHeight="1" x14ac:dyDescent="0.2">
      <c r="A33" s="284" t="s">
        <v>131</v>
      </c>
      <c r="B33" s="417">
        <v>549085</v>
      </c>
      <c r="C33" s="417">
        <v>533568</v>
      </c>
      <c r="D33"/>
      <c r="E33" s="550">
        <v>238286</v>
      </c>
      <c r="F33" s="417">
        <v>238286</v>
      </c>
      <c r="G33" s="417">
        <v>0</v>
      </c>
    </row>
    <row r="34" spans="1:7" ht="14.1" customHeight="1" x14ac:dyDescent="0.2">
      <c r="A34" s="19" t="s">
        <v>132</v>
      </c>
      <c r="B34" s="418">
        <v>546958</v>
      </c>
      <c r="C34" s="418">
        <v>538121</v>
      </c>
      <c r="D34"/>
      <c r="E34" s="551">
        <v>157606</v>
      </c>
      <c r="F34" s="418">
        <v>157606</v>
      </c>
      <c r="G34" s="418">
        <v>0</v>
      </c>
    </row>
    <row r="35" spans="1:7" ht="14.1" customHeight="1" x14ac:dyDescent="0.2">
      <c r="A35" s="284" t="s">
        <v>133</v>
      </c>
      <c r="B35" s="417">
        <v>810209</v>
      </c>
      <c r="C35" s="417">
        <v>830625</v>
      </c>
      <c r="D35"/>
      <c r="E35" s="550">
        <v>378443</v>
      </c>
      <c r="F35" s="417">
        <v>378443</v>
      </c>
      <c r="G35" s="417">
        <v>0</v>
      </c>
    </row>
    <row r="36" spans="1:7" ht="14.1" customHeight="1" x14ac:dyDescent="0.2">
      <c r="A36" s="19" t="s">
        <v>134</v>
      </c>
      <c r="B36" s="418">
        <v>612615</v>
      </c>
      <c r="C36" s="418">
        <v>630182</v>
      </c>
      <c r="D36"/>
      <c r="E36" s="551">
        <v>283102</v>
      </c>
      <c r="F36" s="418">
        <v>283102</v>
      </c>
      <c r="G36" s="418">
        <v>0</v>
      </c>
    </row>
    <row r="37" spans="1:7" ht="14.1" customHeight="1" x14ac:dyDescent="0.2">
      <c r="A37" s="284" t="s">
        <v>135</v>
      </c>
      <c r="B37" s="417">
        <v>673322</v>
      </c>
      <c r="C37" s="417">
        <v>662826</v>
      </c>
      <c r="D37"/>
      <c r="E37" s="550">
        <v>259559</v>
      </c>
      <c r="F37" s="417">
        <v>259559</v>
      </c>
      <c r="G37" s="417">
        <v>0</v>
      </c>
    </row>
    <row r="38" spans="1:7" ht="14.1" customHeight="1" x14ac:dyDescent="0.2">
      <c r="A38" s="19" t="s">
        <v>136</v>
      </c>
      <c r="B38" s="418">
        <v>67712</v>
      </c>
      <c r="C38" s="418">
        <v>84656</v>
      </c>
      <c r="D38"/>
      <c r="E38" s="551">
        <v>153501</v>
      </c>
      <c r="F38" s="418">
        <v>153501</v>
      </c>
      <c r="G38" s="418">
        <v>0</v>
      </c>
    </row>
    <row r="39" spans="1:7" ht="14.1" customHeight="1" x14ac:dyDescent="0.2">
      <c r="A39" s="284" t="s">
        <v>137</v>
      </c>
      <c r="B39" s="417">
        <v>466903</v>
      </c>
      <c r="C39" s="417">
        <v>474576</v>
      </c>
      <c r="D39"/>
      <c r="E39" s="550">
        <v>220932</v>
      </c>
      <c r="F39" s="417">
        <v>220932</v>
      </c>
      <c r="G39" s="417">
        <v>0</v>
      </c>
    </row>
    <row r="40" spans="1:7" ht="14.1" customHeight="1" x14ac:dyDescent="0.2">
      <c r="A40" s="19" t="s">
        <v>138</v>
      </c>
      <c r="B40" s="418">
        <v>732930</v>
      </c>
      <c r="C40" s="418">
        <v>797559</v>
      </c>
      <c r="D40"/>
      <c r="E40" s="551">
        <v>505105</v>
      </c>
      <c r="F40" s="418">
        <v>505105</v>
      </c>
      <c r="G40" s="418">
        <v>0</v>
      </c>
    </row>
    <row r="41" spans="1:7" ht="14.1" customHeight="1" x14ac:dyDescent="0.2">
      <c r="A41" s="284" t="s">
        <v>139</v>
      </c>
      <c r="B41" s="417">
        <v>933850</v>
      </c>
      <c r="C41" s="417">
        <v>936774</v>
      </c>
      <c r="D41"/>
      <c r="E41" s="550">
        <v>463511</v>
      </c>
      <c r="F41" s="417">
        <v>409891</v>
      </c>
      <c r="G41" s="417">
        <v>53620</v>
      </c>
    </row>
    <row r="42" spans="1:7" ht="14.1" customHeight="1" x14ac:dyDescent="0.2">
      <c r="A42" s="19" t="s">
        <v>140</v>
      </c>
      <c r="B42" s="418">
        <v>512498</v>
      </c>
      <c r="C42" s="418">
        <v>586886</v>
      </c>
      <c r="D42"/>
      <c r="E42" s="551">
        <v>294165</v>
      </c>
      <c r="F42" s="418">
        <v>294165</v>
      </c>
      <c r="G42" s="418">
        <v>0</v>
      </c>
    </row>
    <row r="43" spans="1:7" ht="14.1" customHeight="1" x14ac:dyDescent="0.2">
      <c r="A43" s="284" t="s">
        <v>141</v>
      </c>
      <c r="B43" s="417">
        <v>323585</v>
      </c>
      <c r="C43" s="417">
        <v>350691</v>
      </c>
      <c r="D43"/>
      <c r="E43" s="550">
        <v>90103</v>
      </c>
      <c r="F43" s="417">
        <v>90103</v>
      </c>
      <c r="G43" s="417">
        <v>0</v>
      </c>
    </row>
    <row r="44" spans="1:7" ht="14.1" customHeight="1" x14ac:dyDescent="0.2">
      <c r="A44" s="19" t="s">
        <v>142</v>
      </c>
      <c r="B44" s="418">
        <v>277256</v>
      </c>
      <c r="C44" s="418">
        <v>317327</v>
      </c>
      <c r="D44"/>
      <c r="E44" s="551">
        <v>171594</v>
      </c>
      <c r="F44" s="418">
        <v>171594</v>
      </c>
      <c r="G44" s="418">
        <v>0</v>
      </c>
    </row>
    <row r="45" spans="1:7" ht="14.1" customHeight="1" x14ac:dyDescent="0.2">
      <c r="A45" s="284" t="s">
        <v>143</v>
      </c>
      <c r="B45" s="417">
        <v>423375</v>
      </c>
      <c r="C45" s="417">
        <v>435960</v>
      </c>
      <c r="D45"/>
      <c r="E45" s="550">
        <v>106592</v>
      </c>
      <c r="F45" s="417">
        <v>106592</v>
      </c>
      <c r="G45" s="417">
        <v>0</v>
      </c>
    </row>
    <row r="46" spans="1:7" ht="14.1" customHeight="1" x14ac:dyDescent="0.2">
      <c r="A46" s="19" t="s">
        <v>144</v>
      </c>
      <c r="B46" s="418">
        <v>3588980</v>
      </c>
      <c r="C46" s="418">
        <v>3483522</v>
      </c>
      <c r="D46"/>
      <c r="E46" s="551">
        <v>3514485</v>
      </c>
      <c r="F46" s="418">
        <v>-134219</v>
      </c>
      <c r="G46" s="418">
        <v>3648704</v>
      </c>
    </row>
    <row r="47" spans="1:7" ht="5.0999999999999996" customHeight="1" x14ac:dyDescent="0.2">
      <c r="A47" s="21"/>
      <c r="B47" s="22"/>
      <c r="C47" s="22"/>
      <c r="D47"/>
      <c r="E47" s="22"/>
      <c r="F47" s="22"/>
      <c r="G47" s="22"/>
    </row>
    <row r="48" spans="1:7" ht="14.1" customHeight="1" x14ac:dyDescent="0.2">
      <c r="A48" s="286" t="s">
        <v>145</v>
      </c>
      <c r="B48" s="421">
        <f>SUM(B11:B46)</f>
        <v>29008167</v>
      </c>
      <c r="C48" s="421">
        <f>SUM(C11:C46)</f>
        <v>29476824</v>
      </c>
      <c r="D48"/>
      <c r="E48" s="421">
        <f>SUM(E11:E46)</f>
        <v>16209893</v>
      </c>
      <c r="F48" s="421">
        <f>SUM(F11:F46)</f>
        <v>10759268</v>
      </c>
      <c r="G48" s="421">
        <f>SUM(G11:G46)</f>
        <v>5450625</v>
      </c>
    </row>
    <row r="49" spans="1:8" ht="5.0999999999999996" customHeight="1" x14ac:dyDescent="0.2">
      <c r="A49" s="21" t="s">
        <v>7</v>
      </c>
      <c r="B49" s="22"/>
      <c r="C49" s="22"/>
      <c r="D49"/>
      <c r="E49" s="22"/>
      <c r="F49" s="22"/>
      <c r="G49" s="22"/>
    </row>
    <row r="50" spans="1:8" ht="14.1" customHeight="1" x14ac:dyDescent="0.2">
      <c r="A50" s="19" t="s">
        <v>146</v>
      </c>
      <c r="B50" s="418">
        <v>65101</v>
      </c>
      <c r="C50" s="418">
        <v>62664</v>
      </c>
      <c r="D50"/>
      <c r="E50" s="551">
        <v>10687</v>
      </c>
      <c r="F50" s="418">
        <v>10687</v>
      </c>
      <c r="G50" s="418">
        <v>0</v>
      </c>
    </row>
    <row r="51" spans="1:8" ht="14.1" customHeight="1" x14ac:dyDescent="0.2">
      <c r="A51" s="284" t="s">
        <v>601</v>
      </c>
      <c r="B51" s="417">
        <v>66353</v>
      </c>
      <c r="C51" s="417">
        <v>117199</v>
      </c>
      <c r="D51"/>
      <c r="E51" s="550">
        <v>231644</v>
      </c>
      <c r="F51" s="417">
        <v>0</v>
      </c>
      <c r="G51" s="417">
        <v>231644</v>
      </c>
    </row>
    <row r="52" spans="1:8" ht="50.1" customHeight="1" x14ac:dyDescent="0.2">
      <c r="A52" s="23"/>
      <c r="B52" s="23"/>
      <c r="C52" s="23"/>
      <c r="D52" s="504"/>
      <c r="E52" s="23"/>
      <c r="F52" s="504"/>
      <c r="G52" s="23"/>
      <c r="H52" s="23"/>
    </row>
    <row r="53" spans="1:8" ht="15" customHeight="1" x14ac:dyDescent="0.2">
      <c r="A53" s="770" t="s">
        <v>546</v>
      </c>
      <c r="B53" s="770"/>
      <c r="C53" s="770"/>
      <c r="D53" s="770"/>
      <c r="E53" s="770"/>
      <c r="F53" s="770"/>
      <c r="G53" s="770"/>
      <c r="H53" s="770"/>
    </row>
    <row r="54" spans="1:8" x14ac:dyDescent="0.2">
      <c r="A54" s="771"/>
      <c r="B54" s="771"/>
      <c r="C54" s="771"/>
      <c r="D54" s="771"/>
      <c r="E54" s="771"/>
      <c r="F54" s="771"/>
      <c r="G54" s="771"/>
      <c r="H54" s="771"/>
    </row>
    <row r="55" spans="1:8" x14ac:dyDescent="0.2">
      <c r="A55" s="771"/>
      <c r="B55" s="771"/>
      <c r="C55" s="771"/>
      <c r="D55" s="771"/>
      <c r="E55" s="771"/>
      <c r="F55" s="771"/>
      <c r="G55" s="771"/>
      <c r="H55" s="771"/>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E56"/>
  <sheetViews>
    <sheetView showGridLines="0" showZeros="0" workbookViewId="0"/>
  </sheetViews>
  <sheetFormatPr defaultColWidth="19.83203125" defaultRowHeight="12" x14ac:dyDescent="0.2"/>
  <cols>
    <col min="1" max="1" width="31.33203125" style="2" customWidth="1"/>
    <col min="2" max="2" width="22.1640625" style="2" customWidth="1"/>
    <col min="3" max="3" width="32.1640625" style="2" customWidth="1"/>
    <col min="4" max="4" width="24.6640625" style="2" customWidth="1"/>
    <col min="5" max="5" width="22.83203125" style="2" customWidth="1"/>
    <col min="6" max="16384" width="19.83203125" style="2"/>
  </cols>
  <sheetData>
    <row r="1" spans="1:5" ht="6.95" customHeight="1" x14ac:dyDescent="0.2">
      <c r="A1" s="7"/>
      <c r="B1" s="7"/>
    </row>
    <row r="2" spans="1:5" ht="15.95" customHeight="1" x14ac:dyDescent="0.2">
      <c r="A2" s="748" t="str">
        <f>+'- 49 -'!A2:E2</f>
        <v>SPECIAL PURPOSE FUND 2018/2019 ACTUAL</v>
      </c>
      <c r="B2" s="748"/>
      <c r="C2" s="748"/>
      <c r="D2" s="748"/>
      <c r="E2" s="748"/>
    </row>
    <row r="3" spans="1:5" ht="15.95" customHeight="1" x14ac:dyDescent="0.2">
      <c r="A3" s="749" t="s">
        <v>375</v>
      </c>
      <c r="B3" s="749"/>
      <c r="C3" s="749"/>
      <c r="D3" s="749"/>
      <c r="E3" s="749"/>
    </row>
    <row r="4" spans="1:5" ht="15.95" customHeight="1" x14ac:dyDescent="0.2">
      <c r="B4" s="8"/>
      <c r="C4" s="8"/>
      <c r="D4" s="8"/>
      <c r="E4" s="184"/>
    </row>
    <row r="5" spans="1:5" ht="15.95" customHeight="1" x14ac:dyDescent="0.2">
      <c r="B5"/>
      <c r="C5"/>
      <c r="D5"/>
      <c r="E5"/>
    </row>
    <row r="6" spans="1:5" ht="15.95" customHeight="1" x14ac:dyDescent="0.2">
      <c r="B6"/>
      <c r="C6"/>
      <c r="D6"/>
    </row>
    <row r="7" spans="1:5" ht="15.95" customHeight="1" x14ac:dyDescent="0.2">
      <c r="B7" s="508"/>
      <c r="C7" s="752" t="s">
        <v>268</v>
      </c>
      <c r="D7" s="753"/>
    </row>
    <row r="8" spans="1:5" ht="18.75" customHeight="1" x14ac:dyDescent="0.2">
      <c r="A8" s="403"/>
      <c r="B8" s="775" t="s">
        <v>547</v>
      </c>
      <c r="C8" s="777" t="s">
        <v>548</v>
      </c>
      <c r="D8" s="779" t="s">
        <v>602</v>
      </c>
    </row>
    <row r="9" spans="1:5" ht="23.25" customHeight="1" x14ac:dyDescent="0.2">
      <c r="A9" s="404" t="s">
        <v>42</v>
      </c>
      <c r="B9" s="776"/>
      <c r="C9" s="778"/>
      <c r="D9" s="780"/>
    </row>
    <row r="10" spans="1:5" ht="5.0999999999999996" customHeight="1" x14ac:dyDescent="0.2">
      <c r="A10" s="6"/>
      <c r="C10" s="7"/>
      <c r="D10" s="207"/>
    </row>
    <row r="11" spans="1:5" ht="14.1" customHeight="1" x14ac:dyDescent="0.2">
      <c r="A11" s="284" t="s">
        <v>110</v>
      </c>
      <c r="B11" s="419">
        <f t="shared" ref="B11:B46" si="0">C11+D11</f>
        <v>277197</v>
      </c>
      <c r="C11" s="417">
        <f>+'- 49 -'!F11</f>
        <v>254977</v>
      </c>
      <c r="D11" s="417">
        <v>22220</v>
      </c>
    </row>
    <row r="12" spans="1:5" ht="14.1" customHeight="1" x14ac:dyDescent="0.2">
      <c r="A12" s="19" t="s">
        <v>111</v>
      </c>
      <c r="B12" s="420">
        <f t="shared" si="0"/>
        <v>410152</v>
      </c>
      <c r="C12" s="418">
        <f>+'- 49 -'!F12</f>
        <v>410152</v>
      </c>
      <c r="D12" s="418">
        <v>0</v>
      </c>
    </row>
    <row r="13" spans="1:5" ht="14.1" customHeight="1" x14ac:dyDescent="0.2">
      <c r="A13" s="284" t="s">
        <v>112</v>
      </c>
      <c r="B13" s="419">
        <f t="shared" si="0"/>
        <v>1099712</v>
      </c>
      <c r="C13" s="417">
        <f>+'- 49 -'!F13</f>
        <v>900232</v>
      </c>
      <c r="D13" s="417">
        <v>199480</v>
      </c>
    </row>
    <row r="14" spans="1:5" ht="14.1" customHeight="1" x14ac:dyDescent="0.2">
      <c r="A14" s="19" t="s">
        <v>147</v>
      </c>
      <c r="B14" s="420">
        <f t="shared" si="0"/>
        <v>905696</v>
      </c>
      <c r="C14" s="418">
        <f>+'- 49 -'!F14</f>
        <v>609045</v>
      </c>
      <c r="D14" s="418">
        <v>296651</v>
      </c>
    </row>
    <row r="15" spans="1:5" ht="14.1" customHeight="1" x14ac:dyDescent="0.2">
      <c r="A15" s="284" t="s">
        <v>113</v>
      </c>
      <c r="B15" s="419">
        <f t="shared" si="0"/>
        <v>254366</v>
      </c>
      <c r="C15" s="417">
        <f>+'- 49 -'!F15</f>
        <v>214433</v>
      </c>
      <c r="D15" s="417">
        <v>39933</v>
      </c>
    </row>
    <row r="16" spans="1:5" ht="14.1" customHeight="1" x14ac:dyDescent="0.2">
      <c r="A16" s="19" t="s">
        <v>114</v>
      </c>
      <c r="B16" s="420">
        <f t="shared" si="0"/>
        <v>116832</v>
      </c>
      <c r="C16" s="418">
        <f>+'- 49 -'!F16</f>
        <v>108017</v>
      </c>
      <c r="D16" s="418">
        <v>8815</v>
      </c>
    </row>
    <row r="17" spans="1:4" ht="14.1" customHeight="1" x14ac:dyDescent="0.2">
      <c r="A17" s="284" t="s">
        <v>115</v>
      </c>
      <c r="B17" s="419">
        <f t="shared" si="0"/>
        <v>291425</v>
      </c>
      <c r="C17" s="417">
        <f>+'- 49 -'!F17</f>
        <v>266123</v>
      </c>
      <c r="D17" s="417">
        <v>25302</v>
      </c>
    </row>
    <row r="18" spans="1:4" ht="14.1" customHeight="1" x14ac:dyDescent="0.2">
      <c r="A18" s="19" t="s">
        <v>116</v>
      </c>
      <c r="B18" s="420">
        <f t="shared" si="0"/>
        <v>636394</v>
      </c>
      <c r="C18" s="418">
        <f>+'- 49 -'!F18</f>
        <v>203187</v>
      </c>
      <c r="D18" s="418">
        <v>433207</v>
      </c>
    </row>
    <row r="19" spans="1:4" ht="14.1" customHeight="1" x14ac:dyDescent="0.2">
      <c r="A19" s="284" t="s">
        <v>117</v>
      </c>
      <c r="B19" s="419">
        <f t="shared" si="0"/>
        <v>165330</v>
      </c>
      <c r="C19" s="417">
        <f>+'- 49 -'!F19</f>
        <v>165330</v>
      </c>
      <c r="D19" s="417">
        <v>0</v>
      </c>
    </row>
    <row r="20" spans="1:4" ht="14.1" customHeight="1" x14ac:dyDescent="0.2">
      <c r="A20" s="19" t="s">
        <v>118</v>
      </c>
      <c r="B20" s="420">
        <f t="shared" si="0"/>
        <v>458805</v>
      </c>
      <c r="C20" s="418">
        <f>+'- 49 -'!F20</f>
        <v>458805</v>
      </c>
      <c r="D20" s="418">
        <v>0</v>
      </c>
    </row>
    <row r="21" spans="1:4" ht="14.1" customHeight="1" x14ac:dyDescent="0.2">
      <c r="A21" s="284" t="s">
        <v>119</v>
      </c>
      <c r="B21" s="419">
        <f t="shared" si="0"/>
        <v>260538</v>
      </c>
      <c r="C21" s="417">
        <f>+'- 49 -'!F21</f>
        <v>150374</v>
      </c>
      <c r="D21" s="417">
        <v>110164</v>
      </c>
    </row>
    <row r="22" spans="1:4" ht="14.1" customHeight="1" x14ac:dyDescent="0.2">
      <c r="A22" s="19" t="s">
        <v>120</v>
      </c>
      <c r="B22" s="420">
        <f t="shared" si="0"/>
        <v>273173</v>
      </c>
      <c r="C22" s="418">
        <f>+'- 49 -'!F22</f>
        <v>207667</v>
      </c>
      <c r="D22" s="418">
        <v>65506</v>
      </c>
    </row>
    <row r="23" spans="1:4" ht="14.1" customHeight="1" x14ac:dyDescent="0.2">
      <c r="A23" s="284" t="s">
        <v>121</v>
      </c>
      <c r="B23" s="419">
        <f t="shared" si="0"/>
        <v>224280</v>
      </c>
      <c r="C23" s="417">
        <f>+'- 49 -'!F23</f>
        <v>224280</v>
      </c>
      <c r="D23" s="417">
        <v>0</v>
      </c>
    </row>
    <row r="24" spans="1:4" ht="14.1" customHeight="1" x14ac:dyDescent="0.2">
      <c r="A24" s="19" t="s">
        <v>122</v>
      </c>
      <c r="B24" s="420">
        <f t="shared" si="0"/>
        <v>426963</v>
      </c>
      <c r="C24" s="418">
        <f>+'- 49 -'!F24</f>
        <v>344796</v>
      </c>
      <c r="D24" s="418">
        <v>82167</v>
      </c>
    </row>
    <row r="25" spans="1:4" ht="14.1" customHeight="1" x14ac:dyDescent="0.2">
      <c r="A25" s="284" t="s">
        <v>123</v>
      </c>
      <c r="B25" s="419">
        <f t="shared" si="0"/>
        <v>2052784</v>
      </c>
      <c r="C25" s="417">
        <f>+'- 49 -'!F25</f>
        <v>1272495</v>
      </c>
      <c r="D25" s="417">
        <v>780289</v>
      </c>
    </row>
    <row r="26" spans="1:4" ht="14.1" customHeight="1" x14ac:dyDescent="0.2">
      <c r="A26" s="19" t="s">
        <v>124</v>
      </c>
      <c r="B26" s="420">
        <f t="shared" si="0"/>
        <v>499758</v>
      </c>
      <c r="C26" s="418">
        <f>+'- 49 -'!F26</f>
        <v>475338</v>
      </c>
      <c r="D26" s="418">
        <v>24420</v>
      </c>
    </row>
    <row r="27" spans="1:4" ht="14.1" customHeight="1" x14ac:dyDescent="0.2">
      <c r="A27" s="284" t="s">
        <v>125</v>
      </c>
      <c r="B27" s="419">
        <f t="shared" si="0"/>
        <v>298092</v>
      </c>
      <c r="C27" s="417">
        <f>+'- 49 -'!F27</f>
        <v>131278</v>
      </c>
      <c r="D27" s="417">
        <v>166814</v>
      </c>
    </row>
    <row r="28" spans="1:4" ht="14.1" customHeight="1" x14ac:dyDescent="0.2">
      <c r="A28" s="19" t="s">
        <v>126</v>
      </c>
      <c r="B28" s="420">
        <f t="shared" si="0"/>
        <v>423957</v>
      </c>
      <c r="C28" s="418">
        <f>+'- 49 -'!F28</f>
        <v>423957</v>
      </c>
      <c r="D28" s="418">
        <v>0</v>
      </c>
    </row>
    <row r="29" spans="1:4" ht="14.1" customHeight="1" x14ac:dyDescent="0.2">
      <c r="A29" s="284" t="s">
        <v>127</v>
      </c>
      <c r="B29" s="419">
        <f t="shared" si="0"/>
        <v>1892479</v>
      </c>
      <c r="C29" s="417">
        <f>+'- 49 -'!F29</f>
        <v>431423</v>
      </c>
      <c r="D29" s="417">
        <v>1461056</v>
      </c>
    </row>
    <row r="30" spans="1:4" ht="14.1" customHeight="1" x14ac:dyDescent="0.2">
      <c r="A30" s="19" t="s">
        <v>128</v>
      </c>
      <c r="B30" s="420">
        <f t="shared" si="0"/>
        <v>47292</v>
      </c>
      <c r="C30" s="418">
        <f>+'- 49 -'!F30</f>
        <v>47292</v>
      </c>
      <c r="D30" s="418">
        <v>0</v>
      </c>
    </row>
    <row r="31" spans="1:4" ht="14.1" customHeight="1" x14ac:dyDescent="0.2">
      <c r="A31" s="284" t="s">
        <v>129</v>
      </c>
      <c r="B31" s="419">
        <f t="shared" si="0"/>
        <v>350027</v>
      </c>
      <c r="C31" s="417">
        <f>+'- 49 -'!F31</f>
        <v>193646</v>
      </c>
      <c r="D31" s="417">
        <v>156381</v>
      </c>
    </row>
    <row r="32" spans="1:4" ht="14.1" customHeight="1" x14ac:dyDescent="0.2">
      <c r="A32" s="19" t="s">
        <v>130</v>
      </c>
      <c r="B32" s="420">
        <f t="shared" si="0"/>
        <v>173053</v>
      </c>
      <c r="C32" s="418">
        <f>+'- 49 -'!F32</f>
        <v>131761</v>
      </c>
      <c r="D32" s="418">
        <v>41292</v>
      </c>
    </row>
    <row r="33" spans="1:4" ht="14.1" customHeight="1" x14ac:dyDescent="0.2">
      <c r="A33" s="284" t="s">
        <v>131</v>
      </c>
      <c r="B33" s="419">
        <f t="shared" si="0"/>
        <v>299786</v>
      </c>
      <c r="C33" s="417">
        <f>+'- 49 -'!F33</f>
        <v>238286</v>
      </c>
      <c r="D33" s="417">
        <v>61500</v>
      </c>
    </row>
    <row r="34" spans="1:4" ht="14.1" customHeight="1" x14ac:dyDescent="0.2">
      <c r="A34" s="19" t="s">
        <v>132</v>
      </c>
      <c r="B34" s="420">
        <f t="shared" si="0"/>
        <v>202684</v>
      </c>
      <c r="C34" s="418">
        <f>+'- 49 -'!F34</f>
        <v>157606</v>
      </c>
      <c r="D34" s="418">
        <v>45078</v>
      </c>
    </row>
    <row r="35" spans="1:4" ht="14.1" customHeight="1" x14ac:dyDescent="0.2">
      <c r="A35" s="284" t="s">
        <v>133</v>
      </c>
      <c r="B35" s="419">
        <f t="shared" si="0"/>
        <v>2176531</v>
      </c>
      <c r="C35" s="417">
        <f>+'- 49 -'!F35</f>
        <v>378443</v>
      </c>
      <c r="D35" s="417">
        <v>1798088</v>
      </c>
    </row>
    <row r="36" spans="1:4" ht="14.1" customHeight="1" x14ac:dyDescent="0.2">
      <c r="A36" s="19" t="s">
        <v>134</v>
      </c>
      <c r="B36" s="420">
        <f t="shared" si="0"/>
        <v>283102</v>
      </c>
      <c r="C36" s="418">
        <f>+'- 49 -'!F36</f>
        <v>283102</v>
      </c>
      <c r="D36" s="418">
        <v>0</v>
      </c>
    </row>
    <row r="37" spans="1:4" ht="14.1" customHeight="1" x14ac:dyDescent="0.2">
      <c r="A37" s="284" t="s">
        <v>135</v>
      </c>
      <c r="B37" s="419">
        <f t="shared" si="0"/>
        <v>332736</v>
      </c>
      <c r="C37" s="417">
        <f>+'- 49 -'!F37</f>
        <v>259559</v>
      </c>
      <c r="D37" s="417">
        <v>73177</v>
      </c>
    </row>
    <row r="38" spans="1:4" ht="14.1" customHeight="1" x14ac:dyDescent="0.2">
      <c r="A38" s="19" t="s">
        <v>136</v>
      </c>
      <c r="B38" s="420">
        <f t="shared" si="0"/>
        <v>531219</v>
      </c>
      <c r="C38" s="418">
        <f>+'- 49 -'!F38</f>
        <v>153501</v>
      </c>
      <c r="D38" s="418">
        <v>377718</v>
      </c>
    </row>
    <row r="39" spans="1:4" ht="14.1" customHeight="1" x14ac:dyDescent="0.2">
      <c r="A39" s="284" t="s">
        <v>137</v>
      </c>
      <c r="B39" s="419">
        <f t="shared" si="0"/>
        <v>220932</v>
      </c>
      <c r="C39" s="417">
        <f>+'- 49 -'!F39</f>
        <v>220932</v>
      </c>
      <c r="D39" s="417">
        <v>0</v>
      </c>
    </row>
    <row r="40" spans="1:4" ht="14.1" customHeight="1" x14ac:dyDescent="0.2">
      <c r="A40" s="19" t="s">
        <v>138</v>
      </c>
      <c r="B40" s="420">
        <f t="shared" si="0"/>
        <v>712136</v>
      </c>
      <c r="C40" s="418">
        <f>+'- 49 -'!F40</f>
        <v>505105</v>
      </c>
      <c r="D40" s="418">
        <v>207031</v>
      </c>
    </row>
    <row r="41" spans="1:4" ht="14.1" customHeight="1" x14ac:dyDescent="0.2">
      <c r="A41" s="284" t="s">
        <v>139</v>
      </c>
      <c r="B41" s="419">
        <f t="shared" si="0"/>
        <v>463602</v>
      </c>
      <c r="C41" s="417">
        <f>+'- 49 -'!F41</f>
        <v>409891</v>
      </c>
      <c r="D41" s="417">
        <v>53711</v>
      </c>
    </row>
    <row r="42" spans="1:4" ht="14.1" customHeight="1" x14ac:dyDescent="0.2">
      <c r="A42" s="19" t="s">
        <v>140</v>
      </c>
      <c r="B42" s="420">
        <f t="shared" si="0"/>
        <v>294165</v>
      </c>
      <c r="C42" s="418">
        <f>+'- 49 -'!F42</f>
        <v>294165</v>
      </c>
      <c r="D42" s="418">
        <v>0</v>
      </c>
    </row>
    <row r="43" spans="1:4" ht="14.1" customHeight="1" x14ac:dyDescent="0.2">
      <c r="A43" s="284" t="s">
        <v>141</v>
      </c>
      <c r="B43" s="419">
        <f t="shared" si="0"/>
        <v>188691</v>
      </c>
      <c r="C43" s="417">
        <f>+'- 49 -'!F43</f>
        <v>90103</v>
      </c>
      <c r="D43" s="417">
        <v>98588</v>
      </c>
    </row>
    <row r="44" spans="1:4" ht="14.1" customHeight="1" x14ac:dyDescent="0.2">
      <c r="A44" s="19" t="s">
        <v>142</v>
      </c>
      <c r="B44" s="420">
        <f t="shared" si="0"/>
        <v>171594</v>
      </c>
      <c r="C44" s="418">
        <f>+'- 49 -'!F44</f>
        <v>171594</v>
      </c>
      <c r="D44" s="418">
        <v>0</v>
      </c>
    </row>
    <row r="45" spans="1:4" ht="14.1" customHeight="1" x14ac:dyDescent="0.2">
      <c r="A45" s="284" t="s">
        <v>143</v>
      </c>
      <c r="B45" s="419">
        <f t="shared" si="0"/>
        <v>114814</v>
      </c>
      <c r="C45" s="417">
        <f>+'- 49 -'!F45</f>
        <v>106592</v>
      </c>
      <c r="D45" s="417">
        <v>8222</v>
      </c>
    </row>
    <row r="46" spans="1:4" ht="14.1" customHeight="1" x14ac:dyDescent="0.2">
      <c r="A46" s="19" t="s">
        <v>144</v>
      </c>
      <c r="B46" s="420">
        <f t="shared" si="0"/>
        <v>3173175</v>
      </c>
      <c r="C46" s="418">
        <f>+'- 49 -'!F46</f>
        <v>-134219</v>
      </c>
      <c r="D46" s="418">
        <v>3307394</v>
      </c>
    </row>
    <row r="47" spans="1:4" ht="5.0999999999999996" customHeight="1" x14ac:dyDescent="0.2">
      <c r="A47" s="21"/>
      <c r="B47" s="22"/>
      <c r="C47" s="22"/>
      <c r="D47" s="22"/>
    </row>
    <row r="48" spans="1:4" ht="14.1" customHeight="1" x14ac:dyDescent="0.2">
      <c r="A48" s="286" t="s">
        <v>145</v>
      </c>
      <c r="B48" s="422">
        <f>SUM(B11:B46)</f>
        <v>20703472</v>
      </c>
      <c r="C48" s="421">
        <f>SUM(C11:C46)</f>
        <v>10759268</v>
      </c>
      <c r="D48" s="421">
        <f>SUM(D11:D46)</f>
        <v>9944204</v>
      </c>
    </row>
    <row r="49" spans="1:5" ht="5.0999999999999996" customHeight="1" x14ac:dyDescent="0.2">
      <c r="A49" s="21" t="s">
        <v>7</v>
      </c>
      <c r="B49" s="22"/>
      <c r="C49" s="22"/>
      <c r="D49" s="22"/>
    </row>
    <row r="50" spans="1:5" ht="14.1" customHeight="1" x14ac:dyDescent="0.2">
      <c r="A50" s="19" t="s">
        <v>146</v>
      </c>
      <c r="B50" s="420">
        <f>C50+D50</f>
        <v>10687</v>
      </c>
      <c r="C50" s="418">
        <f>+'- 49 -'!F50</f>
        <v>10687</v>
      </c>
      <c r="D50" s="418">
        <v>0</v>
      </c>
    </row>
    <row r="51" spans="1:5" ht="14.1" customHeight="1" x14ac:dyDescent="0.2">
      <c r="A51" s="284" t="s">
        <v>601</v>
      </c>
      <c r="B51" s="419">
        <f>C51+D51</f>
        <v>0</v>
      </c>
      <c r="C51" s="417">
        <f>+'- 49 -'!F51</f>
        <v>0</v>
      </c>
      <c r="D51" s="417">
        <v>0</v>
      </c>
    </row>
    <row r="52" spans="1:5" ht="50.1" customHeight="1" x14ac:dyDescent="0.2">
      <c r="A52" s="23"/>
      <c r="B52" s="23"/>
      <c r="C52" s="433"/>
      <c r="D52" s="23"/>
      <c r="E52" s="23"/>
    </row>
    <row r="53" spans="1:5" ht="15.75" customHeight="1" x14ac:dyDescent="0.2">
      <c r="A53" s="770" t="s">
        <v>549</v>
      </c>
      <c r="B53" s="770"/>
      <c r="C53" s="770"/>
      <c r="D53" s="770"/>
      <c r="E53" s="770"/>
    </row>
    <row r="54" spans="1:5" x14ac:dyDescent="0.2">
      <c r="A54" s="771"/>
      <c r="B54" s="771"/>
      <c r="C54" s="771"/>
      <c r="D54" s="771"/>
      <c r="E54" s="771"/>
    </row>
    <row r="55" spans="1:5" x14ac:dyDescent="0.2">
      <c r="A55" s="771" t="s">
        <v>550</v>
      </c>
      <c r="B55" s="771"/>
      <c r="C55" s="771"/>
      <c r="D55" s="771"/>
      <c r="E55" s="771"/>
    </row>
    <row r="56" spans="1:5" x14ac:dyDescent="0.2">
      <c r="A56" s="771"/>
      <c r="B56" s="771"/>
      <c r="C56" s="771"/>
      <c r="D56" s="771"/>
      <c r="E56" s="771"/>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59"/>
  <sheetViews>
    <sheetView showGridLines="0" showZeros="0" workbookViewId="0"/>
  </sheetViews>
  <sheetFormatPr defaultColWidth="15.83203125" defaultRowHeight="12" x14ac:dyDescent="0.2"/>
  <cols>
    <col min="1" max="1" width="35.83203125" style="2" customWidth="1"/>
    <col min="2" max="3" width="25.83203125" style="2" customWidth="1"/>
    <col min="4" max="4" width="45.83203125" style="2" customWidth="1"/>
    <col min="5" max="16384" width="15.83203125" style="2"/>
  </cols>
  <sheetData>
    <row r="1" spans="1:4" ht="6.95" customHeight="1" x14ac:dyDescent="0.2">
      <c r="A1" s="7"/>
    </row>
    <row r="2" spans="1:4" ht="17.100000000000001" customHeight="1" x14ac:dyDescent="0.2">
      <c r="A2" s="228"/>
      <c r="B2" s="229" t="s">
        <v>364</v>
      </c>
      <c r="C2" s="158"/>
      <c r="D2" s="153"/>
    </row>
    <row r="3" spans="1:4" ht="15" customHeight="1" x14ac:dyDescent="0.2">
      <c r="A3" s="540"/>
      <c r="B3" s="233" t="s">
        <v>637</v>
      </c>
      <c r="C3" s="159"/>
      <c r="D3" s="230"/>
    </row>
    <row r="4" spans="1:4" ht="15.95" customHeight="1" x14ac:dyDescent="0.2">
      <c r="A4" s="133"/>
      <c r="B4" s="8"/>
      <c r="C4" s="43"/>
    </row>
    <row r="5" spans="1:4" ht="15.95" customHeight="1" x14ac:dyDescent="0.2">
      <c r="A5" s="2" t="str">
        <f>REPLACE(A4,5,5,"")</f>
        <v/>
      </c>
      <c r="B5" s="8"/>
      <c r="C5" s="8"/>
    </row>
    <row r="6" spans="1:4" ht="15.95" customHeight="1" x14ac:dyDescent="0.2">
      <c r="B6"/>
      <c r="C6"/>
    </row>
    <row r="7" spans="1:4" ht="15.95" customHeight="1" x14ac:dyDescent="0.2">
      <c r="B7" s="783" t="s">
        <v>552</v>
      </c>
      <c r="C7" s="564"/>
    </row>
    <row r="8" spans="1:4" ht="15.95" customHeight="1" x14ac:dyDescent="0.2">
      <c r="A8" s="403"/>
      <c r="B8" s="784"/>
      <c r="C8" s="781" t="s">
        <v>551</v>
      </c>
    </row>
    <row r="9" spans="1:4" ht="15.95" customHeight="1" x14ac:dyDescent="0.2">
      <c r="A9" s="404" t="s">
        <v>42</v>
      </c>
      <c r="B9" s="785"/>
      <c r="C9" s="782"/>
    </row>
    <row r="10" spans="1:4" ht="5.0999999999999996" customHeight="1" x14ac:dyDescent="0.2">
      <c r="A10" s="6"/>
      <c r="B10" s="207"/>
      <c r="C10" s="222">
        <v>9.7699999999999992E-3</v>
      </c>
    </row>
    <row r="11" spans="1:4" ht="14.1" customHeight="1" x14ac:dyDescent="0.2">
      <c r="A11" s="284" t="s">
        <v>110</v>
      </c>
      <c r="B11" s="285">
        <f>'- 53 -'!D11</f>
        <v>156158350</v>
      </c>
      <c r="C11" s="285">
        <f t="shared" ref="C11:C46" si="0">B11*C$10</f>
        <v>1525667.0794999998</v>
      </c>
    </row>
    <row r="12" spans="1:4" ht="14.1" customHeight="1" x14ac:dyDescent="0.2">
      <c r="A12" s="19" t="s">
        <v>111</v>
      </c>
      <c r="B12" s="20">
        <f>'- 53 -'!D12</f>
        <v>214273150</v>
      </c>
      <c r="C12" s="20">
        <f t="shared" si="0"/>
        <v>2093448.6754999999</v>
      </c>
    </row>
    <row r="13" spans="1:4" ht="14.1" customHeight="1" x14ac:dyDescent="0.2">
      <c r="A13" s="284" t="s">
        <v>112</v>
      </c>
      <c r="B13" s="285">
        <f>'- 53 -'!D13</f>
        <v>943926600</v>
      </c>
      <c r="C13" s="285">
        <f t="shared" si="0"/>
        <v>9222162.8819999993</v>
      </c>
    </row>
    <row r="14" spans="1:4" ht="14.1" customHeight="1" x14ac:dyDescent="0.2">
      <c r="A14" s="19" t="s">
        <v>359</v>
      </c>
      <c r="B14" s="20">
        <f>'- 53 -'!D14</f>
        <v>0</v>
      </c>
      <c r="C14" s="20">
        <f t="shared" si="0"/>
        <v>0</v>
      </c>
    </row>
    <row r="15" spans="1:4" ht="14.1" customHeight="1" x14ac:dyDescent="0.2">
      <c r="A15" s="284" t="s">
        <v>113</v>
      </c>
      <c r="B15" s="285">
        <f>'- 53 -'!D15</f>
        <v>125923610</v>
      </c>
      <c r="C15" s="285">
        <f t="shared" si="0"/>
        <v>1230273.6697</v>
      </c>
    </row>
    <row r="16" spans="1:4" ht="14.1" customHeight="1" x14ac:dyDescent="0.2">
      <c r="A16" s="19" t="s">
        <v>114</v>
      </c>
      <c r="B16" s="20">
        <f>'- 53 -'!D16</f>
        <v>34475860</v>
      </c>
      <c r="C16" s="20">
        <f t="shared" si="0"/>
        <v>336829.15219999995</v>
      </c>
    </row>
    <row r="17" spans="1:3" ht="14.1" customHeight="1" x14ac:dyDescent="0.2">
      <c r="A17" s="284" t="s">
        <v>115</v>
      </c>
      <c r="B17" s="285">
        <f>'- 53 -'!D17</f>
        <v>588970920</v>
      </c>
      <c r="C17" s="285">
        <f t="shared" si="0"/>
        <v>5754245.8883999996</v>
      </c>
    </row>
    <row r="18" spans="1:3" ht="14.1" customHeight="1" x14ac:dyDescent="0.2">
      <c r="A18" s="19" t="s">
        <v>116</v>
      </c>
      <c r="B18" s="20">
        <f>'- 53 -'!D18</f>
        <v>78336770</v>
      </c>
      <c r="C18" s="20">
        <f t="shared" si="0"/>
        <v>765350.24289999995</v>
      </c>
    </row>
    <row r="19" spans="1:3" ht="14.1" customHeight="1" x14ac:dyDescent="0.2">
      <c r="A19" s="284" t="s">
        <v>117</v>
      </c>
      <c r="B19" s="285">
        <f>'- 53 -'!D19</f>
        <v>331336680</v>
      </c>
      <c r="C19" s="285">
        <f t="shared" si="0"/>
        <v>3237159.3635999998</v>
      </c>
    </row>
    <row r="20" spans="1:3" ht="14.1" customHeight="1" x14ac:dyDescent="0.2">
      <c r="A20" s="19" t="s">
        <v>118</v>
      </c>
      <c r="B20" s="20">
        <f>'- 53 -'!D20</f>
        <v>441612950</v>
      </c>
      <c r="C20" s="20">
        <f t="shared" si="0"/>
        <v>4314558.5214999998</v>
      </c>
    </row>
    <row r="21" spans="1:3" ht="14.1" customHeight="1" x14ac:dyDescent="0.2">
      <c r="A21" s="284" t="s">
        <v>119</v>
      </c>
      <c r="B21" s="285">
        <f>'- 53 -'!D21</f>
        <v>305427440</v>
      </c>
      <c r="C21" s="285">
        <f t="shared" si="0"/>
        <v>2984026.0887999996</v>
      </c>
    </row>
    <row r="22" spans="1:3" ht="14.1" customHeight="1" x14ac:dyDescent="0.2">
      <c r="A22" s="19" t="s">
        <v>120</v>
      </c>
      <c r="B22" s="20">
        <f>'- 53 -'!D22</f>
        <v>66655460</v>
      </c>
      <c r="C22" s="20">
        <f t="shared" si="0"/>
        <v>651223.84419999993</v>
      </c>
    </row>
    <row r="23" spans="1:3" ht="14.1" customHeight="1" x14ac:dyDescent="0.2">
      <c r="A23" s="284" t="s">
        <v>121</v>
      </c>
      <c r="B23" s="285">
        <f>'- 53 -'!D23</f>
        <v>36107220</v>
      </c>
      <c r="C23" s="285">
        <f t="shared" si="0"/>
        <v>352767.53939999995</v>
      </c>
    </row>
    <row r="24" spans="1:3" ht="14.1" customHeight="1" x14ac:dyDescent="0.2">
      <c r="A24" s="19" t="s">
        <v>122</v>
      </c>
      <c r="B24" s="20">
        <f>'- 53 -'!D24</f>
        <v>262920520</v>
      </c>
      <c r="C24" s="20">
        <f t="shared" si="0"/>
        <v>2568733.4803999998</v>
      </c>
    </row>
    <row r="25" spans="1:3" ht="14.1" customHeight="1" x14ac:dyDescent="0.2">
      <c r="A25" s="284" t="s">
        <v>123</v>
      </c>
      <c r="B25" s="285">
        <f>'- 53 -'!D25</f>
        <v>1525199870</v>
      </c>
      <c r="C25" s="285">
        <f t="shared" si="0"/>
        <v>14901202.729899999</v>
      </c>
    </row>
    <row r="26" spans="1:3" ht="14.1" customHeight="1" x14ac:dyDescent="0.2">
      <c r="A26" s="19" t="s">
        <v>124</v>
      </c>
      <c r="B26" s="20">
        <f>'- 53 -'!D26</f>
        <v>152634360</v>
      </c>
      <c r="C26" s="20">
        <f t="shared" si="0"/>
        <v>1491237.6971999998</v>
      </c>
    </row>
    <row r="27" spans="1:3" ht="14.1" customHeight="1" x14ac:dyDescent="0.2">
      <c r="A27" s="284" t="s">
        <v>125</v>
      </c>
      <c r="B27" s="285">
        <f>'- 53 -'!D27</f>
        <v>132632400</v>
      </c>
      <c r="C27" s="285">
        <f t="shared" si="0"/>
        <v>1295818.548</v>
      </c>
    </row>
    <row r="28" spans="1:3" ht="14.1" customHeight="1" x14ac:dyDescent="0.2">
      <c r="A28" s="19" t="s">
        <v>126</v>
      </c>
      <c r="B28" s="20">
        <f>'- 53 -'!D28</f>
        <v>196752490</v>
      </c>
      <c r="C28" s="20">
        <f t="shared" si="0"/>
        <v>1922271.8272999998</v>
      </c>
    </row>
    <row r="29" spans="1:3" ht="14.1" customHeight="1" x14ac:dyDescent="0.2">
      <c r="A29" s="284" t="s">
        <v>127</v>
      </c>
      <c r="B29" s="285">
        <f>'- 53 -'!D29</f>
        <v>1712039770</v>
      </c>
      <c r="C29" s="285">
        <f t="shared" si="0"/>
        <v>16726628.552899998</v>
      </c>
    </row>
    <row r="30" spans="1:3" ht="14.1" customHeight="1" x14ac:dyDescent="0.2">
      <c r="A30" s="19" t="s">
        <v>128</v>
      </c>
      <c r="B30" s="20">
        <f>'- 53 -'!D30</f>
        <v>108876620</v>
      </c>
      <c r="C30" s="20">
        <f t="shared" si="0"/>
        <v>1063724.5773999998</v>
      </c>
    </row>
    <row r="31" spans="1:3" ht="14.1" customHeight="1" x14ac:dyDescent="0.2">
      <c r="A31" s="284" t="s">
        <v>129</v>
      </c>
      <c r="B31" s="285">
        <f>'- 53 -'!D31</f>
        <v>358520700</v>
      </c>
      <c r="C31" s="285">
        <f t="shared" si="0"/>
        <v>3502747.2389999996</v>
      </c>
    </row>
    <row r="32" spans="1:3" ht="14.1" customHeight="1" x14ac:dyDescent="0.2">
      <c r="A32" s="19" t="s">
        <v>130</v>
      </c>
      <c r="B32" s="20">
        <f>'- 53 -'!D32</f>
        <v>158828990</v>
      </c>
      <c r="C32" s="20">
        <f t="shared" si="0"/>
        <v>1551759.2322999998</v>
      </c>
    </row>
    <row r="33" spans="1:3" ht="14.1" customHeight="1" x14ac:dyDescent="0.2">
      <c r="A33" s="284" t="s">
        <v>131</v>
      </c>
      <c r="B33" s="285">
        <f>'- 53 -'!D33</f>
        <v>183438720</v>
      </c>
      <c r="C33" s="285">
        <f t="shared" si="0"/>
        <v>1792196.2943999998</v>
      </c>
    </row>
    <row r="34" spans="1:3" ht="14.1" customHeight="1" x14ac:dyDescent="0.2">
      <c r="A34" s="19" t="s">
        <v>132</v>
      </c>
      <c r="B34" s="20">
        <f>'- 53 -'!D34</f>
        <v>298096420</v>
      </c>
      <c r="C34" s="20">
        <f t="shared" si="0"/>
        <v>2912402.0233999998</v>
      </c>
    </row>
    <row r="35" spans="1:3" ht="14.1" customHeight="1" x14ac:dyDescent="0.2">
      <c r="A35" s="284" t="s">
        <v>133</v>
      </c>
      <c r="B35" s="285">
        <f>'- 53 -'!D35</f>
        <v>1165842430</v>
      </c>
      <c r="C35" s="285">
        <f t="shared" si="0"/>
        <v>11390280.541099999</v>
      </c>
    </row>
    <row r="36" spans="1:3" ht="14.1" customHeight="1" x14ac:dyDescent="0.2">
      <c r="A36" s="19" t="s">
        <v>134</v>
      </c>
      <c r="B36" s="20">
        <f>'- 53 -'!D36</f>
        <v>182005240</v>
      </c>
      <c r="C36" s="20">
        <f t="shared" si="0"/>
        <v>1778191.1947999999</v>
      </c>
    </row>
    <row r="37" spans="1:3" ht="14.1" customHeight="1" x14ac:dyDescent="0.2">
      <c r="A37" s="284" t="s">
        <v>135</v>
      </c>
      <c r="B37" s="285">
        <f>'- 53 -'!D37</f>
        <v>201334190</v>
      </c>
      <c r="C37" s="285">
        <f t="shared" si="0"/>
        <v>1967035.0362999998</v>
      </c>
    </row>
    <row r="38" spans="1:3" ht="14.1" customHeight="1" x14ac:dyDescent="0.2">
      <c r="A38" s="19" t="s">
        <v>136</v>
      </c>
      <c r="B38" s="20">
        <f>'- 53 -'!D38</f>
        <v>422397540</v>
      </c>
      <c r="C38" s="20">
        <f t="shared" si="0"/>
        <v>4126823.9657999994</v>
      </c>
    </row>
    <row r="39" spans="1:3" ht="14.1" customHeight="1" x14ac:dyDescent="0.2">
      <c r="A39" s="284" t="s">
        <v>137</v>
      </c>
      <c r="B39" s="285">
        <f>'- 53 -'!D39</f>
        <v>362223530</v>
      </c>
      <c r="C39" s="285">
        <f t="shared" si="0"/>
        <v>3538923.8880999996</v>
      </c>
    </row>
    <row r="40" spans="1:3" ht="14.1" customHeight="1" x14ac:dyDescent="0.2">
      <c r="A40" s="19" t="s">
        <v>138</v>
      </c>
      <c r="B40" s="20">
        <f>'- 53 -'!D40</f>
        <v>1746863890</v>
      </c>
      <c r="C40" s="20">
        <f t="shared" si="0"/>
        <v>17066860.2053</v>
      </c>
    </row>
    <row r="41" spans="1:3" ht="14.1" customHeight="1" x14ac:dyDescent="0.2">
      <c r="A41" s="284" t="s">
        <v>139</v>
      </c>
      <c r="B41" s="285">
        <f>'- 53 -'!D41</f>
        <v>462099030</v>
      </c>
      <c r="C41" s="285">
        <f t="shared" si="0"/>
        <v>4514707.5230999999</v>
      </c>
    </row>
    <row r="42" spans="1:3" ht="14.1" customHeight="1" x14ac:dyDescent="0.2">
      <c r="A42" s="19" t="s">
        <v>140</v>
      </c>
      <c r="B42" s="20">
        <f>'- 53 -'!D42</f>
        <v>86211730</v>
      </c>
      <c r="C42" s="20">
        <f t="shared" si="0"/>
        <v>842288.6020999999</v>
      </c>
    </row>
    <row r="43" spans="1:3" ht="14.1" customHeight="1" x14ac:dyDescent="0.2">
      <c r="A43" s="284" t="s">
        <v>141</v>
      </c>
      <c r="B43" s="285">
        <f>'- 53 -'!D43</f>
        <v>69446300</v>
      </c>
      <c r="C43" s="285">
        <f t="shared" si="0"/>
        <v>678490.35099999991</v>
      </c>
    </row>
    <row r="44" spans="1:3" ht="14.1" customHeight="1" x14ac:dyDescent="0.2">
      <c r="A44" s="19" t="s">
        <v>142</v>
      </c>
      <c r="B44" s="20">
        <f>'- 53 -'!D44</f>
        <v>14091930</v>
      </c>
      <c r="C44" s="20">
        <f t="shared" si="0"/>
        <v>137678.15609999999</v>
      </c>
    </row>
    <row r="45" spans="1:3" ht="14.1" customHeight="1" x14ac:dyDescent="0.2">
      <c r="A45" s="284" t="s">
        <v>143</v>
      </c>
      <c r="B45" s="285">
        <f>'- 53 -'!D45</f>
        <v>110994350</v>
      </c>
      <c r="C45" s="285">
        <f t="shared" si="0"/>
        <v>1084414.7995</v>
      </c>
    </row>
    <row r="46" spans="1:3" ht="14.1" customHeight="1" x14ac:dyDescent="0.2">
      <c r="A46" s="19" t="s">
        <v>144</v>
      </c>
      <c r="B46" s="20">
        <f>'- 53 -'!D46</f>
        <v>5227563810</v>
      </c>
      <c r="C46" s="20">
        <f t="shared" si="0"/>
        <v>51073298.423699997</v>
      </c>
    </row>
    <row r="47" spans="1:3" ht="6" customHeight="1" x14ac:dyDescent="0.2">
      <c r="A47" s="21"/>
      <c r="B47" s="22"/>
      <c r="C47" s="22"/>
    </row>
    <row r="48" spans="1:3" ht="14.1" customHeight="1" x14ac:dyDescent="0.2">
      <c r="A48" s="286" t="s">
        <v>228</v>
      </c>
      <c r="B48" s="287">
        <f>SUM(B11:B46)</f>
        <v>18464219840</v>
      </c>
      <c r="C48" s="287">
        <f>SUM(C11:C46)</f>
        <v>180395427.83679998</v>
      </c>
    </row>
    <row r="49" spans="1:4" ht="6" customHeight="1" x14ac:dyDescent="0.2">
      <c r="A49" s="21"/>
      <c r="B49" s="22"/>
      <c r="C49" s="22"/>
    </row>
    <row r="50" spans="1:4" ht="14.1" customHeight="1" x14ac:dyDescent="0.2">
      <c r="A50" s="19" t="s">
        <v>229</v>
      </c>
      <c r="B50" s="20">
        <f>'- 53 -'!D50</f>
        <v>3728280</v>
      </c>
      <c r="C50" s="20">
        <v>0</v>
      </c>
    </row>
    <row r="51" spans="1:4" ht="14.1" customHeight="1" x14ac:dyDescent="0.2">
      <c r="A51" s="284" t="s">
        <v>230</v>
      </c>
      <c r="B51" s="285">
        <f>'- 53 -'!D51</f>
        <v>54498910</v>
      </c>
      <c r="C51" s="285">
        <f>B51*C$10</f>
        <v>532454.35069999995</v>
      </c>
    </row>
    <row r="52" spans="1:4" ht="6" customHeight="1" x14ac:dyDescent="0.2">
      <c r="A52" s="130"/>
      <c r="B52" s="152"/>
      <c r="C52" s="152"/>
    </row>
    <row r="53" spans="1:4" ht="14.45" customHeight="1" x14ac:dyDescent="0.2">
      <c r="A53" s="396" t="s">
        <v>145</v>
      </c>
      <c r="B53" s="397">
        <f>SUM(B48,B50:B51)</f>
        <v>18522447030</v>
      </c>
      <c r="C53" s="397">
        <f>SUM(C48,C50:C51)</f>
        <v>180927882.18749997</v>
      </c>
      <c r="D53" s="184"/>
    </row>
    <row r="54" spans="1:4" ht="50.1" customHeight="1" x14ac:dyDescent="0.2">
      <c r="A54" s="223"/>
      <c r="B54" s="223"/>
      <c r="C54" s="223"/>
      <c r="D54" s="23"/>
    </row>
    <row r="55" spans="1:4" ht="14.45" customHeight="1" x14ac:dyDescent="0.2">
      <c r="A55" s="414" t="s">
        <v>636</v>
      </c>
      <c r="B55" s="38"/>
      <c r="C55" s="38"/>
      <c r="D55" s="38"/>
    </row>
    <row r="56" spans="1:4" ht="14.45" customHeight="1" x14ac:dyDescent="0.2">
      <c r="A56" s="25"/>
      <c r="B56" s="38"/>
      <c r="C56" s="38"/>
      <c r="D56" s="38"/>
    </row>
    <row r="57" spans="1:4" ht="14.45" customHeight="1" x14ac:dyDescent="0.2">
      <c r="A57" s="26"/>
      <c r="B57" s="38"/>
      <c r="C57" s="38"/>
      <c r="D57" s="38"/>
    </row>
    <row r="58" spans="1:4" ht="14.45" customHeight="1" x14ac:dyDescent="0.2">
      <c r="B58" s="80"/>
      <c r="C58" s="80"/>
    </row>
    <row r="59" spans="1:4" ht="14.45" customHeight="1" x14ac:dyDescent="0.2"/>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2"/>
  <dimension ref="A1:M57"/>
  <sheetViews>
    <sheetView showGridLines="0" showZeros="0" workbookViewId="0"/>
  </sheetViews>
  <sheetFormatPr defaultColWidth="15.83203125" defaultRowHeight="12" x14ac:dyDescent="0.2"/>
  <cols>
    <col min="1" max="1" width="30" style="2" customWidth="1"/>
    <col min="2" max="2" width="17.1640625" style="2" customWidth="1"/>
    <col min="3" max="3" width="16.33203125" style="2" customWidth="1"/>
    <col min="4" max="4" width="17" style="2" customWidth="1"/>
    <col min="5" max="5" width="16.1640625" style="2" bestFit="1" customWidth="1"/>
    <col min="6" max="6" width="15.1640625" style="2" customWidth="1"/>
    <col min="7" max="7" width="15.33203125" style="2" customWidth="1"/>
    <col min="8" max="8" width="0" style="2" hidden="1" customWidth="1"/>
    <col min="9" max="9" width="21" style="2" hidden="1" customWidth="1"/>
    <col min="10" max="11" width="0" style="2" hidden="1" customWidth="1"/>
    <col min="12" max="16384" width="15.83203125" style="2"/>
  </cols>
  <sheetData>
    <row r="1" spans="1:13" ht="6.95" customHeight="1" x14ac:dyDescent="0.2">
      <c r="A1" s="7"/>
    </row>
    <row r="2" spans="1:13" ht="15.95" customHeight="1" x14ac:dyDescent="0.2">
      <c r="A2" s="208" t="s">
        <v>48</v>
      </c>
      <c r="B2" s="224"/>
      <c r="C2" s="224"/>
      <c r="D2" s="224"/>
      <c r="E2" s="224"/>
      <c r="F2" s="224"/>
      <c r="G2" s="224"/>
    </row>
    <row r="3" spans="1:13" ht="15.95" customHeight="1" x14ac:dyDescent="0.2">
      <c r="A3" s="233" t="str">
        <f>TAXYEAR</f>
        <v>FOR THE 2018 TAXATION YEAR (2018 IS A REASSESSMENT YEAR)</v>
      </c>
      <c r="B3" s="225"/>
      <c r="C3" s="225"/>
      <c r="D3" s="225"/>
      <c r="E3" s="235"/>
      <c r="F3" s="235"/>
      <c r="G3" s="225"/>
    </row>
    <row r="4" spans="1:13" ht="15.95" customHeight="1" x14ac:dyDescent="0.2">
      <c r="B4" s="8"/>
      <c r="C4" s="8"/>
      <c r="D4" s="8"/>
      <c r="E4" s="43"/>
      <c r="F4" s="43"/>
      <c r="G4" s="43"/>
    </row>
    <row r="5" spans="1:13" ht="15.95" customHeight="1" x14ac:dyDescent="0.2">
      <c r="B5" s="8"/>
      <c r="C5" s="8"/>
      <c r="D5" s="8"/>
      <c r="E5" s="8"/>
      <c r="F5" s="8"/>
      <c r="G5" s="8"/>
      <c r="M5" s="133"/>
    </row>
    <row r="6" spans="1:13" ht="15.95" customHeight="1" x14ac:dyDescent="0.2">
      <c r="B6" s="206" t="s">
        <v>55</v>
      </c>
      <c r="C6" s="172"/>
      <c r="D6" s="172"/>
      <c r="E6" s="170"/>
      <c r="F6" s="8"/>
      <c r="G6" s="8"/>
      <c r="H6" s="4" t="s">
        <v>64</v>
      </c>
    </row>
    <row r="7" spans="1:13" ht="15.95" customHeight="1" x14ac:dyDescent="0.2">
      <c r="B7" s="786" t="s">
        <v>556</v>
      </c>
      <c r="C7" s="786" t="s">
        <v>555</v>
      </c>
      <c r="D7" s="346"/>
      <c r="E7" s="303"/>
      <c r="F7" s="347"/>
      <c r="G7" s="640" t="s">
        <v>554</v>
      </c>
      <c r="H7" s="4" t="s">
        <v>62</v>
      </c>
    </row>
    <row r="8" spans="1:13" ht="15.95" customHeight="1" x14ac:dyDescent="0.2">
      <c r="A8" s="33"/>
      <c r="B8" s="787"/>
      <c r="C8" s="787"/>
      <c r="D8" s="348" t="s">
        <v>7</v>
      </c>
      <c r="E8" s="349"/>
      <c r="F8" s="738" t="s">
        <v>553</v>
      </c>
      <c r="G8" s="738"/>
      <c r="H8" s="4" t="s">
        <v>104</v>
      </c>
    </row>
    <row r="9" spans="1:13" ht="15.95" customHeight="1" x14ac:dyDescent="0.2">
      <c r="A9" s="236" t="s">
        <v>42</v>
      </c>
      <c r="B9" s="788"/>
      <c r="C9" s="788"/>
      <c r="D9" s="351" t="s">
        <v>68</v>
      </c>
      <c r="E9" s="307" t="s">
        <v>31</v>
      </c>
      <c r="F9" s="641"/>
      <c r="G9" s="739"/>
      <c r="H9" s="4" t="s">
        <v>105</v>
      </c>
    </row>
    <row r="10" spans="1:13" ht="5.0999999999999996" customHeight="1" x14ac:dyDescent="0.2">
      <c r="A10" s="18"/>
      <c r="B10" s="207"/>
      <c r="C10" s="7"/>
      <c r="D10" s="207"/>
      <c r="E10" s="207"/>
      <c r="F10" s="7"/>
      <c r="G10" s="7"/>
    </row>
    <row r="11" spans="1:13" ht="14.1" customHeight="1" x14ac:dyDescent="0.2">
      <c r="A11" s="354" t="s">
        <v>110</v>
      </c>
      <c r="B11" s="352">
        <v>315663190</v>
      </c>
      <c r="C11" s="352">
        <v>322928910</v>
      </c>
      <c r="D11" s="352">
        <v>156158350</v>
      </c>
      <c r="E11" s="352">
        <f t="shared" ref="E11:E46" si="0">SUM(B11:D11)</f>
        <v>794750450</v>
      </c>
      <c r="F11" s="352">
        <f>'- 55 -'!C11</f>
        <v>8957665</v>
      </c>
      <c r="G11" s="353">
        <f>F11/E11*1000</f>
        <v>11.271041117372127</v>
      </c>
      <c r="I11" s="234" t="str">
        <f>A11</f>
        <v xml:space="preserve"> BEAUTIFUL PLAINS</v>
      </c>
      <c r="J11" s="5">
        <f>G11</f>
        <v>11.271041117372127</v>
      </c>
      <c r="M11" s="510"/>
    </row>
    <row r="12" spans="1:13" ht="14.1" customHeight="1" x14ac:dyDescent="0.2">
      <c r="A12" s="237" t="s">
        <v>111</v>
      </c>
      <c r="B12" s="151">
        <v>350906290</v>
      </c>
      <c r="C12" s="151">
        <v>435956920</v>
      </c>
      <c r="D12" s="151">
        <v>214273150</v>
      </c>
      <c r="E12" s="151">
        <f t="shared" si="0"/>
        <v>1001136360</v>
      </c>
      <c r="F12" s="151">
        <f>'- 55 -'!C12</f>
        <v>14421496</v>
      </c>
      <c r="G12" s="238">
        <f>F12/E12*1000</f>
        <v>14.405126590347793</v>
      </c>
      <c r="I12" s="234" t="str">
        <f>A12</f>
        <v xml:space="preserve"> BORDER LAND</v>
      </c>
      <c r="J12" s="5">
        <f>G12</f>
        <v>14.405126590347793</v>
      </c>
      <c r="M12" s="510"/>
    </row>
    <row r="13" spans="1:13" ht="14.1" customHeight="1" x14ac:dyDescent="0.2">
      <c r="A13" s="354" t="s">
        <v>112</v>
      </c>
      <c r="B13" s="352">
        <v>2120165260</v>
      </c>
      <c r="C13" s="352">
        <v>105622620</v>
      </c>
      <c r="D13" s="352">
        <v>943926600</v>
      </c>
      <c r="E13" s="352">
        <f t="shared" si="0"/>
        <v>3169714480</v>
      </c>
      <c r="F13" s="352">
        <f>'- 55 -'!C13</f>
        <v>47696704</v>
      </c>
      <c r="G13" s="353">
        <f>F13/E13*1000</f>
        <v>15.047634195746236</v>
      </c>
      <c r="I13" s="234" t="str">
        <f>A13</f>
        <v xml:space="preserve"> BRANDON</v>
      </c>
      <c r="J13" s="5">
        <f>G13</f>
        <v>15.047634195746236</v>
      </c>
      <c r="M13" s="510"/>
    </row>
    <row r="14" spans="1:13" ht="14.1" customHeight="1" x14ac:dyDescent="0.2">
      <c r="A14" s="237" t="s">
        <v>359</v>
      </c>
      <c r="B14" s="151"/>
      <c r="C14" s="151"/>
      <c r="D14" s="151"/>
      <c r="E14" s="151">
        <f t="shared" si="0"/>
        <v>0</v>
      </c>
      <c r="F14" s="151"/>
      <c r="G14" s="238"/>
      <c r="I14" s="234" t="str">
        <f>A15</f>
        <v xml:space="preserve"> EVERGREEN</v>
      </c>
      <c r="J14" s="5">
        <f>G15</f>
        <v>10.984411245544862</v>
      </c>
      <c r="M14" s="510"/>
    </row>
    <row r="15" spans="1:13" ht="14.1" customHeight="1" x14ac:dyDescent="0.2">
      <c r="A15" s="354" t="s">
        <v>113</v>
      </c>
      <c r="B15" s="352">
        <v>766115580</v>
      </c>
      <c r="C15" s="352">
        <v>106036060</v>
      </c>
      <c r="D15" s="352">
        <v>125923610</v>
      </c>
      <c r="E15" s="352">
        <f t="shared" si="0"/>
        <v>998075250</v>
      </c>
      <c r="F15" s="352">
        <f>'- 55 -'!C15</f>
        <v>10963269</v>
      </c>
      <c r="G15" s="353">
        <f>F15/E15*1000</f>
        <v>10.984411245544862</v>
      </c>
      <c r="I15" s="234" t="str">
        <f t="shared" ref="I15:I44" si="1">A16</f>
        <v xml:space="preserve"> FLIN FLON</v>
      </c>
      <c r="J15" s="5">
        <f t="shared" ref="J15:J44" si="2">G16</f>
        <v>21.435859804311313</v>
      </c>
      <c r="M15" s="510"/>
    </row>
    <row r="16" spans="1:13" ht="14.1" customHeight="1" x14ac:dyDescent="0.2">
      <c r="A16" s="237" t="s">
        <v>114</v>
      </c>
      <c r="B16" s="151">
        <v>100680650</v>
      </c>
      <c r="C16" s="151">
        <v>0</v>
      </c>
      <c r="D16" s="151">
        <v>34475860</v>
      </c>
      <c r="E16" s="151">
        <f t="shared" si="0"/>
        <v>135156510</v>
      </c>
      <c r="F16" s="151">
        <f>'- 55 -'!C16</f>
        <v>4389563</v>
      </c>
      <c r="G16" s="238">
        <f>(F16-H16)/E16*1000</f>
        <v>21.435859804311313</v>
      </c>
      <c r="H16" s="587">
        <v>1492367</v>
      </c>
      <c r="I16" s="234" t="str">
        <f t="shared" si="1"/>
        <v xml:space="preserve"> FORT LA BOSSE</v>
      </c>
      <c r="J16" s="5">
        <f t="shared" si="2"/>
        <v>7.7231349411031802</v>
      </c>
      <c r="M16" s="510"/>
    </row>
    <row r="17" spans="1:13" ht="14.1" customHeight="1" x14ac:dyDescent="0.2">
      <c r="A17" s="354" t="s">
        <v>115</v>
      </c>
      <c r="B17" s="352">
        <v>338378090</v>
      </c>
      <c r="C17" s="352">
        <v>275423060</v>
      </c>
      <c r="D17" s="352">
        <v>588970920</v>
      </c>
      <c r="E17" s="352">
        <f t="shared" si="0"/>
        <v>1202772070</v>
      </c>
      <c r="F17" s="352">
        <f>'- 55 -'!C17</f>
        <v>9289171</v>
      </c>
      <c r="G17" s="353">
        <f>F17/E17*1000</f>
        <v>7.7231349411031802</v>
      </c>
      <c r="H17" s="443"/>
      <c r="I17" s="234" t="str">
        <f t="shared" si="1"/>
        <v xml:space="preserve"> FRONTIER</v>
      </c>
      <c r="J17" s="5">
        <f t="shared" si="2"/>
        <v>12.864999489105124</v>
      </c>
      <c r="M17" s="510"/>
    </row>
    <row r="18" spans="1:13" ht="14.1" customHeight="1" x14ac:dyDescent="0.2">
      <c r="A18" s="237" t="s">
        <v>116</v>
      </c>
      <c r="B18" s="151">
        <v>149973670</v>
      </c>
      <c r="C18" s="151">
        <v>25264230</v>
      </c>
      <c r="D18" s="151">
        <v>78336770</v>
      </c>
      <c r="E18" s="151">
        <f t="shared" si="0"/>
        <v>253574670</v>
      </c>
      <c r="F18" s="151">
        <f>'- 55 -'!C18</f>
        <v>3262238</v>
      </c>
      <c r="G18" s="238">
        <f>(F18-H18)/E18*1000</f>
        <v>12.864999489105124</v>
      </c>
      <c r="I18" s="234" t="str">
        <f t="shared" si="1"/>
        <v xml:space="preserve"> GARDEN VALLEY</v>
      </c>
      <c r="J18" s="5">
        <f t="shared" si="2"/>
        <v>15.080288048099247</v>
      </c>
      <c r="M18" s="510"/>
    </row>
    <row r="19" spans="1:13" ht="14.1" customHeight="1" x14ac:dyDescent="0.2">
      <c r="A19" s="354" t="s">
        <v>117</v>
      </c>
      <c r="B19" s="352">
        <v>661996230</v>
      </c>
      <c r="C19" s="352">
        <v>286061750</v>
      </c>
      <c r="D19" s="352">
        <v>331336680</v>
      </c>
      <c r="E19" s="352">
        <f t="shared" si="0"/>
        <v>1279394660</v>
      </c>
      <c r="F19" s="352">
        <f>'- 55 -'!C19</f>
        <v>19293640</v>
      </c>
      <c r="G19" s="353">
        <f t="shared" ref="G19:G26" si="3">F19/E19*1000</f>
        <v>15.080288048099247</v>
      </c>
      <c r="I19" s="234" t="str">
        <f t="shared" si="1"/>
        <v xml:space="preserve"> HANOVER</v>
      </c>
      <c r="J19" s="5">
        <f t="shared" si="2"/>
        <v>15.142682992713993</v>
      </c>
      <c r="M19" s="510"/>
    </row>
    <row r="20" spans="1:13" ht="14.1" customHeight="1" x14ac:dyDescent="0.2">
      <c r="A20" s="237" t="s">
        <v>118</v>
      </c>
      <c r="B20" s="151">
        <v>1534201720</v>
      </c>
      <c r="C20" s="151">
        <v>228145620</v>
      </c>
      <c r="D20" s="151">
        <v>441612950</v>
      </c>
      <c r="E20" s="151">
        <f t="shared" si="0"/>
        <v>2203960290</v>
      </c>
      <c r="F20" s="151">
        <f>'- 55 -'!C20</f>
        <v>33373872</v>
      </c>
      <c r="G20" s="238">
        <f t="shared" si="3"/>
        <v>15.142682992713993</v>
      </c>
      <c r="I20" s="234" t="str">
        <f t="shared" si="1"/>
        <v xml:space="preserve"> INTERLAKE</v>
      </c>
      <c r="J20" s="5">
        <f t="shared" si="2"/>
        <v>13.587764129088127</v>
      </c>
      <c r="M20" s="510"/>
    </row>
    <row r="21" spans="1:13" ht="14.1" customHeight="1" x14ac:dyDescent="0.2">
      <c r="A21" s="354" t="s">
        <v>119</v>
      </c>
      <c r="B21" s="352">
        <v>825161270</v>
      </c>
      <c r="C21" s="352">
        <v>270126950</v>
      </c>
      <c r="D21" s="352">
        <v>305427440</v>
      </c>
      <c r="E21" s="352">
        <f t="shared" si="0"/>
        <v>1400715660</v>
      </c>
      <c r="F21" s="352">
        <f>'- 55 -'!C21</f>
        <v>19032594</v>
      </c>
      <c r="G21" s="353">
        <f t="shared" si="3"/>
        <v>13.587764129088127</v>
      </c>
      <c r="I21" s="234" t="str">
        <f t="shared" si="1"/>
        <v xml:space="preserve"> KELSEY</v>
      </c>
      <c r="J21" s="5">
        <f t="shared" si="2"/>
        <v>17.534076892125718</v>
      </c>
      <c r="M21" s="510"/>
    </row>
    <row r="22" spans="1:13" ht="14.1" customHeight="1" x14ac:dyDescent="0.2">
      <c r="A22" s="237" t="s">
        <v>120</v>
      </c>
      <c r="B22" s="151">
        <v>171526380</v>
      </c>
      <c r="C22" s="151">
        <v>21706150</v>
      </c>
      <c r="D22" s="151">
        <v>66655460</v>
      </c>
      <c r="E22" s="151">
        <f t="shared" si="0"/>
        <v>259887990</v>
      </c>
      <c r="F22" s="151">
        <f>'- 55 -'!C22</f>
        <v>4556896</v>
      </c>
      <c r="G22" s="238">
        <f t="shared" si="3"/>
        <v>17.534076892125718</v>
      </c>
      <c r="I22" s="234" t="str">
        <f t="shared" si="1"/>
        <v xml:space="preserve"> LAKESHORE</v>
      </c>
      <c r="J22" s="5">
        <f t="shared" si="2"/>
        <v>14.84507254638002</v>
      </c>
      <c r="M22" s="510"/>
    </row>
    <row r="23" spans="1:13" ht="14.1" customHeight="1" x14ac:dyDescent="0.2">
      <c r="A23" s="354" t="s">
        <v>121</v>
      </c>
      <c r="B23" s="352">
        <v>170806530</v>
      </c>
      <c r="C23" s="352">
        <v>117371900</v>
      </c>
      <c r="D23" s="352">
        <v>36107220</v>
      </c>
      <c r="E23" s="352">
        <f t="shared" si="0"/>
        <v>324285650</v>
      </c>
      <c r="F23" s="352">
        <f>'- 55 -'!C23</f>
        <v>4814044</v>
      </c>
      <c r="G23" s="353">
        <f t="shared" si="3"/>
        <v>14.84507254638002</v>
      </c>
      <c r="H23" s="239"/>
      <c r="I23" s="234" t="str">
        <f t="shared" si="1"/>
        <v xml:space="preserve"> LORD SELKIRK</v>
      </c>
      <c r="J23" s="5">
        <f t="shared" si="2"/>
        <v>14.823461615655591</v>
      </c>
      <c r="M23" s="510"/>
    </row>
    <row r="24" spans="1:13" ht="14.1" customHeight="1" x14ac:dyDescent="0.2">
      <c r="A24" s="237" t="s">
        <v>122</v>
      </c>
      <c r="B24" s="151">
        <v>1684811350</v>
      </c>
      <c r="C24" s="151">
        <v>88893770</v>
      </c>
      <c r="D24" s="151">
        <v>262920520</v>
      </c>
      <c r="E24" s="151">
        <f t="shared" si="0"/>
        <v>2036625640</v>
      </c>
      <c r="F24" s="151">
        <f>'- 55 -'!C24</f>
        <v>30189842</v>
      </c>
      <c r="G24" s="238">
        <f t="shared" si="3"/>
        <v>14.823461615655591</v>
      </c>
      <c r="I24" s="234" t="str">
        <f t="shared" si="1"/>
        <v xml:space="preserve"> LOUIS RIEL</v>
      </c>
      <c r="J24" s="5">
        <f t="shared" si="2"/>
        <v>13.246291105609478</v>
      </c>
      <c r="M24" s="510"/>
    </row>
    <row r="25" spans="1:13" ht="14.1" customHeight="1" x14ac:dyDescent="0.2">
      <c r="A25" s="354" t="s">
        <v>123</v>
      </c>
      <c r="B25" s="352">
        <v>6540640240</v>
      </c>
      <c r="C25" s="352">
        <v>20686990</v>
      </c>
      <c r="D25" s="352">
        <v>1525199870</v>
      </c>
      <c r="E25" s="352">
        <f t="shared" si="0"/>
        <v>8086527100</v>
      </c>
      <c r="F25" s="352">
        <f>'- 55 -'!C25</f>
        <v>107116492</v>
      </c>
      <c r="G25" s="353">
        <f t="shared" si="3"/>
        <v>13.246291105609478</v>
      </c>
      <c r="I25" s="234" t="str">
        <f t="shared" si="1"/>
        <v xml:space="preserve"> MOUNTAIN VIEW</v>
      </c>
      <c r="J25" s="5">
        <f t="shared" si="2"/>
        <v>15.344073757481109</v>
      </c>
      <c r="M25" s="510"/>
    </row>
    <row r="26" spans="1:13" ht="14.1" customHeight="1" x14ac:dyDescent="0.2">
      <c r="A26" s="237" t="s">
        <v>124</v>
      </c>
      <c r="B26" s="151">
        <v>528032710</v>
      </c>
      <c r="C26" s="151">
        <v>397115940</v>
      </c>
      <c r="D26" s="151">
        <v>152634360</v>
      </c>
      <c r="E26" s="151">
        <f t="shared" si="0"/>
        <v>1077783010</v>
      </c>
      <c r="F26" s="151">
        <f>'- 55 -'!C26</f>
        <v>16537582</v>
      </c>
      <c r="G26" s="238">
        <f t="shared" si="3"/>
        <v>15.344073757481109</v>
      </c>
      <c r="I26" s="234" t="str">
        <f t="shared" si="1"/>
        <v xml:space="preserve"> MYSTERY LAKE</v>
      </c>
      <c r="J26" s="5">
        <f t="shared" si="2"/>
        <v>18.623440635922936</v>
      </c>
      <c r="M26" s="510"/>
    </row>
    <row r="27" spans="1:13" ht="14.1" customHeight="1" x14ac:dyDescent="0.2">
      <c r="A27" s="354" t="s">
        <v>125</v>
      </c>
      <c r="B27" s="352">
        <v>334260650</v>
      </c>
      <c r="C27" s="352">
        <v>0</v>
      </c>
      <c r="D27" s="352">
        <v>132632400</v>
      </c>
      <c r="E27" s="352">
        <f t="shared" si="0"/>
        <v>466893050</v>
      </c>
      <c r="F27" s="352">
        <f>'- 55 -'!C27</f>
        <v>8695155</v>
      </c>
      <c r="G27" s="353">
        <f t="shared" ref="G27:G34" si="4">F27/E27*1000</f>
        <v>18.623440635922936</v>
      </c>
      <c r="I27" s="234" t="str">
        <f t="shared" si="1"/>
        <v xml:space="preserve"> PARK WEST</v>
      </c>
      <c r="J27" s="5">
        <f t="shared" si="2"/>
        <v>10.382553001288626</v>
      </c>
      <c r="M27" s="510"/>
    </row>
    <row r="28" spans="1:13" ht="14.1" customHeight="1" x14ac:dyDescent="0.2">
      <c r="A28" s="237" t="s">
        <v>126</v>
      </c>
      <c r="B28" s="151">
        <v>289965700</v>
      </c>
      <c r="C28" s="151">
        <v>469494410</v>
      </c>
      <c r="D28" s="151">
        <v>196752490</v>
      </c>
      <c r="E28" s="151">
        <f t="shared" si="0"/>
        <v>956212600</v>
      </c>
      <c r="F28" s="151">
        <f>'- 55 -'!C28</f>
        <v>9927928</v>
      </c>
      <c r="G28" s="238">
        <f t="shared" si="4"/>
        <v>10.382553001288626</v>
      </c>
      <c r="I28" s="234" t="str">
        <f t="shared" si="1"/>
        <v xml:space="preserve"> PEMBINA TRAILS</v>
      </c>
      <c r="J28" s="5">
        <f t="shared" si="2"/>
        <v>12.320643189237414</v>
      </c>
      <c r="M28" s="510"/>
    </row>
    <row r="29" spans="1:13" ht="14.1" customHeight="1" x14ac:dyDescent="0.2">
      <c r="A29" s="354" t="s">
        <v>127</v>
      </c>
      <c r="B29" s="352">
        <v>6799734070</v>
      </c>
      <c r="C29" s="352">
        <v>27082970</v>
      </c>
      <c r="D29" s="352">
        <v>1712039770</v>
      </c>
      <c r="E29" s="352">
        <f t="shared" si="0"/>
        <v>8538856810</v>
      </c>
      <c r="F29" s="352">
        <f>'- 55 -'!C29</f>
        <v>105204208</v>
      </c>
      <c r="G29" s="353">
        <f t="shared" si="4"/>
        <v>12.320643189237414</v>
      </c>
      <c r="I29" s="234" t="str">
        <f t="shared" si="1"/>
        <v xml:space="preserve"> PINE CREEK</v>
      </c>
      <c r="J29" s="5">
        <f t="shared" si="2"/>
        <v>13.687465975048767</v>
      </c>
      <c r="M29" s="510"/>
    </row>
    <row r="30" spans="1:13" ht="14.1" customHeight="1" x14ac:dyDescent="0.2">
      <c r="A30" s="237" t="s">
        <v>128</v>
      </c>
      <c r="B30" s="151">
        <v>155347550</v>
      </c>
      <c r="C30" s="151">
        <v>280045530</v>
      </c>
      <c r="D30" s="151">
        <v>108876620</v>
      </c>
      <c r="E30" s="151">
        <f t="shared" si="0"/>
        <v>544269700</v>
      </c>
      <c r="F30" s="151">
        <f>'- 55 -'!C30</f>
        <v>7449673</v>
      </c>
      <c r="G30" s="238">
        <f t="shared" si="4"/>
        <v>13.687465975048767</v>
      </c>
      <c r="I30" s="234" t="str">
        <f t="shared" si="1"/>
        <v xml:space="preserve"> PORTAGE LA PRAIRIE</v>
      </c>
      <c r="J30" s="5">
        <f t="shared" si="2"/>
        <v>13.740876348270882</v>
      </c>
      <c r="M30" s="510"/>
    </row>
    <row r="31" spans="1:13" ht="14.1" customHeight="1" x14ac:dyDescent="0.2">
      <c r="A31" s="354" t="s">
        <v>129</v>
      </c>
      <c r="B31" s="352">
        <v>598834410</v>
      </c>
      <c r="C31" s="352">
        <v>381546830</v>
      </c>
      <c r="D31" s="352">
        <v>358520700</v>
      </c>
      <c r="E31" s="352">
        <f t="shared" si="0"/>
        <v>1338901940</v>
      </c>
      <c r="F31" s="352">
        <f>'- 55 -'!C31</f>
        <v>18397686</v>
      </c>
      <c r="G31" s="353">
        <f t="shared" si="4"/>
        <v>13.740876348270882</v>
      </c>
      <c r="I31" s="234" t="str">
        <f t="shared" si="1"/>
        <v xml:space="preserve"> PRAIRIE ROSE</v>
      </c>
      <c r="J31" s="5">
        <f t="shared" si="2"/>
        <v>11.148902100818832</v>
      </c>
      <c r="M31" s="510"/>
    </row>
    <row r="32" spans="1:13" ht="14.1" customHeight="1" x14ac:dyDescent="0.2">
      <c r="A32" s="237" t="s">
        <v>130</v>
      </c>
      <c r="B32" s="151">
        <v>541070100</v>
      </c>
      <c r="C32" s="151">
        <v>815206330</v>
      </c>
      <c r="D32" s="151">
        <v>158828990</v>
      </c>
      <c r="E32" s="151">
        <f t="shared" si="0"/>
        <v>1515105420</v>
      </c>
      <c r="F32" s="151">
        <f>'- 55 -'!C32</f>
        <v>16891762</v>
      </c>
      <c r="G32" s="238">
        <f t="shared" si="4"/>
        <v>11.148902100818832</v>
      </c>
      <c r="I32" s="234" t="str">
        <f t="shared" si="1"/>
        <v xml:space="preserve"> PRAIRIE SPIRIT</v>
      </c>
      <c r="J32" s="5">
        <f t="shared" si="2"/>
        <v>9.6027104673578432</v>
      </c>
      <c r="M32" s="510"/>
    </row>
    <row r="33" spans="1:13" ht="14.1" customHeight="1" x14ac:dyDescent="0.2">
      <c r="A33" s="354" t="s">
        <v>131</v>
      </c>
      <c r="B33" s="352">
        <v>351936410</v>
      </c>
      <c r="C33" s="352">
        <v>974014750</v>
      </c>
      <c r="D33" s="352">
        <v>183438720</v>
      </c>
      <c r="E33" s="352">
        <f t="shared" si="0"/>
        <v>1509389880</v>
      </c>
      <c r="F33" s="352">
        <f>'- 55 -'!C33</f>
        <v>14494234</v>
      </c>
      <c r="G33" s="353">
        <f t="shared" si="4"/>
        <v>9.6027104673578432</v>
      </c>
      <c r="I33" s="234" t="str">
        <f t="shared" si="1"/>
        <v xml:space="preserve"> RED RIVER VALLEY</v>
      </c>
      <c r="J33" s="5">
        <f t="shared" si="2"/>
        <v>13.845233134698701</v>
      </c>
      <c r="M33" s="510"/>
    </row>
    <row r="34" spans="1:13" ht="14.1" customHeight="1" x14ac:dyDescent="0.2">
      <c r="A34" s="237" t="s">
        <v>132</v>
      </c>
      <c r="B34" s="151">
        <v>581602420</v>
      </c>
      <c r="C34" s="151">
        <v>650856680</v>
      </c>
      <c r="D34" s="151">
        <v>298096420</v>
      </c>
      <c r="E34" s="151">
        <f t="shared" si="0"/>
        <v>1530555520</v>
      </c>
      <c r="F34" s="151">
        <f>'- 55 -'!C34</f>
        <v>21190898</v>
      </c>
      <c r="G34" s="238">
        <f t="shared" si="4"/>
        <v>13.845233134698701</v>
      </c>
      <c r="I34" s="234" t="str">
        <f t="shared" si="1"/>
        <v xml:space="preserve"> RIVER EAST TRANSCONA</v>
      </c>
      <c r="J34" s="5">
        <f t="shared" si="2"/>
        <v>13.349366573748449</v>
      </c>
      <c r="M34" s="510"/>
    </row>
    <row r="35" spans="1:13" ht="14.1" customHeight="1" x14ac:dyDescent="0.2">
      <c r="A35" s="354" t="s">
        <v>133</v>
      </c>
      <c r="B35" s="352">
        <v>5654786340</v>
      </c>
      <c r="C35" s="352">
        <v>17323540</v>
      </c>
      <c r="D35" s="352">
        <v>1165842430</v>
      </c>
      <c r="E35" s="352">
        <f t="shared" si="0"/>
        <v>6837952310</v>
      </c>
      <c r="F35" s="352">
        <f>'- 55 -'!C35</f>
        <v>91282332</v>
      </c>
      <c r="G35" s="353">
        <f t="shared" ref="G35:G46" si="5">F35/E35*1000</f>
        <v>13.349366573748449</v>
      </c>
      <c r="I35" s="234" t="str">
        <f t="shared" si="1"/>
        <v xml:space="preserve"> ROLLING RIVER</v>
      </c>
      <c r="J35" s="5">
        <f t="shared" si="2"/>
        <v>11.374173564208691</v>
      </c>
      <c r="M35" s="510"/>
    </row>
    <row r="36" spans="1:13" ht="14.1" customHeight="1" x14ac:dyDescent="0.2">
      <c r="A36" s="237" t="s">
        <v>134</v>
      </c>
      <c r="B36" s="151">
        <v>522444210</v>
      </c>
      <c r="C36" s="151">
        <v>341442450</v>
      </c>
      <c r="D36" s="151">
        <v>182005240</v>
      </c>
      <c r="E36" s="151">
        <f t="shared" si="0"/>
        <v>1045891900</v>
      </c>
      <c r="F36" s="151">
        <f>'- 55 -'!C36</f>
        <v>11896156</v>
      </c>
      <c r="G36" s="238">
        <f t="shared" si="5"/>
        <v>11.374173564208691</v>
      </c>
      <c r="I36" s="234" t="str">
        <f t="shared" si="1"/>
        <v xml:space="preserve"> SEINE RIVER</v>
      </c>
      <c r="J36" s="5">
        <f t="shared" si="2"/>
        <v>14.647972464335137</v>
      </c>
      <c r="M36" s="510"/>
    </row>
    <row r="37" spans="1:13" ht="14.1" customHeight="1" x14ac:dyDescent="0.2">
      <c r="A37" s="354" t="s">
        <v>135</v>
      </c>
      <c r="B37" s="352">
        <v>1499190250</v>
      </c>
      <c r="C37" s="352">
        <v>157086780</v>
      </c>
      <c r="D37" s="352">
        <v>201334190</v>
      </c>
      <c r="E37" s="352">
        <f t="shared" si="0"/>
        <v>1857611220</v>
      </c>
      <c r="F37" s="352">
        <f>'- 55 -'!C37</f>
        <v>27210238</v>
      </c>
      <c r="G37" s="353">
        <f t="shared" si="5"/>
        <v>14.647972464335137</v>
      </c>
      <c r="I37" s="234" t="str">
        <f t="shared" si="1"/>
        <v xml:space="preserve"> SEVEN OAKS</v>
      </c>
      <c r="J37" s="5">
        <f t="shared" si="2"/>
        <v>16.456050685732176</v>
      </c>
      <c r="M37" s="510"/>
    </row>
    <row r="38" spans="1:13" ht="14.1" customHeight="1" x14ac:dyDescent="0.2">
      <c r="A38" s="237" t="s">
        <v>136</v>
      </c>
      <c r="B38" s="151">
        <v>3019117510</v>
      </c>
      <c r="C38" s="151">
        <v>18754980</v>
      </c>
      <c r="D38" s="151">
        <v>422397540</v>
      </c>
      <c r="E38" s="151">
        <f t="shared" si="0"/>
        <v>3460270030</v>
      </c>
      <c r="F38" s="151">
        <f>'- 55 -'!C38</f>
        <v>56942379</v>
      </c>
      <c r="G38" s="238">
        <f t="shared" si="5"/>
        <v>16.456050685732176</v>
      </c>
      <c r="I38" s="234" t="str">
        <f t="shared" si="1"/>
        <v xml:space="preserve"> SOUTHWEST HORIZON</v>
      </c>
      <c r="J38" s="5">
        <f t="shared" si="2"/>
        <v>10.40118907652824</v>
      </c>
      <c r="M38" s="510"/>
    </row>
    <row r="39" spans="1:13" ht="14.1" customHeight="1" x14ac:dyDescent="0.2">
      <c r="A39" s="354" t="s">
        <v>137</v>
      </c>
      <c r="B39" s="352">
        <v>314509580</v>
      </c>
      <c r="C39" s="352">
        <v>578782380</v>
      </c>
      <c r="D39" s="352">
        <v>362223530</v>
      </c>
      <c r="E39" s="352">
        <f t="shared" si="0"/>
        <v>1255515490</v>
      </c>
      <c r="F39" s="352">
        <f>'- 55 -'!C39</f>
        <v>13058854</v>
      </c>
      <c r="G39" s="353">
        <f t="shared" si="5"/>
        <v>10.40118907652824</v>
      </c>
      <c r="I39" s="234" t="str">
        <f t="shared" si="1"/>
        <v xml:space="preserve"> ST. JAMES-ASSINIBOIA</v>
      </c>
      <c r="J39" s="5">
        <f t="shared" si="2"/>
        <v>12.768238376888654</v>
      </c>
      <c r="M39" s="510"/>
    </row>
    <row r="40" spans="1:13" ht="14.1" customHeight="1" x14ac:dyDescent="0.2">
      <c r="A40" s="237" t="s">
        <v>138</v>
      </c>
      <c r="B40" s="151">
        <v>3069964150</v>
      </c>
      <c r="C40" s="151">
        <v>26194480</v>
      </c>
      <c r="D40" s="151">
        <v>1746863890</v>
      </c>
      <c r="E40" s="151">
        <f t="shared" si="0"/>
        <v>4843022520</v>
      </c>
      <c r="F40" s="151">
        <f>'- 55 -'!C40</f>
        <v>61836866</v>
      </c>
      <c r="G40" s="238">
        <f t="shared" si="5"/>
        <v>12.768238376888654</v>
      </c>
      <c r="I40" s="234" t="str">
        <f t="shared" si="1"/>
        <v xml:space="preserve"> SUNRISE</v>
      </c>
      <c r="J40" s="5">
        <f t="shared" si="2"/>
        <v>13.844166527257309</v>
      </c>
      <c r="M40" s="510"/>
    </row>
    <row r="41" spans="1:13" ht="14.1" customHeight="1" x14ac:dyDescent="0.2">
      <c r="A41" s="354" t="s">
        <v>139</v>
      </c>
      <c r="B41" s="352">
        <v>1881747110</v>
      </c>
      <c r="C41" s="352">
        <v>277869290</v>
      </c>
      <c r="D41" s="352">
        <v>462099030</v>
      </c>
      <c r="E41" s="352">
        <f t="shared" si="0"/>
        <v>2621715430</v>
      </c>
      <c r="F41" s="352">
        <f>'- 55 -'!C41</f>
        <v>36295465</v>
      </c>
      <c r="G41" s="353">
        <f t="shared" si="5"/>
        <v>13.844166527257309</v>
      </c>
      <c r="I41" s="234" t="str">
        <f t="shared" si="1"/>
        <v xml:space="preserve"> SWAN VALLEY</v>
      </c>
      <c r="J41" s="5">
        <f t="shared" si="2"/>
        <v>13.706920436023552</v>
      </c>
      <c r="M41" s="510"/>
    </row>
    <row r="42" spans="1:13" ht="14.1" customHeight="1" x14ac:dyDescent="0.2">
      <c r="A42" s="237" t="s">
        <v>140</v>
      </c>
      <c r="B42" s="151">
        <v>242115290</v>
      </c>
      <c r="C42" s="151">
        <v>242311880</v>
      </c>
      <c r="D42" s="151">
        <v>86211730</v>
      </c>
      <c r="E42" s="151">
        <f t="shared" si="0"/>
        <v>570638900</v>
      </c>
      <c r="F42" s="151">
        <f>'- 55 -'!C42</f>
        <v>7821702</v>
      </c>
      <c r="G42" s="238">
        <f t="shared" si="5"/>
        <v>13.706920436023552</v>
      </c>
      <c r="I42" s="234" t="str">
        <f t="shared" si="1"/>
        <v xml:space="preserve"> TURTLE MOUNTAIN</v>
      </c>
      <c r="J42" s="5">
        <f t="shared" si="2"/>
        <v>11.680394541064121</v>
      </c>
      <c r="M42" s="510"/>
    </row>
    <row r="43" spans="1:13" ht="14.1" customHeight="1" x14ac:dyDescent="0.2">
      <c r="A43" s="354" t="s">
        <v>141</v>
      </c>
      <c r="B43" s="352">
        <v>241309560</v>
      </c>
      <c r="C43" s="352">
        <v>309018410</v>
      </c>
      <c r="D43" s="352">
        <v>69446300</v>
      </c>
      <c r="E43" s="352">
        <f t="shared" si="0"/>
        <v>619774270</v>
      </c>
      <c r="F43" s="352">
        <f>'- 55 -'!C43</f>
        <v>7239208</v>
      </c>
      <c r="G43" s="353">
        <f t="shared" si="5"/>
        <v>11.680394541064121</v>
      </c>
      <c r="I43" s="234" t="str">
        <f t="shared" si="1"/>
        <v xml:space="preserve"> TURTLE RIVER</v>
      </c>
      <c r="J43" s="5">
        <f t="shared" si="2"/>
        <v>15.233409101015328</v>
      </c>
      <c r="M43" s="510"/>
    </row>
    <row r="44" spans="1:13" ht="14.1" customHeight="1" x14ac:dyDescent="0.2">
      <c r="A44" s="237" t="s">
        <v>142</v>
      </c>
      <c r="B44" s="151">
        <v>100384690</v>
      </c>
      <c r="C44" s="151">
        <v>116703740</v>
      </c>
      <c r="D44" s="151">
        <v>14091930</v>
      </c>
      <c r="E44" s="151">
        <f t="shared" si="0"/>
        <v>231180360</v>
      </c>
      <c r="F44" s="151">
        <f>'- 55 -'!C44</f>
        <v>3521665</v>
      </c>
      <c r="G44" s="238">
        <f t="shared" si="5"/>
        <v>15.233409101015328</v>
      </c>
      <c r="I44" s="234" t="str">
        <f t="shared" si="1"/>
        <v xml:space="preserve"> WESTERN</v>
      </c>
      <c r="J44" s="5">
        <f t="shared" si="2"/>
        <v>15.38011599528307</v>
      </c>
      <c r="M44" s="510"/>
    </row>
    <row r="45" spans="1:13" ht="14.1" customHeight="1" x14ac:dyDescent="0.2">
      <c r="A45" s="354" t="s">
        <v>143</v>
      </c>
      <c r="B45" s="352">
        <v>371613270</v>
      </c>
      <c r="C45" s="352">
        <v>112635550</v>
      </c>
      <c r="D45" s="352">
        <v>110994350</v>
      </c>
      <c r="E45" s="352">
        <f t="shared" si="0"/>
        <v>595243170</v>
      </c>
      <c r="F45" s="352">
        <f>'- 55 -'!C45</f>
        <v>9154909</v>
      </c>
      <c r="G45" s="353">
        <f t="shared" si="5"/>
        <v>15.38011599528307</v>
      </c>
      <c r="I45" s="234" t="str">
        <f>A46</f>
        <v xml:space="preserve"> WINNIPEG</v>
      </c>
      <c r="J45" s="5">
        <f>G46</f>
        <v>14.600930463851817</v>
      </c>
      <c r="M45" s="510"/>
    </row>
    <row r="46" spans="1:13" ht="14.1" customHeight="1" x14ac:dyDescent="0.2">
      <c r="A46" s="237" t="s">
        <v>144</v>
      </c>
      <c r="B46" s="151">
        <v>7500208250</v>
      </c>
      <c r="C46" s="151">
        <v>5943470</v>
      </c>
      <c r="D46" s="151">
        <v>5227563810</v>
      </c>
      <c r="E46" s="151">
        <f t="shared" si="0"/>
        <v>12733715530</v>
      </c>
      <c r="F46" s="151">
        <f>'- 55 -'!C46</f>
        <v>185924095</v>
      </c>
      <c r="G46" s="238">
        <f t="shared" si="5"/>
        <v>14.600930463851817</v>
      </c>
      <c r="M46" s="510"/>
    </row>
    <row r="47" spans="1:13" ht="5.0999999999999996" customHeight="1" x14ac:dyDescent="0.2">
      <c r="A47" s="130"/>
      <c r="B47" s="152"/>
      <c r="C47" s="152"/>
      <c r="D47" s="152"/>
      <c r="E47" s="152"/>
      <c r="F47" s="152"/>
      <c r="G47" s="240"/>
      <c r="M47" s="510"/>
    </row>
    <row r="48" spans="1:13" ht="14.1" customHeight="1" x14ac:dyDescent="0.2">
      <c r="A48" s="355" t="s">
        <v>228</v>
      </c>
      <c r="B48" s="356">
        <f>SUM(B11:B46)</f>
        <v>50329200680</v>
      </c>
      <c r="C48" s="356">
        <f>SUM(C11:C46)</f>
        <v>8503655320</v>
      </c>
      <c r="D48" s="356">
        <f>SUM(D11:D46)</f>
        <v>18464219840</v>
      </c>
      <c r="E48" s="356">
        <f>SUM(E11:E46)</f>
        <v>77297075840</v>
      </c>
      <c r="F48" s="356">
        <f>SUM(F11:F46)</f>
        <v>1048330481</v>
      </c>
      <c r="G48" s="357">
        <f>F48/E48*1000</f>
        <v>13.562356267784009</v>
      </c>
      <c r="M48" s="510"/>
    </row>
    <row r="49" spans="1:10" ht="5.0999999999999996" customHeight="1" x14ac:dyDescent="0.2">
      <c r="A49" s="130"/>
      <c r="B49" s="152"/>
      <c r="C49" s="152"/>
      <c r="D49" s="152"/>
      <c r="E49" s="152"/>
      <c r="F49" s="152"/>
      <c r="G49" s="152"/>
    </row>
    <row r="50" spans="1:10" ht="14.1" customHeight="1" x14ac:dyDescent="0.2">
      <c r="A50" s="237" t="s">
        <v>229</v>
      </c>
      <c r="B50" s="151">
        <v>66506490</v>
      </c>
      <c r="C50" s="151">
        <v>383760</v>
      </c>
      <c r="D50" s="151">
        <v>3728280</v>
      </c>
      <c r="E50" s="151">
        <f>SUM(B50:D50)</f>
        <v>70618530</v>
      </c>
      <c r="F50" s="152"/>
      <c r="G50" s="152"/>
    </row>
    <row r="51" spans="1:10" ht="14.1" customHeight="1" x14ac:dyDescent="0.2">
      <c r="A51" s="354" t="s">
        <v>230</v>
      </c>
      <c r="B51" s="352">
        <v>18860500</v>
      </c>
      <c r="C51" s="352">
        <v>16895940</v>
      </c>
      <c r="D51" s="352">
        <v>54498910</v>
      </c>
      <c r="E51" s="352">
        <f>SUM(B51:D51)</f>
        <v>90255350</v>
      </c>
      <c r="F51" s="152"/>
      <c r="G51" s="241"/>
    </row>
    <row r="52" spans="1:10" ht="5.0999999999999996" customHeight="1" x14ac:dyDescent="0.2">
      <c r="A52" s="130"/>
      <c r="B52" s="152"/>
      <c r="C52" s="152"/>
      <c r="D52" s="152"/>
      <c r="E52" s="152"/>
      <c r="F52" s="152"/>
      <c r="G52" s="152"/>
    </row>
    <row r="53" spans="1:10" ht="14.1" customHeight="1" x14ac:dyDescent="0.2">
      <c r="A53" s="355" t="s">
        <v>145</v>
      </c>
      <c r="B53" s="356">
        <f>SUM(B48,B50:B51)</f>
        <v>50414567670</v>
      </c>
      <c r="C53" s="356">
        <f>SUM(C48,C50:C51)</f>
        <v>8520935020</v>
      </c>
      <c r="D53" s="356">
        <f>SUM(D48,D50:D51)</f>
        <v>18522447030</v>
      </c>
      <c r="E53" s="356">
        <f>SUM(E48,E50:E51)</f>
        <v>77457949720</v>
      </c>
      <c r="F53" s="152"/>
      <c r="G53" s="241"/>
    </row>
    <row r="54" spans="1:10" ht="50.1" customHeight="1" x14ac:dyDescent="0.2">
      <c r="A54" s="23"/>
      <c r="B54" s="23"/>
      <c r="C54" s="23"/>
      <c r="D54" s="23"/>
      <c r="E54" s="23"/>
      <c r="F54" s="23"/>
      <c r="G54" s="23"/>
    </row>
    <row r="55" spans="1:10" ht="15" customHeight="1" x14ac:dyDescent="0.2">
      <c r="A55" s="625" t="s">
        <v>649</v>
      </c>
      <c r="B55" s="625"/>
      <c r="C55" s="625"/>
      <c r="D55" s="625"/>
      <c r="E55" s="625"/>
      <c r="F55" s="625"/>
      <c r="G55" s="625"/>
      <c r="H55" s="38"/>
      <c r="I55" s="38"/>
      <c r="J55" s="38"/>
    </row>
    <row r="56" spans="1:10" ht="12" customHeight="1" x14ac:dyDescent="0.2">
      <c r="A56" s="626"/>
      <c r="B56" s="626"/>
      <c r="C56" s="626"/>
      <c r="D56" s="626"/>
      <c r="E56" s="626"/>
      <c r="F56" s="626"/>
      <c r="G56" s="626"/>
      <c r="H56" s="38"/>
      <c r="I56" s="38"/>
      <c r="J56" s="38"/>
    </row>
    <row r="57" spans="1:10" ht="12" customHeight="1" x14ac:dyDescent="0.2">
      <c r="A57" s="2" t="s">
        <v>356</v>
      </c>
      <c r="B57" s="38"/>
      <c r="C57" s="38"/>
      <c r="D57" s="38"/>
      <c r="E57" s="38"/>
      <c r="F57" s="38"/>
      <c r="G57" s="38"/>
      <c r="H57" s="38"/>
      <c r="I57" s="38"/>
      <c r="J57" s="38"/>
    </row>
  </sheetData>
  <mergeCells count="5">
    <mergeCell ref="A55:G56"/>
    <mergeCell ref="F8:F9"/>
    <mergeCell ref="G7:G9"/>
    <mergeCell ref="C7:C9"/>
    <mergeCell ref="B7:B9"/>
  </mergeCells>
  <phoneticPr fontId="0" type="noConversion"/>
  <pageMargins left="0.51181102362204722" right="0.51181102362204722" top="0.59055118110236227" bottom="0.19685039370078741" header="0.31496062992125984" footer="0.51181102362204722"/>
  <pageSetup scale="86"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F58"/>
  <sheetViews>
    <sheetView showGridLines="0" showZeros="0" workbookViewId="0"/>
  </sheetViews>
  <sheetFormatPr defaultColWidth="13.6640625" defaultRowHeight="12" x14ac:dyDescent="0.2"/>
  <cols>
    <col min="1" max="1" width="37.5" style="2" customWidth="1"/>
    <col min="2" max="2" width="22" style="2" customWidth="1"/>
    <col min="3" max="4" width="22.5" style="2" customWidth="1"/>
    <col min="5" max="5" width="14.33203125" style="2" customWidth="1"/>
    <col min="6" max="6" width="19.6640625" style="2" customWidth="1"/>
    <col min="7" max="16384" width="13.6640625" style="2"/>
  </cols>
  <sheetData>
    <row r="1" spans="1:6" ht="6.95" customHeight="1" x14ac:dyDescent="0.2">
      <c r="A1" s="509"/>
      <c r="B1" s="23"/>
      <c r="C1" s="23"/>
      <c r="D1" s="23"/>
      <c r="E1" s="23"/>
      <c r="F1" s="23"/>
    </row>
    <row r="2" spans="1:6" ht="15.95" customHeight="1" x14ac:dyDescent="0.2">
      <c r="A2" s="742" t="s">
        <v>328</v>
      </c>
      <c r="B2" s="742"/>
      <c r="C2" s="742"/>
      <c r="D2" s="742"/>
      <c r="E2" s="742"/>
      <c r="F2" s="742"/>
    </row>
    <row r="3" spans="1:6" ht="21" customHeight="1" x14ac:dyDescent="0.2">
      <c r="A3" s="233" t="str">
        <f>+'- 53 -'!A3</f>
        <v>FOR THE 2018 TAXATION YEAR (2018 IS A REASSESSMENT YEAR)</v>
      </c>
      <c r="B3" s="225"/>
      <c r="C3" s="225"/>
      <c r="D3" s="225"/>
      <c r="E3" s="235"/>
      <c r="F3" s="235"/>
    </row>
    <row r="4" spans="1:6" ht="14.25" customHeight="1" x14ac:dyDescent="0.2">
      <c r="B4" s="8"/>
      <c r="C4" s="8"/>
      <c r="D4" s="8"/>
    </row>
    <row r="5" spans="1:6" ht="15.95" customHeight="1" x14ac:dyDescent="0.2">
      <c r="B5" s="8"/>
      <c r="C5" s="8"/>
      <c r="D5" s="8"/>
    </row>
    <row r="6" spans="1:6" ht="15.95" customHeight="1" x14ac:dyDescent="0.2">
      <c r="B6" s="483"/>
      <c r="C6" s="483"/>
      <c r="D6" s="483"/>
    </row>
    <row r="7" spans="1:6" ht="15.95" customHeight="1" x14ac:dyDescent="0.2">
      <c r="B7" s="485"/>
      <c r="C7" s="486"/>
      <c r="D7" s="487"/>
    </row>
    <row r="8" spans="1:6" ht="15.95" customHeight="1" x14ac:dyDescent="0.2">
      <c r="A8" s="16"/>
      <c r="B8" s="791" t="s">
        <v>559</v>
      </c>
      <c r="C8" s="789" t="s">
        <v>558</v>
      </c>
      <c r="D8" s="789" t="s">
        <v>557</v>
      </c>
    </row>
    <row r="9" spans="1:6" ht="15.95" customHeight="1" x14ac:dyDescent="0.2">
      <c r="A9" s="17" t="s">
        <v>42</v>
      </c>
      <c r="B9" s="792"/>
      <c r="C9" s="790"/>
      <c r="D9" s="790"/>
    </row>
    <row r="10" spans="1:6" ht="5.0999999999999996" customHeight="1" x14ac:dyDescent="0.2">
      <c r="A10" s="18"/>
      <c r="B10" s="207"/>
      <c r="C10" s="207"/>
      <c r="D10" s="207"/>
    </row>
    <row r="11" spans="1:6" ht="14.1" customHeight="1" x14ac:dyDescent="0.2">
      <c r="A11" s="354" t="s">
        <v>110</v>
      </c>
      <c r="B11" s="352">
        <f>+Data!Y11</f>
        <v>9377941</v>
      </c>
      <c r="C11" s="352">
        <v>420276</v>
      </c>
      <c r="D11" s="352">
        <f>+Data!Z11</f>
        <v>8957665</v>
      </c>
    </row>
    <row r="12" spans="1:6" ht="14.1" customHeight="1" x14ac:dyDescent="0.2">
      <c r="A12" s="237" t="s">
        <v>111</v>
      </c>
      <c r="B12" s="151">
        <f>+Data!Y12</f>
        <v>17103712</v>
      </c>
      <c r="C12" s="151">
        <v>2682216</v>
      </c>
      <c r="D12" s="151">
        <f>+Data!Z12</f>
        <v>14421496</v>
      </c>
    </row>
    <row r="13" spans="1:6" ht="14.1" customHeight="1" x14ac:dyDescent="0.2">
      <c r="A13" s="354" t="s">
        <v>112</v>
      </c>
      <c r="B13" s="352">
        <f>+Data!Y13</f>
        <v>49236715</v>
      </c>
      <c r="C13" s="352">
        <v>1540011</v>
      </c>
      <c r="D13" s="352">
        <f>+Data!Z13</f>
        <v>47696704</v>
      </c>
    </row>
    <row r="14" spans="1:6" ht="14.1" customHeight="1" x14ac:dyDescent="0.2">
      <c r="A14" s="237" t="s">
        <v>359</v>
      </c>
      <c r="B14" s="151">
        <f>+Data!Y14</f>
        <v>0</v>
      </c>
      <c r="C14" s="151">
        <v>0</v>
      </c>
      <c r="D14" s="151">
        <f>+Data!Z14</f>
        <v>0</v>
      </c>
    </row>
    <row r="15" spans="1:6" ht="14.1" customHeight="1" x14ac:dyDescent="0.2">
      <c r="A15" s="354" t="s">
        <v>113</v>
      </c>
      <c r="B15" s="352">
        <f>+Data!Y15</f>
        <v>12526679</v>
      </c>
      <c r="C15" s="352">
        <v>1563410</v>
      </c>
      <c r="D15" s="352">
        <f>+Data!Z15</f>
        <v>10963269</v>
      </c>
    </row>
    <row r="16" spans="1:6" ht="14.1" customHeight="1" x14ac:dyDescent="0.2">
      <c r="A16" s="237" t="s">
        <v>114</v>
      </c>
      <c r="B16" s="151">
        <f>+Data!Y16</f>
        <v>5016824</v>
      </c>
      <c r="C16" s="151">
        <v>627261</v>
      </c>
      <c r="D16" s="151">
        <f>+Data!Z16</f>
        <v>4389563</v>
      </c>
    </row>
    <row r="17" spans="1:4" ht="14.1" customHeight="1" x14ac:dyDescent="0.2">
      <c r="A17" s="354" t="s">
        <v>115</v>
      </c>
      <c r="B17" s="352">
        <f>+Data!Y17</f>
        <v>9767200</v>
      </c>
      <c r="C17" s="352">
        <v>478029</v>
      </c>
      <c r="D17" s="352">
        <f>+Data!Z17</f>
        <v>9289171</v>
      </c>
    </row>
    <row r="18" spans="1:4" ht="14.1" customHeight="1" x14ac:dyDescent="0.2">
      <c r="A18" s="237" t="s">
        <v>116</v>
      </c>
      <c r="B18" s="151">
        <f>+Data!Y18</f>
        <v>3527633</v>
      </c>
      <c r="C18" s="151">
        <v>265395</v>
      </c>
      <c r="D18" s="151">
        <f>+Data!Z18</f>
        <v>3262238</v>
      </c>
    </row>
    <row r="19" spans="1:4" ht="14.1" customHeight="1" x14ac:dyDescent="0.2">
      <c r="A19" s="354" t="s">
        <v>117</v>
      </c>
      <c r="B19" s="352">
        <f>+Data!Y19</f>
        <v>19832118</v>
      </c>
      <c r="C19" s="352">
        <v>538478</v>
      </c>
      <c r="D19" s="352">
        <f>+Data!Z19</f>
        <v>19293640</v>
      </c>
    </row>
    <row r="20" spans="1:4" ht="14.1" customHeight="1" x14ac:dyDescent="0.2">
      <c r="A20" s="237" t="s">
        <v>118</v>
      </c>
      <c r="B20" s="151">
        <f>+Data!Y20</f>
        <v>34630644</v>
      </c>
      <c r="C20" s="151">
        <v>1256772</v>
      </c>
      <c r="D20" s="151">
        <f>+Data!Z20</f>
        <v>33373872</v>
      </c>
    </row>
    <row r="21" spans="1:4" ht="14.1" customHeight="1" x14ac:dyDescent="0.2">
      <c r="A21" s="354" t="s">
        <v>119</v>
      </c>
      <c r="B21" s="352">
        <f>+Data!Y21</f>
        <v>20114261</v>
      </c>
      <c r="C21" s="352">
        <v>1081667</v>
      </c>
      <c r="D21" s="352">
        <f>+Data!Z21</f>
        <v>19032594</v>
      </c>
    </row>
    <row r="22" spans="1:4" ht="14.1" customHeight="1" x14ac:dyDescent="0.2">
      <c r="A22" s="237" t="s">
        <v>120</v>
      </c>
      <c r="B22" s="151">
        <f>+Data!Y22</f>
        <v>4814735</v>
      </c>
      <c r="C22" s="151">
        <v>257839</v>
      </c>
      <c r="D22" s="151">
        <f>+Data!Z22</f>
        <v>4556896</v>
      </c>
    </row>
    <row r="23" spans="1:4" ht="14.1" customHeight="1" x14ac:dyDescent="0.2">
      <c r="A23" s="354" t="s">
        <v>121</v>
      </c>
      <c r="B23" s="352">
        <f>+Data!Y23</f>
        <v>5245316</v>
      </c>
      <c r="C23" s="352">
        <v>431272</v>
      </c>
      <c r="D23" s="352">
        <f>+Data!Z23</f>
        <v>4814044</v>
      </c>
    </row>
    <row r="24" spans="1:4" ht="14.1" customHeight="1" x14ac:dyDescent="0.2">
      <c r="A24" s="237" t="s">
        <v>122</v>
      </c>
      <c r="B24" s="151">
        <f>+Data!Y24</f>
        <v>32828887</v>
      </c>
      <c r="C24" s="151">
        <v>2639045</v>
      </c>
      <c r="D24" s="151">
        <f>+Data!Z24</f>
        <v>30189842</v>
      </c>
    </row>
    <row r="25" spans="1:4" ht="14.1" customHeight="1" x14ac:dyDescent="0.2">
      <c r="A25" s="354" t="s">
        <v>123</v>
      </c>
      <c r="B25" s="352">
        <f>+Data!Y25</f>
        <v>112567328</v>
      </c>
      <c r="C25" s="352">
        <v>5450836</v>
      </c>
      <c r="D25" s="352">
        <f>+Data!Z25</f>
        <v>107116492</v>
      </c>
    </row>
    <row r="26" spans="1:4" ht="14.1" customHeight="1" x14ac:dyDescent="0.2">
      <c r="A26" s="237" t="s">
        <v>124</v>
      </c>
      <c r="B26" s="151">
        <f>+Data!Y26</f>
        <v>17112882</v>
      </c>
      <c r="C26" s="151">
        <v>575300</v>
      </c>
      <c r="D26" s="151">
        <f>+Data!Z26</f>
        <v>16537582</v>
      </c>
    </row>
    <row r="27" spans="1:4" ht="14.1" customHeight="1" x14ac:dyDescent="0.2">
      <c r="A27" s="354" t="s">
        <v>125</v>
      </c>
      <c r="B27" s="352">
        <f>+Data!Y27</f>
        <v>9600197</v>
      </c>
      <c r="C27" s="352">
        <v>905042</v>
      </c>
      <c r="D27" s="352">
        <f>+Data!Z27</f>
        <v>8695155</v>
      </c>
    </row>
    <row r="28" spans="1:4" ht="14.1" customHeight="1" x14ac:dyDescent="0.2">
      <c r="A28" s="237" t="s">
        <v>126</v>
      </c>
      <c r="B28" s="151">
        <f>+Data!Y28</f>
        <v>10728934</v>
      </c>
      <c r="C28" s="151">
        <v>801006</v>
      </c>
      <c r="D28" s="151">
        <f>+Data!Z28</f>
        <v>9927928</v>
      </c>
    </row>
    <row r="29" spans="1:4" ht="14.1" customHeight="1" x14ac:dyDescent="0.2">
      <c r="A29" s="354" t="s">
        <v>127</v>
      </c>
      <c r="B29" s="352">
        <f>+Data!Y29</f>
        <v>109253949</v>
      </c>
      <c r="C29" s="352">
        <v>4049741</v>
      </c>
      <c r="D29" s="352">
        <f>+Data!Z29</f>
        <v>105204208</v>
      </c>
    </row>
    <row r="30" spans="1:4" ht="14.1" customHeight="1" x14ac:dyDescent="0.2">
      <c r="A30" s="237" t="s">
        <v>128</v>
      </c>
      <c r="B30" s="151">
        <f>+Data!Y30</f>
        <v>7775243</v>
      </c>
      <c r="C30" s="151">
        <v>325570</v>
      </c>
      <c r="D30" s="151">
        <f>+Data!Z30</f>
        <v>7449673</v>
      </c>
    </row>
    <row r="31" spans="1:4" ht="14.1" customHeight="1" x14ac:dyDescent="0.2">
      <c r="A31" s="354" t="s">
        <v>129</v>
      </c>
      <c r="B31" s="352">
        <f>+Data!Y31</f>
        <v>18833549</v>
      </c>
      <c r="C31" s="352">
        <v>435863</v>
      </c>
      <c r="D31" s="352">
        <f>+Data!Z31</f>
        <v>18397686</v>
      </c>
    </row>
    <row r="32" spans="1:4" ht="14.1" customHeight="1" x14ac:dyDescent="0.2">
      <c r="A32" s="237" t="s">
        <v>130</v>
      </c>
      <c r="B32" s="151">
        <f>+Data!Y32</f>
        <v>18021809</v>
      </c>
      <c r="C32" s="151">
        <v>1130047</v>
      </c>
      <c r="D32" s="151">
        <f>+Data!Z32</f>
        <v>16891762</v>
      </c>
    </row>
    <row r="33" spans="1:4" ht="14.1" customHeight="1" x14ac:dyDescent="0.2">
      <c r="A33" s="354" t="s">
        <v>131</v>
      </c>
      <c r="B33" s="352">
        <f>+Data!Y33</f>
        <v>15370339</v>
      </c>
      <c r="C33" s="352">
        <v>876105</v>
      </c>
      <c r="D33" s="352">
        <f>+Data!Z33</f>
        <v>14494234</v>
      </c>
    </row>
    <row r="34" spans="1:4" ht="14.1" customHeight="1" x14ac:dyDescent="0.2">
      <c r="A34" s="237" t="s">
        <v>132</v>
      </c>
      <c r="B34" s="151">
        <f>+Data!Y34</f>
        <v>22043377</v>
      </c>
      <c r="C34" s="151">
        <v>852479</v>
      </c>
      <c r="D34" s="151">
        <f>+Data!Z34</f>
        <v>21190898</v>
      </c>
    </row>
    <row r="35" spans="1:4" ht="14.1" customHeight="1" x14ac:dyDescent="0.2">
      <c r="A35" s="354" t="s">
        <v>133</v>
      </c>
      <c r="B35" s="352">
        <f>+Data!Y35</f>
        <v>92524435</v>
      </c>
      <c r="C35" s="352">
        <v>1242103</v>
      </c>
      <c r="D35" s="352">
        <f>+Data!Z35</f>
        <v>91282332</v>
      </c>
    </row>
    <row r="36" spans="1:4" ht="14.1" customHeight="1" x14ac:dyDescent="0.2">
      <c r="A36" s="237" t="s">
        <v>134</v>
      </c>
      <c r="B36" s="151">
        <f>+Data!Y36</f>
        <v>12644769</v>
      </c>
      <c r="C36" s="151">
        <v>748613</v>
      </c>
      <c r="D36" s="151">
        <f>+Data!Z36</f>
        <v>11896156</v>
      </c>
    </row>
    <row r="37" spans="1:4" ht="14.1" customHeight="1" x14ac:dyDescent="0.2">
      <c r="A37" s="354" t="s">
        <v>135</v>
      </c>
      <c r="B37" s="352">
        <f>+Data!Y37</f>
        <v>29359483</v>
      </c>
      <c r="C37" s="352">
        <v>2149245</v>
      </c>
      <c r="D37" s="352">
        <f>+Data!Z37</f>
        <v>27210238</v>
      </c>
    </row>
    <row r="38" spans="1:4" ht="14.1" customHeight="1" x14ac:dyDescent="0.2">
      <c r="A38" s="237" t="s">
        <v>136</v>
      </c>
      <c r="B38" s="151">
        <f>+Data!Y38</f>
        <v>61412241</v>
      </c>
      <c r="C38" s="151">
        <v>4469862</v>
      </c>
      <c r="D38" s="151">
        <f>+Data!Z38</f>
        <v>56942379</v>
      </c>
    </row>
    <row r="39" spans="1:4" ht="14.1" customHeight="1" x14ac:dyDescent="0.2">
      <c r="A39" s="354" t="s">
        <v>137</v>
      </c>
      <c r="B39" s="352">
        <f>+Data!Y39</f>
        <v>13802141</v>
      </c>
      <c r="C39" s="352">
        <v>743287</v>
      </c>
      <c r="D39" s="352">
        <f>+Data!Z39</f>
        <v>13058854</v>
      </c>
    </row>
    <row r="40" spans="1:4" ht="14.1" customHeight="1" x14ac:dyDescent="0.2">
      <c r="A40" s="237" t="s">
        <v>138</v>
      </c>
      <c r="B40" s="151">
        <f>+Data!Y40</f>
        <v>65247779</v>
      </c>
      <c r="C40" s="151">
        <v>3410913</v>
      </c>
      <c r="D40" s="151">
        <f>+Data!Z40</f>
        <v>61836866</v>
      </c>
    </row>
    <row r="41" spans="1:4" ht="14.1" customHeight="1" x14ac:dyDescent="0.2">
      <c r="A41" s="354" t="s">
        <v>139</v>
      </c>
      <c r="B41" s="352">
        <f>+Data!Y41</f>
        <v>38889460</v>
      </c>
      <c r="C41" s="352">
        <v>2593995</v>
      </c>
      <c r="D41" s="352">
        <f>+Data!Z41</f>
        <v>36295465</v>
      </c>
    </row>
    <row r="42" spans="1:4" ht="14.1" customHeight="1" x14ac:dyDescent="0.2">
      <c r="A42" s="237" t="s">
        <v>140</v>
      </c>
      <c r="B42" s="151">
        <f>+Data!Y42</f>
        <v>8857069</v>
      </c>
      <c r="C42" s="151">
        <v>1035367</v>
      </c>
      <c r="D42" s="151">
        <f>+Data!Z42</f>
        <v>7821702</v>
      </c>
    </row>
    <row r="43" spans="1:4" ht="14.1" customHeight="1" x14ac:dyDescent="0.2">
      <c r="A43" s="354" t="s">
        <v>141</v>
      </c>
      <c r="B43" s="352">
        <f>+Data!Y43</f>
        <v>7239208</v>
      </c>
      <c r="C43" s="352">
        <v>0</v>
      </c>
      <c r="D43" s="352">
        <f>+Data!Z43</f>
        <v>7239208</v>
      </c>
    </row>
    <row r="44" spans="1:4" ht="14.1" customHeight="1" x14ac:dyDescent="0.2">
      <c r="A44" s="237" t="s">
        <v>142</v>
      </c>
      <c r="B44" s="151">
        <f>+Data!Y44</f>
        <v>3912431</v>
      </c>
      <c r="C44" s="151">
        <v>390766</v>
      </c>
      <c r="D44" s="151">
        <f>+Data!Z44</f>
        <v>3521665</v>
      </c>
    </row>
    <row r="45" spans="1:4" ht="14.1" customHeight="1" x14ac:dyDescent="0.2">
      <c r="A45" s="354" t="s">
        <v>143</v>
      </c>
      <c r="B45" s="352">
        <f>+Data!Y45</f>
        <v>9154909</v>
      </c>
      <c r="C45" s="352">
        <v>0</v>
      </c>
      <c r="D45" s="352">
        <f>+Data!Z45</f>
        <v>9154909</v>
      </c>
    </row>
    <row r="46" spans="1:4" ht="14.1" customHeight="1" x14ac:dyDescent="0.2">
      <c r="A46" s="237" t="s">
        <v>144</v>
      </c>
      <c r="B46" s="151">
        <f>+Data!Y46</f>
        <v>193907758</v>
      </c>
      <c r="C46" s="151">
        <v>7983663</v>
      </c>
      <c r="D46" s="151">
        <f>+Data!Z46</f>
        <v>185924095</v>
      </c>
    </row>
    <row r="47" spans="1:4" ht="5.0999999999999996" customHeight="1" x14ac:dyDescent="0.2">
      <c r="A47" s="130"/>
      <c r="B47" s="152"/>
      <c r="C47" s="152"/>
      <c r="D47" s="152"/>
    </row>
    <row r="48" spans="1:4" ht="14.1" customHeight="1" x14ac:dyDescent="0.2">
      <c r="A48" s="355" t="s">
        <v>145</v>
      </c>
      <c r="B48" s="356">
        <f>SUM(B11:B47)</f>
        <v>1102281955</v>
      </c>
      <c r="C48" s="356">
        <v>53951474</v>
      </c>
      <c r="D48" s="356">
        <f>SUM(D11:D47)</f>
        <v>1048330481</v>
      </c>
    </row>
    <row r="49" spans="1:6" s="184" customFormat="1" ht="53.25" customHeight="1" x14ac:dyDescent="0.2">
      <c r="A49" s="484"/>
      <c r="B49" s="484"/>
      <c r="C49" s="484"/>
      <c r="D49" s="484"/>
      <c r="E49" s="23"/>
      <c r="F49" s="23"/>
    </row>
    <row r="50" spans="1:6" s="184" customFormat="1" ht="22.9" customHeight="1" x14ac:dyDescent="0.2">
      <c r="A50" s="672" t="s">
        <v>646</v>
      </c>
      <c r="B50" s="672"/>
      <c r="C50" s="672"/>
      <c r="D50" s="672"/>
      <c r="E50" s="672"/>
      <c r="F50" s="672"/>
    </row>
    <row r="51" spans="1:6" ht="19.149999999999999" customHeight="1" x14ac:dyDescent="0.2">
      <c r="A51" s="793"/>
      <c r="B51" s="793"/>
      <c r="C51" s="793"/>
      <c r="D51" s="793"/>
      <c r="E51" s="793"/>
      <c r="F51" s="793"/>
    </row>
    <row r="52" spans="1:6" ht="18.75" customHeight="1" x14ac:dyDescent="0.2">
      <c r="A52" s="793"/>
      <c r="B52" s="793"/>
      <c r="C52" s="793"/>
      <c r="D52" s="793"/>
      <c r="E52" s="793"/>
      <c r="F52" s="793"/>
    </row>
    <row r="53" spans="1:6" ht="14.45" customHeight="1" x14ac:dyDescent="0.2"/>
    <row r="54" spans="1:6" ht="14.45" customHeight="1" x14ac:dyDescent="0.2"/>
    <row r="55" spans="1:6" ht="14.45" customHeight="1" x14ac:dyDescent="0.2"/>
    <row r="56" spans="1:6" ht="14.45" customHeight="1" x14ac:dyDescent="0.2"/>
    <row r="57" spans="1:6" ht="14.45" customHeight="1" x14ac:dyDescent="0.2"/>
    <row r="58" spans="1:6" ht="14.45" customHeight="1" x14ac:dyDescent="0.2"/>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F52"/>
  <sheetViews>
    <sheetView showGridLines="0" showZeros="0" workbookViewId="0"/>
  </sheetViews>
  <sheetFormatPr defaultColWidth="15.83203125" defaultRowHeight="12" x14ac:dyDescent="0.2"/>
  <cols>
    <col min="1" max="1" width="35.83203125" style="2" customWidth="1"/>
    <col min="2" max="3" width="21.83203125" style="2" customWidth="1"/>
    <col min="4" max="4" width="23.83203125" style="2" customWidth="1"/>
    <col min="5" max="5" width="2.83203125" style="2" customWidth="1"/>
    <col min="6" max="6" width="27.83203125" style="2" customWidth="1"/>
    <col min="7" max="19" width="15.83203125" style="2"/>
    <col min="20" max="20" width="21" style="2" bestFit="1" customWidth="1"/>
    <col min="21" max="21" width="15" style="2" bestFit="1" customWidth="1"/>
    <col min="22" max="16384" width="15.83203125" style="2"/>
  </cols>
  <sheetData>
    <row r="1" spans="1:6" ht="6.95" customHeight="1" x14ac:dyDescent="0.2">
      <c r="A1" s="7"/>
    </row>
    <row r="2" spans="1:6" ht="15.95" customHeight="1" x14ac:dyDescent="0.2">
      <c r="A2" s="399"/>
      <c r="B2" s="208" t="s">
        <v>225</v>
      </c>
      <c r="C2" s="209"/>
      <c r="D2" s="209"/>
      <c r="E2" s="210"/>
      <c r="F2" s="210"/>
    </row>
    <row r="3" spans="1:6" ht="15.95" customHeight="1" x14ac:dyDescent="0.2">
      <c r="A3" s="539"/>
      <c r="B3" s="391" t="str">
        <f>TAXYEAR</f>
        <v>FOR THE 2018 TAXATION YEAR (2018 IS A REASSESSMENT YEAR)</v>
      </c>
      <c r="C3" s="390"/>
      <c r="D3" s="390"/>
      <c r="E3" s="398"/>
      <c r="F3" s="398"/>
    </row>
    <row r="4" spans="1:6" ht="15.95" customHeight="1" x14ac:dyDescent="0.2">
      <c r="B4"/>
      <c r="C4" s="8"/>
      <c r="D4" s="8"/>
      <c r="E4" s="8"/>
      <c r="F4" s="8"/>
    </row>
    <row r="5" spans="1:6" ht="15.95" customHeight="1" x14ac:dyDescent="0.2">
      <c r="B5"/>
      <c r="C5" s="8"/>
      <c r="D5" s="8"/>
      <c r="E5" s="8"/>
      <c r="F5" s="8"/>
    </row>
    <row r="6" spans="1:6" ht="15.95" customHeight="1" x14ac:dyDescent="0.2">
      <c r="B6"/>
      <c r="C6" s="8"/>
      <c r="D6" s="8"/>
      <c r="E6" s="8"/>
      <c r="F6" s="8"/>
    </row>
    <row r="7" spans="1:6" ht="15.95" customHeight="1" x14ac:dyDescent="0.2">
      <c r="B7" s="769" t="s">
        <v>560</v>
      </c>
      <c r="C7" s="556"/>
      <c r="D7" s="358"/>
      <c r="E7" s="8"/>
      <c r="F7" s="640" t="s">
        <v>561</v>
      </c>
    </row>
    <row r="8" spans="1:6" ht="15.95" customHeight="1" x14ac:dyDescent="0.2">
      <c r="A8" s="566"/>
      <c r="B8" s="741"/>
      <c r="C8" s="565"/>
      <c r="D8" s="359"/>
      <c r="E8" s="8"/>
      <c r="F8" s="738"/>
    </row>
    <row r="9" spans="1:6" ht="15.95" customHeight="1" x14ac:dyDescent="0.2">
      <c r="A9" s="567" t="s">
        <v>42</v>
      </c>
      <c r="B9" s="646"/>
      <c r="C9" s="299" t="s">
        <v>69</v>
      </c>
      <c r="D9" s="307" t="s">
        <v>31</v>
      </c>
      <c r="E9" s="8"/>
      <c r="F9" s="739"/>
    </row>
    <row r="10" spans="1:6" ht="5.0999999999999996" customHeight="1" x14ac:dyDescent="0.2">
      <c r="A10" s="18"/>
      <c r="B10" s="207">
        <v>38577</v>
      </c>
      <c r="C10" s="207"/>
      <c r="D10" s="207"/>
      <c r="E10" s="207"/>
      <c r="F10" s="207"/>
    </row>
    <row r="11" spans="1:6" ht="14.1" customHeight="1" x14ac:dyDescent="0.2">
      <c r="A11" s="354" t="s">
        <v>110</v>
      </c>
      <c r="B11" s="588">
        <f>'- 51 -'!C11</f>
        <v>1525667.0794999998</v>
      </c>
      <c r="C11" s="588">
        <f>+Data!Z11</f>
        <v>8957665</v>
      </c>
      <c r="D11" s="588">
        <f t="shared" ref="D11:D46" si="0">SUM(B11,C11)</f>
        <v>10483332.079499999</v>
      </c>
      <c r="E11" s="589"/>
      <c r="F11" s="588">
        <f>+Data!W11</f>
        <v>443871</v>
      </c>
    </row>
    <row r="12" spans="1:6" ht="14.1" customHeight="1" x14ac:dyDescent="0.2">
      <c r="A12" s="237" t="s">
        <v>111</v>
      </c>
      <c r="B12" s="590">
        <f>'- 51 -'!C12</f>
        <v>2093448.6754999999</v>
      </c>
      <c r="C12" s="590">
        <f>+Data!Z12</f>
        <v>14421496</v>
      </c>
      <c r="D12" s="590">
        <f t="shared" si="0"/>
        <v>16514944.6755</v>
      </c>
      <c r="E12" s="589"/>
      <c r="F12" s="590">
        <f>+Data!W12</f>
        <v>488493</v>
      </c>
    </row>
    <row r="13" spans="1:6" ht="14.1" customHeight="1" x14ac:dyDescent="0.2">
      <c r="A13" s="354" t="s">
        <v>112</v>
      </c>
      <c r="B13" s="588">
        <f>'- 51 -'!C13</f>
        <v>9222162.8819999993</v>
      </c>
      <c r="C13" s="588">
        <f>+Data!Z13</f>
        <v>47696704</v>
      </c>
      <c r="D13" s="588">
        <f t="shared" si="0"/>
        <v>56918866.881999999</v>
      </c>
      <c r="E13" s="589"/>
      <c r="F13" s="588">
        <f>+Data!W13</f>
        <v>373897</v>
      </c>
    </row>
    <row r="14" spans="1:6" ht="14.1" customHeight="1" x14ac:dyDescent="0.2">
      <c r="A14" s="237" t="s">
        <v>359</v>
      </c>
      <c r="B14" s="590">
        <f>'- 51 -'!C14</f>
        <v>0</v>
      </c>
      <c r="C14" s="590">
        <f>+Data!Z14</f>
        <v>0</v>
      </c>
      <c r="D14" s="590">
        <f t="shared" si="0"/>
        <v>0</v>
      </c>
      <c r="E14" s="589"/>
      <c r="F14" s="590">
        <f>+Data!W14</f>
        <v>470417</v>
      </c>
    </row>
    <row r="15" spans="1:6" ht="14.1" customHeight="1" x14ac:dyDescent="0.2">
      <c r="A15" s="354" t="s">
        <v>113</v>
      </c>
      <c r="B15" s="588">
        <f>'- 51 -'!C15</f>
        <v>1230273.6697</v>
      </c>
      <c r="C15" s="588">
        <f>+Data!Z15</f>
        <v>10963269</v>
      </c>
      <c r="D15" s="588">
        <f t="shared" si="0"/>
        <v>12193542.6697</v>
      </c>
      <c r="E15" s="589"/>
      <c r="F15" s="588">
        <f>+Data!W15</f>
        <v>716133</v>
      </c>
    </row>
    <row r="16" spans="1:6" ht="14.1" customHeight="1" x14ac:dyDescent="0.2">
      <c r="A16" s="237" t="s">
        <v>114</v>
      </c>
      <c r="B16" s="590">
        <f>'- 51 -'!C16</f>
        <v>336829.15219999995</v>
      </c>
      <c r="C16" s="590">
        <f>+Data!Z16</f>
        <v>4389563</v>
      </c>
      <c r="D16" s="590">
        <f t="shared" si="0"/>
        <v>4726392.1522000004</v>
      </c>
      <c r="E16" s="589"/>
      <c r="F16" s="590">
        <f>+Data!W16</f>
        <v>212509</v>
      </c>
    </row>
    <row r="17" spans="1:6" ht="14.1" customHeight="1" x14ac:dyDescent="0.2">
      <c r="A17" s="354" t="s">
        <v>115</v>
      </c>
      <c r="B17" s="588">
        <f>'- 51 -'!C17</f>
        <v>5754245.8883999996</v>
      </c>
      <c r="C17" s="588">
        <f>+Data!Z17</f>
        <v>9289171</v>
      </c>
      <c r="D17" s="588">
        <f t="shared" si="0"/>
        <v>15043416.8884</v>
      </c>
      <c r="E17" s="589"/>
      <c r="F17" s="588">
        <f>+Data!W17</f>
        <v>911122</v>
      </c>
    </row>
    <row r="18" spans="1:6" ht="14.1" customHeight="1" x14ac:dyDescent="0.2">
      <c r="A18" s="237" t="s">
        <v>116</v>
      </c>
      <c r="B18" s="590">
        <f>'- 51 -'!C18</f>
        <v>765350.24289999995</v>
      </c>
      <c r="C18" s="590">
        <f>+Data!Z18</f>
        <v>3262238</v>
      </c>
      <c r="D18" s="590">
        <f t="shared" si="0"/>
        <v>4027588.2429</v>
      </c>
      <c r="E18" s="589"/>
      <c r="F18" s="590">
        <f>+Data!W18</f>
        <v>110861</v>
      </c>
    </row>
    <row r="19" spans="1:6" ht="14.1" customHeight="1" x14ac:dyDescent="0.2">
      <c r="A19" s="354" t="s">
        <v>117</v>
      </c>
      <c r="B19" s="588">
        <f>'- 51 -'!C19</f>
        <v>3237159.3635999998</v>
      </c>
      <c r="C19" s="588">
        <f>+Data!Z19</f>
        <v>19293640</v>
      </c>
      <c r="D19" s="588">
        <f t="shared" si="0"/>
        <v>22530799.363600001</v>
      </c>
      <c r="E19" s="589"/>
      <c r="F19" s="588">
        <f>+Data!W19</f>
        <v>292500</v>
      </c>
    </row>
    <row r="20" spans="1:6" ht="14.1" customHeight="1" x14ac:dyDescent="0.2">
      <c r="A20" s="237" t="s">
        <v>118</v>
      </c>
      <c r="B20" s="590">
        <f>'- 51 -'!C20</f>
        <v>4314558.5214999998</v>
      </c>
      <c r="C20" s="590">
        <f>+Data!Z20</f>
        <v>33373872</v>
      </c>
      <c r="D20" s="590">
        <f t="shared" si="0"/>
        <v>37688430.521499999</v>
      </c>
      <c r="E20" s="589"/>
      <c r="F20" s="590">
        <f>+Data!W20</f>
        <v>270044</v>
      </c>
    </row>
    <row r="21" spans="1:6" ht="14.1" customHeight="1" x14ac:dyDescent="0.2">
      <c r="A21" s="354" t="s">
        <v>119</v>
      </c>
      <c r="B21" s="588">
        <f>'- 51 -'!C21</f>
        <v>2984026.0887999996</v>
      </c>
      <c r="C21" s="588">
        <f>+Data!Z21</f>
        <v>19032594</v>
      </c>
      <c r="D21" s="588">
        <f t="shared" si="0"/>
        <v>22016620.088799998</v>
      </c>
      <c r="E21" s="589"/>
      <c r="F21" s="588">
        <f>+Data!W21</f>
        <v>491479</v>
      </c>
    </row>
    <row r="22" spans="1:6" ht="14.1" customHeight="1" x14ac:dyDescent="0.2">
      <c r="A22" s="237" t="s">
        <v>120</v>
      </c>
      <c r="B22" s="590">
        <f>'- 51 -'!C22</f>
        <v>651223.84419999993</v>
      </c>
      <c r="C22" s="590">
        <f>+Data!Z22</f>
        <v>4556896</v>
      </c>
      <c r="D22" s="590">
        <f t="shared" si="0"/>
        <v>5208119.8442000002</v>
      </c>
      <c r="E22" s="589"/>
      <c r="F22" s="590">
        <f>+Data!W22</f>
        <v>172077</v>
      </c>
    </row>
    <row r="23" spans="1:6" ht="14.1" customHeight="1" x14ac:dyDescent="0.2">
      <c r="A23" s="354" t="s">
        <v>121</v>
      </c>
      <c r="B23" s="588">
        <f>'- 51 -'!C23</f>
        <v>352767.53939999995</v>
      </c>
      <c r="C23" s="588">
        <f>+Data!Z23</f>
        <v>4814044</v>
      </c>
      <c r="D23" s="588">
        <f t="shared" si="0"/>
        <v>5166811.5394000001</v>
      </c>
      <c r="E23" s="589"/>
      <c r="F23" s="588">
        <f>+Data!W23</f>
        <v>329425</v>
      </c>
    </row>
    <row r="24" spans="1:6" ht="14.1" customHeight="1" x14ac:dyDescent="0.2">
      <c r="A24" s="237" t="s">
        <v>122</v>
      </c>
      <c r="B24" s="590">
        <f>'- 51 -'!C24</f>
        <v>2568733.4803999998</v>
      </c>
      <c r="C24" s="590">
        <f>+Data!Z24</f>
        <v>30189842</v>
      </c>
      <c r="D24" s="590">
        <f t="shared" si="0"/>
        <v>32758575.4804</v>
      </c>
      <c r="E24" s="589"/>
      <c r="F24" s="590">
        <f>+Data!W24</f>
        <v>525879</v>
      </c>
    </row>
    <row r="25" spans="1:6" ht="14.1" customHeight="1" x14ac:dyDescent="0.2">
      <c r="A25" s="354" t="s">
        <v>123</v>
      </c>
      <c r="B25" s="588">
        <f>'- 51 -'!C25</f>
        <v>14901202.729899999</v>
      </c>
      <c r="C25" s="588">
        <f>+Data!Z25</f>
        <v>107116492</v>
      </c>
      <c r="D25" s="588">
        <f t="shared" si="0"/>
        <v>122017694.7299</v>
      </c>
      <c r="E25" s="589"/>
      <c r="F25" s="588">
        <f>+Data!W25</f>
        <v>494126</v>
      </c>
    </row>
    <row r="26" spans="1:6" ht="14.1" customHeight="1" x14ac:dyDescent="0.2">
      <c r="A26" s="237" t="s">
        <v>124</v>
      </c>
      <c r="B26" s="590">
        <f>'- 51 -'!C26</f>
        <v>1491237.6971999998</v>
      </c>
      <c r="C26" s="590">
        <f>+Data!Z26</f>
        <v>16537582</v>
      </c>
      <c r="D26" s="590">
        <f t="shared" si="0"/>
        <v>18028819.6972</v>
      </c>
      <c r="E26" s="589"/>
      <c r="F26" s="590">
        <f>+Data!W26</f>
        <v>380734</v>
      </c>
    </row>
    <row r="27" spans="1:6" ht="14.1" customHeight="1" x14ac:dyDescent="0.2">
      <c r="A27" s="354" t="s">
        <v>125</v>
      </c>
      <c r="B27" s="588">
        <f>'- 51 -'!C27</f>
        <v>1295818.548</v>
      </c>
      <c r="C27" s="588">
        <f>+Data!Z27</f>
        <v>8695155</v>
      </c>
      <c r="D27" s="588">
        <f t="shared" si="0"/>
        <v>9990973.5480000004</v>
      </c>
      <c r="E27" s="589"/>
      <c r="F27" s="588">
        <f>+Data!W27</f>
        <v>165950</v>
      </c>
    </row>
    <row r="28" spans="1:6" ht="14.1" customHeight="1" x14ac:dyDescent="0.2">
      <c r="A28" s="237" t="s">
        <v>126</v>
      </c>
      <c r="B28" s="590">
        <f>'- 51 -'!C28</f>
        <v>1922271.8272999998</v>
      </c>
      <c r="C28" s="590">
        <f>+Data!Z28</f>
        <v>9927928</v>
      </c>
      <c r="D28" s="590">
        <f t="shared" si="0"/>
        <v>11850199.827299999</v>
      </c>
      <c r="E28" s="589"/>
      <c r="F28" s="590">
        <f>+Data!W28</f>
        <v>615280</v>
      </c>
    </row>
    <row r="29" spans="1:6" ht="14.1" customHeight="1" x14ac:dyDescent="0.2">
      <c r="A29" s="354" t="s">
        <v>127</v>
      </c>
      <c r="B29" s="588">
        <f>'- 51 -'!C29</f>
        <v>16726628.552899998</v>
      </c>
      <c r="C29" s="588">
        <f>+Data!Z29</f>
        <v>105204208</v>
      </c>
      <c r="D29" s="588">
        <f t="shared" si="0"/>
        <v>121930836.5529</v>
      </c>
      <c r="E29" s="589"/>
      <c r="F29" s="588">
        <f>+Data!W29</f>
        <v>629714</v>
      </c>
    </row>
    <row r="30" spans="1:6" ht="14.1" customHeight="1" x14ac:dyDescent="0.2">
      <c r="A30" s="237" t="s">
        <v>128</v>
      </c>
      <c r="B30" s="590">
        <f>'- 51 -'!C30</f>
        <v>1063724.5773999998</v>
      </c>
      <c r="C30" s="590">
        <f>+Data!Z30</f>
        <v>7449673</v>
      </c>
      <c r="D30" s="590">
        <f t="shared" si="0"/>
        <v>8513397.5773999989</v>
      </c>
      <c r="E30" s="589"/>
      <c r="F30" s="590">
        <f>+Data!W30</f>
        <v>542101</v>
      </c>
    </row>
    <row r="31" spans="1:6" ht="14.1" customHeight="1" x14ac:dyDescent="0.2">
      <c r="A31" s="354" t="s">
        <v>129</v>
      </c>
      <c r="B31" s="588">
        <f>'- 51 -'!C31</f>
        <v>3502747.2389999996</v>
      </c>
      <c r="C31" s="588">
        <f>+Data!Z31</f>
        <v>18397686</v>
      </c>
      <c r="D31" s="588">
        <f t="shared" si="0"/>
        <v>21900433.239</v>
      </c>
      <c r="E31" s="589"/>
      <c r="F31" s="588">
        <f>+Data!W31</f>
        <v>426810</v>
      </c>
    </row>
    <row r="32" spans="1:6" ht="14.1" customHeight="1" x14ac:dyDescent="0.2">
      <c r="A32" s="237" t="s">
        <v>130</v>
      </c>
      <c r="B32" s="590">
        <f>'- 51 -'!C32</f>
        <v>1551759.2322999998</v>
      </c>
      <c r="C32" s="590">
        <f>+Data!Z32</f>
        <v>16891762</v>
      </c>
      <c r="D32" s="590">
        <f t="shared" si="0"/>
        <v>18443521.232299998</v>
      </c>
      <c r="E32" s="589"/>
      <c r="F32" s="590">
        <f>+Data!W32</f>
        <v>647758</v>
      </c>
    </row>
    <row r="33" spans="1:6" ht="14.1" customHeight="1" x14ac:dyDescent="0.2">
      <c r="A33" s="354" t="s">
        <v>131</v>
      </c>
      <c r="B33" s="588">
        <f>'- 51 -'!C33</f>
        <v>1792196.2943999998</v>
      </c>
      <c r="C33" s="588">
        <f>+Data!Z33</f>
        <v>14494234</v>
      </c>
      <c r="D33" s="588">
        <f t="shared" si="0"/>
        <v>16286430.294399999</v>
      </c>
      <c r="E33" s="589"/>
      <c r="F33" s="588">
        <f>+Data!W33</f>
        <v>665633</v>
      </c>
    </row>
    <row r="34" spans="1:6" ht="14.1" customHeight="1" x14ac:dyDescent="0.2">
      <c r="A34" s="237" t="s">
        <v>132</v>
      </c>
      <c r="B34" s="590">
        <f>'- 51 -'!C34</f>
        <v>2912402.0233999998</v>
      </c>
      <c r="C34" s="590">
        <f>+Data!Z34</f>
        <v>21190898</v>
      </c>
      <c r="D34" s="590">
        <f t="shared" si="0"/>
        <v>24103300.023400001</v>
      </c>
      <c r="E34" s="589"/>
      <c r="F34" s="590">
        <f>+Data!W34</f>
        <v>669534</v>
      </c>
    </row>
    <row r="35" spans="1:6" ht="14.1" customHeight="1" x14ac:dyDescent="0.2">
      <c r="A35" s="354" t="s">
        <v>133</v>
      </c>
      <c r="B35" s="588">
        <f>'- 51 -'!C35</f>
        <v>11390280.541099999</v>
      </c>
      <c r="C35" s="588">
        <f>+Data!Z35</f>
        <v>91282332</v>
      </c>
      <c r="D35" s="588">
        <f t="shared" si="0"/>
        <v>102672612.5411</v>
      </c>
      <c r="E35" s="589"/>
      <c r="F35" s="588">
        <f>+Data!W35</f>
        <v>428344</v>
      </c>
    </row>
    <row r="36" spans="1:6" ht="14.1" customHeight="1" x14ac:dyDescent="0.2">
      <c r="A36" s="237" t="s">
        <v>134</v>
      </c>
      <c r="B36" s="590">
        <f>'- 51 -'!C36</f>
        <v>1778191.1947999999</v>
      </c>
      <c r="C36" s="590">
        <f>+Data!Z36</f>
        <v>11896156</v>
      </c>
      <c r="D36" s="590">
        <f t="shared" si="0"/>
        <v>13674347.194800001</v>
      </c>
      <c r="E36" s="589"/>
      <c r="F36" s="590">
        <f>+Data!W36</f>
        <v>645772</v>
      </c>
    </row>
    <row r="37" spans="1:6" ht="14.1" customHeight="1" x14ac:dyDescent="0.2">
      <c r="A37" s="354" t="s">
        <v>135</v>
      </c>
      <c r="B37" s="588">
        <f>'- 51 -'!C37</f>
        <v>1967035.0362999998</v>
      </c>
      <c r="C37" s="588">
        <f>+Data!Z37</f>
        <v>27210238</v>
      </c>
      <c r="D37" s="588">
        <f t="shared" si="0"/>
        <v>29177273.0363</v>
      </c>
      <c r="E37" s="589"/>
      <c r="F37" s="588">
        <f>+Data!W37</f>
        <v>337104</v>
      </c>
    </row>
    <row r="38" spans="1:6" ht="14.1" customHeight="1" x14ac:dyDescent="0.2">
      <c r="A38" s="237" t="s">
        <v>136</v>
      </c>
      <c r="B38" s="590">
        <f>'- 51 -'!C38</f>
        <v>4126823.9657999994</v>
      </c>
      <c r="C38" s="590">
        <f>+Data!Z38</f>
        <v>56942379</v>
      </c>
      <c r="D38" s="590">
        <f t="shared" si="0"/>
        <v>61069202.965800002</v>
      </c>
      <c r="E38" s="589"/>
      <c r="F38" s="590">
        <f>+Data!W38</f>
        <v>327538</v>
      </c>
    </row>
    <row r="39" spans="1:6" ht="14.1" customHeight="1" x14ac:dyDescent="0.2">
      <c r="A39" s="354" t="s">
        <v>137</v>
      </c>
      <c r="B39" s="588">
        <f>'- 51 -'!C39</f>
        <v>3538923.8880999996</v>
      </c>
      <c r="C39" s="588">
        <f>+Data!Z39</f>
        <v>13058854</v>
      </c>
      <c r="D39" s="588">
        <f t="shared" si="0"/>
        <v>16597777.8881</v>
      </c>
      <c r="E39" s="589"/>
      <c r="F39" s="588">
        <f>+Data!W39</f>
        <v>816595</v>
      </c>
    </row>
    <row r="40" spans="1:6" ht="14.1" customHeight="1" x14ac:dyDescent="0.2">
      <c r="A40" s="237" t="s">
        <v>138</v>
      </c>
      <c r="B40" s="590">
        <f>'- 51 -'!C40</f>
        <v>17066860.2053</v>
      </c>
      <c r="C40" s="590">
        <f>+Data!Z40</f>
        <v>61836866</v>
      </c>
      <c r="D40" s="590">
        <f t="shared" si="0"/>
        <v>78903726.205300003</v>
      </c>
      <c r="E40" s="589"/>
      <c r="F40" s="590">
        <f>+Data!W40</f>
        <v>611416</v>
      </c>
    </row>
    <row r="41" spans="1:6" ht="14.1" customHeight="1" x14ac:dyDescent="0.2">
      <c r="A41" s="354" t="s">
        <v>139</v>
      </c>
      <c r="B41" s="588">
        <f>'- 51 -'!C41</f>
        <v>4514707.5230999999</v>
      </c>
      <c r="C41" s="588">
        <f>+Data!Z41</f>
        <v>36295465</v>
      </c>
      <c r="D41" s="588">
        <f t="shared" si="0"/>
        <v>40810172.523100004</v>
      </c>
      <c r="E41" s="589"/>
      <c r="F41" s="588">
        <f>+Data!W41</f>
        <v>555919</v>
      </c>
    </row>
    <row r="42" spans="1:6" ht="14.1" customHeight="1" x14ac:dyDescent="0.2">
      <c r="A42" s="237" t="s">
        <v>140</v>
      </c>
      <c r="B42" s="590">
        <f>'- 51 -'!C42</f>
        <v>842288.6020999999</v>
      </c>
      <c r="C42" s="590">
        <f>+Data!Z42</f>
        <v>7821702</v>
      </c>
      <c r="D42" s="590">
        <f t="shared" si="0"/>
        <v>8663990.6020999998</v>
      </c>
      <c r="E42" s="589"/>
      <c r="F42" s="590">
        <f>+Data!W42</f>
        <v>421447</v>
      </c>
    </row>
    <row r="43" spans="1:6" ht="14.1" customHeight="1" x14ac:dyDescent="0.2">
      <c r="A43" s="354" t="s">
        <v>141</v>
      </c>
      <c r="B43" s="588">
        <f>'- 51 -'!C43</f>
        <v>678490.35099999991</v>
      </c>
      <c r="C43" s="588">
        <f>+Data!Z43</f>
        <v>7239208</v>
      </c>
      <c r="D43" s="588">
        <f t="shared" si="0"/>
        <v>7917698.3509999998</v>
      </c>
      <c r="E43" s="589"/>
      <c r="F43" s="588">
        <f>+Data!W43</f>
        <v>645598</v>
      </c>
    </row>
    <row r="44" spans="1:6" ht="14.1" customHeight="1" x14ac:dyDescent="0.2">
      <c r="A44" s="237" t="s">
        <v>142</v>
      </c>
      <c r="B44" s="590">
        <f>'- 51 -'!C44</f>
        <v>137678.15609999999</v>
      </c>
      <c r="C44" s="590">
        <f>+Data!Z44</f>
        <v>3521665</v>
      </c>
      <c r="D44" s="590">
        <f t="shared" si="0"/>
        <v>3659343.1560999998</v>
      </c>
      <c r="E44" s="589"/>
      <c r="F44" s="590">
        <f>+Data!W44</f>
        <v>312314</v>
      </c>
    </row>
    <row r="45" spans="1:6" ht="14.1" customHeight="1" x14ac:dyDescent="0.2">
      <c r="A45" s="354" t="s">
        <v>143</v>
      </c>
      <c r="B45" s="588">
        <f>'- 51 -'!C45</f>
        <v>1084414.7995</v>
      </c>
      <c r="C45" s="588">
        <f>+Data!Z45</f>
        <v>9154909</v>
      </c>
      <c r="D45" s="588">
        <f t="shared" si="0"/>
        <v>10239323.7995</v>
      </c>
      <c r="E45" s="589"/>
      <c r="F45" s="588">
        <f>+Data!W45</f>
        <v>354882</v>
      </c>
    </row>
    <row r="46" spans="1:6" ht="14.1" customHeight="1" x14ac:dyDescent="0.2">
      <c r="A46" s="237" t="s">
        <v>144</v>
      </c>
      <c r="B46" s="590">
        <f>'- 51 -'!C46</f>
        <v>51073298.423699997</v>
      </c>
      <c r="C46" s="590">
        <f>+Data!Z46</f>
        <v>185924095</v>
      </c>
      <c r="D46" s="590">
        <f t="shared" si="0"/>
        <v>236997393.4237</v>
      </c>
      <c r="E46" s="589"/>
      <c r="F46" s="590">
        <f>+Data!W46</f>
        <v>438442</v>
      </c>
    </row>
    <row r="47" spans="1:6" ht="5.0999999999999996" customHeight="1" x14ac:dyDescent="0.2">
      <c r="A47" s="130"/>
      <c r="B47" s="591"/>
      <c r="C47" s="591"/>
      <c r="D47" s="591"/>
      <c r="E47" s="589"/>
      <c r="F47" s="591"/>
    </row>
    <row r="48" spans="1:6" ht="14.1" customHeight="1" x14ac:dyDescent="0.2">
      <c r="A48" s="355" t="s">
        <v>145</v>
      </c>
      <c r="B48" s="592">
        <f>SUM(B11:B46)</f>
        <v>180395427.83679998</v>
      </c>
      <c r="C48" s="592">
        <f>+Data!Z48</f>
        <v>1048330481</v>
      </c>
      <c r="D48" s="592">
        <f>SUM(D11:D46)</f>
        <v>1228725908.8368001</v>
      </c>
      <c r="E48" s="589"/>
      <c r="F48" s="592">
        <f>+Data!W48</f>
        <v>455040.37634035602</v>
      </c>
    </row>
    <row r="49" spans="1:6" ht="50.1" customHeight="1" x14ac:dyDescent="0.2">
      <c r="A49" s="244" t="s">
        <v>7</v>
      </c>
      <c r="B49" s="23"/>
      <c r="C49" s="23"/>
      <c r="D49" s="23"/>
      <c r="E49" s="23"/>
      <c r="F49" s="23"/>
    </row>
    <row r="50" spans="1:6" ht="19.899999999999999" customHeight="1" x14ac:dyDescent="0.2">
      <c r="A50" s="672" t="s">
        <v>638</v>
      </c>
      <c r="B50" s="672"/>
      <c r="C50" s="672"/>
      <c r="D50" s="672"/>
      <c r="E50" s="672"/>
      <c r="F50" s="672"/>
    </row>
    <row r="51" spans="1:6" ht="12" customHeight="1" x14ac:dyDescent="0.2">
      <c r="A51" s="793"/>
      <c r="B51" s="793"/>
      <c r="C51" s="793"/>
      <c r="D51" s="793"/>
      <c r="E51" s="793"/>
      <c r="F51" s="793"/>
    </row>
    <row r="52" spans="1:6" ht="12" customHeight="1" x14ac:dyDescent="0.2">
      <c r="A52" s="793"/>
      <c r="B52" s="793"/>
      <c r="C52" s="793"/>
      <c r="D52" s="793"/>
      <c r="E52" s="793"/>
      <c r="F52" s="793"/>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5"/>
  <sheetViews>
    <sheetView showGridLines="0" showZeros="0" workbookViewId="0"/>
  </sheetViews>
  <sheetFormatPr defaultColWidth="15.83203125" defaultRowHeight="12" x14ac:dyDescent="0.2"/>
  <cols>
    <col min="1" max="1" width="34.83203125" style="2" customWidth="1"/>
    <col min="2" max="3" width="18.83203125" style="2" customWidth="1"/>
    <col min="4" max="4" width="1.83203125" style="2" customWidth="1"/>
    <col min="5" max="6" width="18.83203125" style="2" customWidth="1"/>
    <col min="7" max="7" width="21.1640625" style="2" customWidth="1"/>
    <col min="8" max="16384" width="15.83203125" style="2"/>
  </cols>
  <sheetData>
    <row r="1" spans="1:7" ht="6.95" customHeight="1" x14ac:dyDescent="0.2">
      <c r="A1" s="7"/>
      <c r="B1" s="7"/>
      <c r="C1" s="7"/>
      <c r="D1" s="8"/>
      <c r="E1" s="8"/>
    </row>
    <row r="2" spans="1:7" ht="15.95" customHeight="1" x14ac:dyDescent="0.2">
      <c r="A2" s="63"/>
      <c r="B2" s="9" t="s">
        <v>10</v>
      </c>
      <c r="C2" s="10"/>
      <c r="D2" s="10"/>
      <c r="E2" s="73"/>
      <c r="F2" s="81"/>
      <c r="G2" s="81" t="s">
        <v>12</v>
      </c>
    </row>
    <row r="3" spans="1:7" ht="15.95" customHeight="1" x14ac:dyDescent="0.2">
      <c r="A3" s="542"/>
      <c r="B3" s="11" t="str">
        <f>STATDATE</f>
        <v>ACTUAL SEPTEMBER 30, 2018</v>
      </c>
      <c r="C3" s="12"/>
      <c r="D3" s="12"/>
      <c r="E3" s="75"/>
      <c r="F3" s="75"/>
      <c r="G3" s="75"/>
    </row>
    <row r="4" spans="1:7" ht="15.95" customHeight="1" x14ac:dyDescent="0.2">
      <c r="D4" s="8"/>
      <c r="E4" s="8"/>
    </row>
    <row r="5" spans="1:7" ht="15.95" customHeight="1" x14ac:dyDescent="0.2"/>
    <row r="6" spans="1:7" ht="15.95" customHeight="1" x14ac:dyDescent="0.2">
      <c r="B6" s="492"/>
      <c r="C6" s="585"/>
      <c r="D6" s="184"/>
      <c r="E6" s="412"/>
    </row>
    <row r="7" spans="1:7" ht="15.95" customHeight="1" x14ac:dyDescent="0.2">
      <c r="B7" s="493" t="s">
        <v>334</v>
      </c>
      <c r="C7" s="494"/>
      <c r="D7" s="184"/>
      <c r="E7" s="413" t="s">
        <v>31</v>
      </c>
    </row>
    <row r="8" spans="1:7" ht="15.95" customHeight="1" x14ac:dyDescent="0.2">
      <c r="A8" s="33"/>
      <c r="B8" s="624" t="s">
        <v>454</v>
      </c>
      <c r="C8" s="138"/>
      <c r="D8" s="15"/>
      <c r="E8" s="623" t="s">
        <v>453</v>
      </c>
    </row>
    <row r="9" spans="1:7" ht="15.95" customHeight="1" x14ac:dyDescent="0.2">
      <c r="A9" s="82" t="s">
        <v>42</v>
      </c>
      <c r="B9" s="609"/>
      <c r="C9" s="78" t="s">
        <v>31</v>
      </c>
      <c r="D9" s="84"/>
      <c r="E9" s="604"/>
    </row>
    <row r="10" spans="1:7" ht="5.0999999999999996" customHeight="1" x14ac:dyDescent="0.2">
      <c r="A10" s="6"/>
      <c r="B10" s="85"/>
      <c r="C10" s="6"/>
      <c r="D10" s="86"/>
    </row>
    <row r="11" spans="1:7" ht="14.1" customHeight="1" x14ac:dyDescent="0.2">
      <c r="A11" s="284" t="s">
        <v>110</v>
      </c>
      <c r="B11" s="291">
        <v>0</v>
      </c>
      <c r="C11" s="291">
        <f>SUM('- 6 -'!B11:H11,B11)</f>
        <v>1813</v>
      </c>
      <c r="D11" s="87"/>
      <c r="E11" s="291">
        <f>C11</f>
        <v>1813</v>
      </c>
      <c r="G11" s="131"/>
    </row>
    <row r="12" spans="1:7" ht="14.1" customHeight="1" x14ac:dyDescent="0.2">
      <c r="A12" s="19" t="s">
        <v>111</v>
      </c>
      <c r="B12" s="70">
        <v>146.11000000000001</v>
      </c>
      <c r="C12" s="70">
        <f>SUM('- 6 -'!B12:H12,B12)</f>
        <v>2126.67</v>
      </c>
      <c r="D12" s="87"/>
      <c r="E12" s="70">
        <f t="shared" ref="E12:E46" si="0">C12</f>
        <v>2126.67</v>
      </c>
      <c r="G12" s="131"/>
    </row>
    <row r="13" spans="1:7" ht="14.1" customHeight="1" x14ac:dyDescent="0.2">
      <c r="A13" s="284" t="s">
        <v>112</v>
      </c>
      <c r="B13" s="291">
        <v>420</v>
      </c>
      <c r="C13" s="291">
        <f>SUM('- 6 -'!B13:H13,B13)</f>
        <v>8565</v>
      </c>
      <c r="D13" s="87"/>
      <c r="E13" s="291">
        <f t="shared" si="0"/>
        <v>8565</v>
      </c>
      <c r="G13" s="131"/>
    </row>
    <row r="14" spans="1:7" ht="14.1" customHeight="1" x14ac:dyDescent="0.2">
      <c r="A14" s="19" t="s">
        <v>359</v>
      </c>
      <c r="B14" s="70">
        <v>20.7</v>
      </c>
      <c r="C14" s="70">
        <f>SUM('- 6 -'!B14:H14,B14)</f>
        <v>5409</v>
      </c>
      <c r="D14" s="87"/>
      <c r="E14" s="70">
        <f t="shared" si="0"/>
        <v>5409</v>
      </c>
      <c r="G14" s="131"/>
    </row>
    <row r="15" spans="1:7" ht="14.1" customHeight="1" x14ac:dyDescent="0.2">
      <c r="A15" s="284" t="s">
        <v>113</v>
      </c>
      <c r="B15" s="291">
        <v>20</v>
      </c>
      <c r="C15" s="291">
        <f>SUM('- 6 -'!B15:H15,B15)</f>
        <v>1412.4</v>
      </c>
      <c r="D15" s="87"/>
      <c r="E15" s="291">
        <f t="shared" si="0"/>
        <v>1412.4</v>
      </c>
      <c r="G15" s="131"/>
    </row>
    <row r="16" spans="1:7" ht="14.1" customHeight="1" x14ac:dyDescent="0.2">
      <c r="A16" s="19" t="s">
        <v>114</v>
      </c>
      <c r="B16" s="70">
        <v>0</v>
      </c>
      <c r="C16" s="70">
        <f>SUM('- 6 -'!B16:H16,B16)</f>
        <v>903.9</v>
      </c>
      <c r="D16" s="87"/>
      <c r="E16" s="70">
        <f t="shared" si="0"/>
        <v>903.9</v>
      </c>
      <c r="G16" s="131"/>
    </row>
    <row r="17" spans="1:7" ht="14.1" customHeight="1" x14ac:dyDescent="0.2">
      <c r="A17" s="284" t="s">
        <v>115</v>
      </c>
      <c r="B17" s="291">
        <v>22.571428571428573</v>
      </c>
      <c r="C17" s="291">
        <f>SUM('- 6 -'!B17:H17,B17)</f>
        <v>1432.4714285714288</v>
      </c>
      <c r="D17" s="87"/>
      <c r="E17" s="291">
        <f t="shared" si="0"/>
        <v>1432.4714285714288</v>
      </c>
      <c r="G17" s="131"/>
    </row>
    <row r="18" spans="1:7" ht="14.1" customHeight="1" x14ac:dyDescent="0.2">
      <c r="A18" s="19" t="s">
        <v>116</v>
      </c>
      <c r="B18" s="70">
        <v>30.7</v>
      </c>
      <c r="C18" s="70">
        <f>SUM('- 6 -'!B18:H18,B18)</f>
        <v>5997</v>
      </c>
      <c r="D18" s="87"/>
      <c r="E18" s="70">
        <f t="shared" si="0"/>
        <v>5997</v>
      </c>
      <c r="G18" s="131"/>
    </row>
    <row r="19" spans="1:7" ht="14.1" customHeight="1" x14ac:dyDescent="0.2">
      <c r="A19" s="284" t="s">
        <v>117</v>
      </c>
      <c r="B19" s="291">
        <v>125.9</v>
      </c>
      <c r="C19" s="291">
        <f>SUM('- 6 -'!B19:H19,B19)</f>
        <v>4414.5</v>
      </c>
      <c r="D19" s="87"/>
      <c r="E19" s="291">
        <f t="shared" si="0"/>
        <v>4414.5</v>
      </c>
      <c r="G19" s="131"/>
    </row>
    <row r="20" spans="1:7" ht="14.1" customHeight="1" x14ac:dyDescent="0.2">
      <c r="A20" s="19" t="s">
        <v>118</v>
      </c>
      <c r="B20" s="70">
        <v>539</v>
      </c>
      <c r="C20" s="70">
        <f>SUM('- 6 -'!B20:H20,B20)</f>
        <v>7881.5</v>
      </c>
      <c r="D20" s="87"/>
      <c r="E20" s="70">
        <f t="shared" si="0"/>
        <v>7881.5</v>
      </c>
      <c r="G20" s="131"/>
    </row>
    <row r="21" spans="1:7" ht="14.1" customHeight="1" x14ac:dyDescent="0.2">
      <c r="A21" s="284" t="s">
        <v>119</v>
      </c>
      <c r="B21" s="291">
        <v>0</v>
      </c>
      <c r="C21" s="291">
        <f>SUM('- 6 -'!B21:H21,B21)</f>
        <v>2841.8</v>
      </c>
      <c r="D21" s="87"/>
      <c r="E21" s="291">
        <f t="shared" si="0"/>
        <v>2841.8</v>
      </c>
      <c r="G21" s="131"/>
    </row>
    <row r="22" spans="1:7" ht="14.1" customHeight="1" x14ac:dyDescent="0.2">
      <c r="A22" s="19" t="s">
        <v>120</v>
      </c>
      <c r="B22" s="70">
        <v>0</v>
      </c>
      <c r="C22" s="70">
        <f>SUM('- 6 -'!B22:H22,B22)</f>
        <v>1468.6</v>
      </c>
      <c r="D22" s="87"/>
      <c r="E22" s="70">
        <f t="shared" si="0"/>
        <v>1468.6</v>
      </c>
      <c r="G22" s="131"/>
    </row>
    <row r="23" spans="1:7" ht="14.1" customHeight="1" x14ac:dyDescent="0.2">
      <c r="A23" s="284" t="s">
        <v>121</v>
      </c>
      <c r="B23" s="291">
        <v>13</v>
      </c>
      <c r="C23" s="291">
        <f>SUM('- 6 -'!B23:H23,B23)</f>
        <v>961.5</v>
      </c>
      <c r="D23" s="87"/>
      <c r="E23" s="291">
        <f t="shared" si="0"/>
        <v>961.5</v>
      </c>
      <c r="G23" s="131"/>
    </row>
    <row r="24" spans="1:7" ht="14.1" customHeight="1" x14ac:dyDescent="0.2">
      <c r="A24" s="19" t="s">
        <v>122</v>
      </c>
      <c r="B24" s="70">
        <v>207</v>
      </c>
      <c r="C24" s="70">
        <f>SUM('- 6 -'!B24:H24,B24)</f>
        <v>3829.6</v>
      </c>
      <c r="D24" s="87"/>
      <c r="E24" s="70">
        <f t="shared" si="0"/>
        <v>3829.6</v>
      </c>
      <c r="G24" s="131"/>
    </row>
    <row r="25" spans="1:7" ht="14.1" customHeight="1" x14ac:dyDescent="0.2">
      <c r="A25" s="284" t="s">
        <v>123</v>
      </c>
      <c r="B25" s="291">
        <v>94.7</v>
      </c>
      <c r="C25" s="291">
        <f>SUM('- 6 -'!B25:H25,B25)</f>
        <v>14881.7</v>
      </c>
      <c r="D25" s="87"/>
      <c r="E25" s="291">
        <f t="shared" si="0"/>
        <v>14881.7</v>
      </c>
      <c r="G25" s="131"/>
    </row>
    <row r="26" spans="1:7" ht="14.1" customHeight="1" x14ac:dyDescent="0.2">
      <c r="A26" s="19" t="s">
        <v>124</v>
      </c>
      <c r="B26" s="70">
        <v>131.69999999999999</v>
      </c>
      <c r="C26" s="70">
        <f>SUM('- 6 -'!B26:H26,B26)</f>
        <v>3001</v>
      </c>
      <c r="D26" s="87"/>
      <c r="E26" s="70">
        <f t="shared" si="0"/>
        <v>3001</v>
      </c>
      <c r="G26" s="131"/>
    </row>
    <row r="27" spans="1:7" ht="14.1" customHeight="1" x14ac:dyDescent="0.2">
      <c r="A27" s="284" t="s">
        <v>125</v>
      </c>
      <c r="B27" s="291">
        <v>153.86000000000001</v>
      </c>
      <c r="C27" s="291">
        <f>SUM('- 6 -'!B27:H27,B27)</f>
        <v>2971.36</v>
      </c>
      <c r="D27" s="87"/>
      <c r="E27" s="291">
        <f t="shared" si="0"/>
        <v>2971.36</v>
      </c>
      <c r="G27" s="131"/>
    </row>
    <row r="28" spans="1:7" ht="14.1" customHeight="1" x14ac:dyDescent="0.2">
      <c r="A28" s="19" t="s">
        <v>126</v>
      </c>
      <c r="B28" s="70">
        <v>0</v>
      </c>
      <c r="C28" s="70">
        <f>SUM('- 6 -'!B28:H28,B28)</f>
        <v>1970</v>
      </c>
      <c r="D28" s="87"/>
      <c r="E28" s="70">
        <f t="shared" si="0"/>
        <v>1970</v>
      </c>
      <c r="G28" s="131"/>
    </row>
    <row r="29" spans="1:7" ht="14.1" customHeight="1" x14ac:dyDescent="0.2">
      <c r="A29" s="284" t="s">
        <v>127</v>
      </c>
      <c r="B29" s="291">
        <v>0</v>
      </c>
      <c r="C29" s="291">
        <f>SUM('- 6 -'!B29:H29,B29)</f>
        <v>13872.5</v>
      </c>
      <c r="D29" s="87"/>
      <c r="E29" s="291">
        <f t="shared" si="0"/>
        <v>13872.5</v>
      </c>
      <c r="G29" s="131"/>
    </row>
    <row r="30" spans="1:7" ht="14.1" customHeight="1" x14ac:dyDescent="0.2">
      <c r="A30" s="19" t="s">
        <v>128</v>
      </c>
      <c r="B30" s="70">
        <v>0</v>
      </c>
      <c r="C30" s="70">
        <f>SUM('- 6 -'!B30:H30,B30)</f>
        <v>1023.5</v>
      </c>
      <c r="D30" s="87"/>
      <c r="E30" s="70">
        <f t="shared" si="0"/>
        <v>1023.5</v>
      </c>
      <c r="G30" s="131"/>
    </row>
    <row r="31" spans="1:7" ht="14.1" customHeight="1" x14ac:dyDescent="0.2">
      <c r="A31" s="284" t="s">
        <v>129</v>
      </c>
      <c r="B31" s="291">
        <v>100</v>
      </c>
      <c r="C31" s="291">
        <f>SUM('- 6 -'!B31:H31,B31)</f>
        <v>3342.5</v>
      </c>
      <c r="D31" s="87"/>
      <c r="E31" s="291">
        <f t="shared" si="0"/>
        <v>3342.5</v>
      </c>
      <c r="G31" s="131"/>
    </row>
    <row r="32" spans="1:7" ht="14.1" customHeight="1" x14ac:dyDescent="0.2">
      <c r="A32" s="19" t="s">
        <v>130</v>
      </c>
      <c r="B32" s="70">
        <v>0</v>
      </c>
      <c r="C32" s="70">
        <f>SUM('- 6 -'!B32:H32,B32)</f>
        <v>2226.5</v>
      </c>
      <c r="D32" s="87"/>
      <c r="E32" s="70">
        <f t="shared" si="0"/>
        <v>2226.5</v>
      </c>
      <c r="G32" s="131"/>
    </row>
    <row r="33" spans="1:7" ht="14.1" customHeight="1" x14ac:dyDescent="0.2">
      <c r="A33" s="284" t="s">
        <v>131</v>
      </c>
      <c r="B33" s="291">
        <v>0</v>
      </c>
      <c r="C33" s="291">
        <f>SUM('- 6 -'!B33:H33,B33)</f>
        <v>2048.1999999999998</v>
      </c>
      <c r="D33" s="87"/>
      <c r="E33" s="291">
        <f t="shared" si="0"/>
        <v>2048.1999999999998</v>
      </c>
      <c r="G33" s="131"/>
    </row>
    <row r="34" spans="1:7" ht="14.1" customHeight="1" x14ac:dyDescent="0.2">
      <c r="A34" s="19" t="s">
        <v>132</v>
      </c>
      <c r="B34" s="70">
        <v>26.73</v>
      </c>
      <c r="C34" s="70">
        <f>SUM('- 6 -'!B34:H34,B34)</f>
        <v>2181.98</v>
      </c>
      <c r="D34" s="87"/>
      <c r="E34" s="70">
        <f t="shared" si="0"/>
        <v>2181.98</v>
      </c>
      <c r="G34" s="131"/>
    </row>
    <row r="35" spans="1:7" ht="14.1" customHeight="1" x14ac:dyDescent="0.2">
      <c r="A35" s="284" t="s">
        <v>133</v>
      </c>
      <c r="B35" s="291">
        <v>703</v>
      </c>
      <c r="C35" s="291">
        <f>SUM('- 6 -'!B35:H35,B35)</f>
        <v>16065</v>
      </c>
      <c r="D35" s="87"/>
      <c r="E35" s="291">
        <f t="shared" si="0"/>
        <v>16065</v>
      </c>
      <c r="G35" s="131"/>
    </row>
    <row r="36" spans="1:7" ht="14.1" customHeight="1" x14ac:dyDescent="0.2">
      <c r="A36" s="19" t="s">
        <v>134</v>
      </c>
      <c r="B36" s="70">
        <v>7.7</v>
      </c>
      <c r="C36" s="70">
        <f>SUM('- 6 -'!B36:H36,B36)</f>
        <v>1679</v>
      </c>
      <c r="D36" s="87"/>
      <c r="E36" s="70">
        <f t="shared" si="0"/>
        <v>1679</v>
      </c>
      <c r="G36" s="131"/>
    </row>
    <row r="37" spans="1:7" ht="14.1" customHeight="1" x14ac:dyDescent="0.2">
      <c r="A37" s="284" t="s">
        <v>135</v>
      </c>
      <c r="B37" s="291">
        <v>0</v>
      </c>
      <c r="C37" s="291">
        <f>SUM('- 6 -'!B37:H37,B37)</f>
        <v>4337</v>
      </c>
      <c r="D37" s="87"/>
      <c r="E37" s="291">
        <f t="shared" si="0"/>
        <v>4337</v>
      </c>
      <c r="G37" s="131"/>
    </row>
    <row r="38" spans="1:7" ht="14.1" customHeight="1" x14ac:dyDescent="0.2">
      <c r="A38" s="19" t="s">
        <v>136</v>
      </c>
      <c r="B38" s="70">
        <v>170.5</v>
      </c>
      <c r="C38" s="70">
        <f>SUM('- 6 -'!B38:H38,B38)</f>
        <v>11306.3</v>
      </c>
      <c r="D38" s="87"/>
      <c r="E38" s="70">
        <f t="shared" si="0"/>
        <v>11306.3</v>
      </c>
      <c r="G38" s="131"/>
    </row>
    <row r="39" spans="1:7" ht="14.1" customHeight="1" x14ac:dyDescent="0.2">
      <c r="A39" s="284" t="s">
        <v>137</v>
      </c>
      <c r="B39" s="291">
        <v>0</v>
      </c>
      <c r="C39" s="291">
        <f>SUM('- 6 -'!B39:H39,B39)</f>
        <v>1503</v>
      </c>
      <c r="D39" s="87"/>
      <c r="E39" s="291">
        <f t="shared" si="0"/>
        <v>1503</v>
      </c>
      <c r="G39" s="131"/>
    </row>
    <row r="40" spans="1:7" ht="14.1" customHeight="1" x14ac:dyDescent="0.2">
      <c r="A40" s="19" t="s">
        <v>138</v>
      </c>
      <c r="B40" s="70">
        <v>231.8</v>
      </c>
      <c r="C40" s="70">
        <f>SUM('- 6 -'!B40:H40,B40)</f>
        <v>8200.75</v>
      </c>
      <c r="D40" s="87"/>
      <c r="E40" s="70">
        <f t="shared" si="0"/>
        <v>8200.75</v>
      </c>
      <c r="G40" s="131"/>
    </row>
    <row r="41" spans="1:7" ht="14.1" customHeight="1" x14ac:dyDescent="0.2">
      <c r="A41" s="284" t="s">
        <v>139</v>
      </c>
      <c r="B41" s="291">
        <v>0</v>
      </c>
      <c r="C41" s="291">
        <f>SUM('- 6 -'!B41:H41,B41)</f>
        <v>4452.5</v>
      </c>
      <c r="D41" s="87"/>
      <c r="E41" s="291">
        <f t="shared" si="0"/>
        <v>4452.5</v>
      </c>
      <c r="G41" s="131"/>
    </row>
    <row r="42" spans="1:7" ht="14.1" customHeight="1" x14ac:dyDescent="0.2">
      <c r="A42" s="19" t="s">
        <v>140</v>
      </c>
      <c r="B42" s="70">
        <v>131</v>
      </c>
      <c r="C42" s="70">
        <f>SUM('- 6 -'!B42:H42,B42)</f>
        <v>1382.5</v>
      </c>
      <c r="D42" s="87"/>
      <c r="E42" s="70">
        <f t="shared" si="0"/>
        <v>1382.5</v>
      </c>
      <c r="G42" s="131"/>
    </row>
    <row r="43" spans="1:7" ht="14.1" customHeight="1" x14ac:dyDescent="0.2">
      <c r="A43" s="284" t="s">
        <v>141</v>
      </c>
      <c r="B43" s="291">
        <v>11</v>
      </c>
      <c r="C43" s="291">
        <f>SUM('- 6 -'!B43:H43,B43)</f>
        <v>991.5</v>
      </c>
      <c r="D43" s="87"/>
      <c r="E43" s="291">
        <f t="shared" si="0"/>
        <v>991.5</v>
      </c>
      <c r="G43" s="131"/>
    </row>
    <row r="44" spans="1:7" ht="14.1" customHeight="1" x14ac:dyDescent="0.2">
      <c r="A44" s="19" t="s">
        <v>142</v>
      </c>
      <c r="B44" s="70">
        <v>0</v>
      </c>
      <c r="C44" s="70">
        <f>SUM('- 6 -'!B44:H44,B44)</f>
        <v>710</v>
      </c>
      <c r="D44" s="87"/>
      <c r="E44" s="70">
        <f t="shared" si="0"/>
        <v>710</v>
      </c>
      <c r="G44" s="131"/>
    </row>
    <row r="45" spans="1:7" ht="14.1" customHeight="1" x14ac:dyDescent="0.2">
      <c r="A45" s="284" t="s">
        <v>143</v>
      </c>
      <c r="B45" s="291">
        <v>39</v>
      </c>
      <c r="C45" s="291">
        <f>SUM('- 6 -'!B45:H45,B45)</f>
        <v>1817.5</v>
      </c>
      <c r="D45" s="87"/>
      <c r="E45" s="291">
        <f t="shared" si="0"/>
        <v>1817.5</v>
      </c>
      <c r="G45" s="131"/>
    </row>
    <row r="46" spans="1:7" ht="14.1" customHeight="1" x14ac:dyDescent="0.2">
      <c r="A46" s="19" t="s">
        <v>144</v>
      </c>
      <c r="B46" s="70">
        <v>590.5</v>
      </c>
      <c r="C46" s="70">
        <f>SUM('- 6 -'!B46:H46,B46)</f>
        <v>29787.5</v>
      </c>
      <c r="D46" s="87"/>
      <c r="E46" s="70">
        <f t="shared" si="0"/>
        <v>29787.5</v>
      </c>
      <c r="G46" s="131"/>
    </row>
    <row r="47" spans="1:7" ht="5.0999999999999996" customHeight="1" x14ac:dyDescent="0.2">
      <c r="A47"/>
      <c r="B47"/>
      <c r="C47"/>
      <c r="D47"/>
      <c r="E47"/>
      <c r="F47"/>
      <c r="G47" s="131"/>
    </row>
    <row r="48" spans="1:7" ht="14.1" customHeight="1" x14ac:dyDescent="0.2">
      <c r="A48" s="286" t="s">
        <v>145</v>
      </c>
      <c r="B48" s="294">
        <f>SUM(B11:B46)</f>
        <v>3936.471428571429</v>
      </c>
      <c r="C48" s="294">
        <f>SUM(C11:C46)</f>
        <v>178808.73142857142</v>
      </c>
      <c r="D48" s="88"/>
      <c r="E48" s="294">
        <f>SUM(E11:E46)</f>
        <v>178808.73142857142</v>
      </c>
      <c r="G48" s="131"/>
    </row>
    <row r="49" spans="1:7" ht="5.0999999999999996" customHeight="1" x14ac:dyDescent="0.2">
      <c r="A49" s="21" t="s">
        <v>7</v>
      </c>
      <c r="B49" s="71"/>
      <c r="C49" s="71"/>
      <c r="D49" s="86"/>
      <c r="E49" s="71"/>
      <c r="G49" s="131"/>
    </row>
    <row r="50" spans="1:7" ht="14.1" customHeight="1" x14ac:dyDescent="0.2">
      <c r="A50" s="19" t="s">
        <v>146</v>
      </c>
      <c r="B50" s="70">
        <v>0</v>
      </c>
      <c r="C50" s="70">
        <f>SUM('- 6 -'!B50:H50,B50)</f>
        <v>180.5</v>
      </c>
      <c r="D50" s="87"/>
      <c r="E50" s="70">
        <f>C50</f>
        <v>180.5</v>
      </c>
      <c r="G50" s="131"/>
    </row>
    <row r="51" spans="1:7" ht="14.1" customHeight="1" x14ac:dyDescent="0.2">
      <c r="A51" s="284" t="s">
        <v>601</v>
      </c>
      <c r="B51" s="291">
        <v>1068</v>
      </c>
      <c r="C51" s="291">
        <f>SUM('- 6 -'!B51:H51,B51)</f>
        <v>1199</v>
      </c>
      <c r="D51" s="87"/>
      <c r="E51" s="291">
        <f>C51</f>
        <v>1199</v>
      </c>
      <c r="G51" s="131"/>
    </row>
    <row r="52" spans="1:7" ht="50.1" customHeight="1" x14ac:dyDescent="0.2">
      <c r="A52" s="433"/>
      <c r="B52" s="433"/>
      <c r="C52" s="433"/>
      <c r="D52" s="433"/>
      <c r="E52" s="433"/>
      <c r="F52" s="433"/>
      <c r="G52" s="433"/>
    </row>
    <row r="53" spans="1:7" x14ac:dyDescent="0.2">
      <c r="A53" s="625" t="s">
        <v>455</v>
      </c>
      <c r="B53" s="625"/>
      <c r="C53" s="625"/>
      <c r="D53" s="625"/>
      <c r="E53" s="625"/>
      <c r="F53" s="625"/>
      <c r="G53" s="625"/>
    </row>
    <row r="54" spans="1:7" x14ac:dyDescent="0.2">
      <c r="A54" s="626"/>
      <c r="B54" s="626"/>
      <c r="C54" s="626"/>
      <c r="D54" s="626"/>
      <c r="E54" s="626"/>
      <c r="F54" s="626"/>
      <c r="G54" s="626"/>
    </row>
    <row r="55" spans="1:7" x14ac:dyDescent="0.2">
      <c r="A55" s="25"/>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G54"/>
  <sheetViews>
    <sheetView showGridLines="0" showZeros="0" workbookViewId="0"/>
  </sheetViews>
  <sheetFormatPr defaultColWidth="19.83203125" defaultRowHeight="12" x14ac:dyDescent="0.2"/>
  <cols>
    <col min="1" max="1" width="32.83203125" style="2" customWidth="1"/>
    <col min="2" max="2" width="19" style="2" customWidth="1"/>
    <col min="3" max="3" width="19.33203125" style="2" customWidth="1"/>
    <col min="4" max="4" width="15" style="2" customWidth="1"/>
    <col min="5" max="5" width="16" style="2" customWidth="1"/>
    <col min="6" max="6" width="17.1640625" style="2" customWidth="1"/>
    <col min="7" max="7" width="15.66406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2018/2019 ACTUAL</v>
      </c>
      <c r="C2" s="266"/>
      <c r="D2" s="267"/>
      <c r="E2" s="264"/>
      <c r="F2" s="264"/>
      <c r="G2" s="215" t="s">
        <v>98</v>
      </c>
    </row>
    <row r="3" spans="1:7" ht="9.75" customHeight="1" x14ac:dyDescent="0.2">
      <c r="A3" s="537"/>
      <c r="B3" s="7"/>
      <c r="C3" s="7"/>
      <c r="D3" s="7"/>
      <c r="E3" s="7"/>
      <c r="F3" s="7"/>
      <c r="G3" s="7"/>
    </row>
    <row r="4" spans="1:7" ht="15.95" customHeight="1" x14ac:dyDescent="0.2">
      <c r="B4" s="797" t="s">
        <v>566</v>
      </c>
      <c r="C4" s="798"/>
      <c r="D4" s="798"/>
      <c r="E4" s="798"/>
      <c r="F4" s="798"/>
      <c r="G4" s="799"/>
    </row>
    <row r="5" spans="1:7" ht="15.95" customHeight="1" x14ac:dyDescent="0.2">
      <c r="B5" s="800"/>
      <c r="C5" s="801"/>
      <c r="D5" s="801"/>
      <c r="E5" s="801"/>
      <c r="F5" s="801"/>
      <c r="G5" s="802"/>
    </row>
    <row r="6" spans="1:7" ht="15.95" customHeight="1" x14ac:dyDescent="0.2">
      <c r="B6" s="794" t="s">
        <v>51</v>
      </c>
      <c r="C6" s="795"/>
      <c r="D6" s="795"/>
      <c r="E6" s="795"/>
      <c r="F6" s="795"/>
      <c r="G6" s="796"/>
    </row>
    <row r="7" spans="1:7" ht="15.95" customHeight="1" x14ac:dyDescent="0.2">
      <c r="B7" s="220"/>
      <c r="C7" s="803" t="s">
        <v>365</v>
      </c>
      <c r="D7" s="33"/>
      <c r="E7" s="33"/>
      <c r="F7" s="33"/>
      <c r="G7" s="33"/>
    </row>
    <row r="8" spans="1:7" ht="20.25" customHeight="1" x14ac:dyDescent="0.2">
      <c r="A8" s="67"/>
      <c r="B8" s="806" t="s">
        <v>562</v>
      </c>
      <c r="C8" s="804"/>
      <c r="D8" s="533"/>
      <c r="E8" s="808" t="s">
        <v>563</v>
      </c>
      <c r="F8" s="808" t="s">
        <v>564</v>
      </c>
      <c r="G8" s="808" t="s">
        <v>565</v>
      </c>
    </row>
    <row r="9" spans="1:7" ht="13.5" x14ac:dyDescent="0.2">
      <c r="A9" s="35" t="s">
        <v>42</v>
      </c>
      <c r="B9" s="807"/>
      <c r="C9" s="805"/>
      <c r="D9" s="534" t="s">
        <v>388</v>
      </c>
      <c r="E9" s="809"/>
      <c r="F9" s="809"/>
      <c r="G9" s="809"/>
    </row>
    <row r="10" spans="1:7" ht="5.0999999999999996" customHeight="1" x14ac:dyDescent="0.2">
      <c r="A10" s="6"/>
      <c r="E10" s="7"/>
      <c r="F10" s="7"/>
      <c r="G10" s="7"/>
    </row>
    <row r="11" spans="1:7" ht="14.1" customHeight="1" x14ac:dyDescent="0.2">
      <c r="A11" s="354" t="s">
        <v>110</v>
      </c>
      <c r="B11" s="352">
        <v>3436226</v>
      </c>
      <c r="C11" s="352">
        <v>100456</v>
      </c>
      <c r="D11" s="352">
        <v>194773</v>
      </c>
      <c r="E11" s="352">
        <v>106992</v>
      </c>
      <c r="F11" s="352">
        <v>110558</v>
      </c>
      <c r="G11" s="352">
        <v>164054</v>
      </c>
    </row>
    <row r="12" spans="1:7" ht="14.1" customHeight="1" x14ac:dyDescent="0.2">
      <c r="A12" s="237" t="s">
        <v>111</v>
      </c>
      <c r="B12" s="151">
        <v>3802549</v>
      </c>
      <c r="C12" s="151">
        <v>0</v>
      </c>
      <c r="D12" s="151">
        <v>390419</v>
      </c>
      <c r="E12" s="151">
        <v>118398</v>
      </c>
      <c r="F12" s="151">
        <v>122345</v>
      </c>
      <c r="G12" s="151">
        <v>181544</v>
      </c>
    </row>
    <row r="13" spans="1:7" ht="14.1" customHeight="1" x14ac:dyDescent="0.2">
      <c r="A13" s="354" t="s">
        <v>112</v>
      </c>
      <c r="B13" s="352">
        <v>16197977</v>
      </c>
      <c r="C13" s="352">
        <v>0</v>
      </c>
      <c r="D13" s="352">
        <v>128540</v>
      </c>
      <c r="E13" s="352">
        <v>508836</v>
      </c>
      <c r="F13" s="352">
        <v>521159</v>
      </c>
      <c r="G13" s="352">
        <v>773334</v>
      </c>
    </row>
    <row r="14" spans="1:7" ht="14.1" customHeight="1" x14ac:dyDescent="0.2">
      <c r="A14" s="237" t="s">
        <v>359</v>
      </c>
      <c r="B14" s="151">
        <v>10251255</v>
      </c>
      <c r="C14" s="151">
        <v>37867</v>
      </c>
      <c r="D14" s="151">
        <v>762331</v>
      </c>
      <c r="E14" s="151">
        <v>319188</v>
      </c>
      <c r="F14" s="151">
        <v>329828</v>
      </c>
      <c r="G14" s="151">
        <v>489422</v>
      </c>
    </row>
    <row r="15" spans="1:7" ht="14.1" customHeight="1" x14ac:dyDescent="0.2">
      <c r="A15" s="354" t="s">
        <v>113</v>
      </c>
      <c r="B15" s="352">
        <v>2626116</v>
      </c>
      <c r="C15" s="352">
        <v>0</v>
      </c>
      <c r="D15" s="352">
        <v>254236</v>
      </c>
      <c r="E15" s="352">
        <v>81768</v>
      </c>
      <c r="F15" s="352">
        <v>84494</v>
      </c>
      <c r="G15" s="352">
        <v>125378</v>
      </c>
    </row>
    <row r="16" spans="1:7" ht="14.1" customHeight="1" x14ac:dyDescent="0.2">
      <c r="A16" s="237" t="s">
        <v>114</v>
      </c>
      <c r="B16" s="151">
        <v>1722545</v>
      </c>
      <c r="C16" s="151">
        <v>45029</v>
      </c>
      <c r="D16" s="151">
        <v>0</v>
      </c>
      <c r="E16" s="151">
        <v>53634</v>
      </c>
      <c r="F16" s="151">
        <v>55422</v>
      </c>
      <c r="G16" s="151">
        <v>82239</v>
      </c>
    </row>
    <row r="17" spans="1:7" ht="14.1" customHeight="1" x14ac:dyDescent="0.2">
      <c r="A17" s="354" t="s">
        <v>115</v>
      </c>
      <c r="B17" s="352">
        <v>2545182</v>
      </c>
      <c r="C17" s="352">
        <v>54071</v>
      </c>
      <c r="D17" s="352">
        <v>276262</v>
      </c>
      <c r="E17" s="352">
        <v>79248</v>
      </c>
      <c r="F17" s="352">
        <v>81890</v>
      </c>
      <c r="G17" s="352">
        <v>121514</v>
      </c>
    </row>
    <row r="18" spans="1:7" ht="14.1" customHeight="1" x14ac:dyDescent="0.2">
      <c r="A18" s="237" t="s">
        <v>116</v>
      </c>
      <c r="B18" s="151">
        <v>4240171</v>
      </c>
      <c r="C18" s="151">
        <v>0</v>
      </c>
      <c r="D18" s="151">
        <v>975782</v>
      </c>
      <c r="E18" s="151">
        <v>132024</v>
      </c>
      <c r="F18" s="151">
        <v>136425</v>
      </c>
      <c r="G18" s="151">
        <v>202437</v>
      </c>
    </row>
    <row r="19" spans="1:7" ht="14.1" customHeight="1" x14ac:dyDescent="0.2">
      <c r="A19" s="354" t="s">
        <v>117</v>
      </c>
      <c r="B19" s="352">
        <v>8454713</v>
      </c>
      <c r="C19" s="352">
        <v>0</v>
      </c>
      <c r="D19" s="352">
        <v>201327</v>
      </c>
      <c r="E19" s="352">
        <v>247417</v>
      </c>
      <c r="F19" s="352">
        <v>272025</v>
      </c>
      <c r="G19" s="352">
        <v>403650</v>
      </c>
    </row>
    <row r="20" spans="1:7" ht="14.1" customHeight="1" x14ac:dyDescent="0.2">
      <c r="A20" s="237" t="s">
        <v>118</v>
      </c>
      <c r="B20" s="151">
        <v>15006705</v>
      </c>
      <c r="C20" s="151">
        <v>0</v>
      </c>
      <c r="D20" s="151">
        <v>241085</v>
      </c>
      <c r="E20" s="151">
        <v>467376</v>
      </c>
      <c r="F20" s="151">
        <v>482831</v>
      </c>
      <c r="G20" s="151">
        <v>716459</v>
      </c>
    </row>
    <row r="21" spans="1:7" ht="14.1" customHeight="1" x14ac:dyDescent="0.2">
      <c r="A21" s="354" t="s">
        <v>119</v>
      </c>
      <c r="B21" s="352">
        <v>5358602</v>
      </c>
      <c r="C21" s="352">
        <v>31376</v>
      </c>
      <c r="D21" s="352">
        <v>468888</v>
      </c>
      <c r="E21" s="352">
        <v>200822</v>
      </c>
      <c r="F21" s="352">
        <v>172410</v>
      </c>
      <c r="G21" s="352">
        <v>255834</v>
      </c>
    </row>
    <row r="22" spans="1:7" ht="14.1" customHeight="1" x14ac:dyDescent="0.2">
      <c r="A22" s="237" t="s">
        <v>120</v>
      </c>
      <c r="B22" s="151">
        <v>2877782</v>
      </c>
      <c r="C22" s="151">
        <v>0</v>
      </c>
      <c r="D22" s="151">
        <v>28043</v>
      </c>
      <c r="E22" s="151">
        <v>89604</v>
      </c>
      <c r="F22" s="151">
        <v>92591</v>
      </c>
      <c r="G22" s="151">
        <v>137393</v>
      </c>
    </row>
    <row r="23" spans="1:7" ht="14.1" customHeight="1" x14ac:dyDescent="0.2">
      <c r="A23" s="354" t="s">
        <v>121</v>
      </c>
      <c r="B23" s="352">
        <v>1840285</v>
      </c>
      <c r="C23" s="352">
        <v>10804</v>
      </c>
      <c r="D23" s="352">
        <v>358507</v>
      </c>
      <c r="E23" s="352">
        <v>57300</v>
      </c>
      <c r="F23" s="352">
        <v>59210</v>
      </c>
      <c r="G23" s="352">
        <v>87860</v>
      </c>
    </row>
    <row r="24" spans="1:7" ht="14.1" customHeight="1" x14ac:dyDescent="0.2">
      <c r="A24" s="237" t="s">
        <v>122</v>
      </c>
      <c r="B24" s="151">
        <v>7352083</v>
      </c>
      <c r="C24" s="151">
        <v>0</v>
      </c>
      <c r="D24" s="151">
        <v>353690</v>
      </c>
      <c r="E24" s="151">
        <v>228588</v>
      </c>
      <c r="F24" s="151">
        <v>236549</v>
      </c>
      <c r="G24" s="151">
        <v>351008</v>
      </c>
    </row>
    <row r="25" spans="1:7" ht="14.1" customHeight="1" x14ac:dyDescent="0.2">
      <c r="A25" s="354" t="s">
        <v>123</v>
      </c>
      <c r="B25" s="352">
        <v>27630675</v>
      </c>
      <c r="C25" s="352">
        <v>37707</v>
      </c>
      <c r="D25" s="352">
        <v>0</v>
      </c>
      <c r="E25" s="352">
        <v>860322</v>
      </c>
      <c r="F25" s="352">
        <v>888999</v>
      </c>
      <c r="G25" s="352">
        <v>1319160</v>
      </c>
    </row>
    <row r="26" spans="1:7" ht="14.1" customHeight="1" x14ac:dyDescent="0.2">
      <c r="A26" s="237" t="s">
        <v>124</v>
      </c>
      <c r="B26" s="151">
        <v>5484627</v>
      </c>
      <c r="C26" s="151">
        <v>3022</v>
      </c>
      <c r="D26" s="151">
        <v>540476</v>
      </c>
      <c r="E26" s="151">
        <v>170772</v>
      </c>
      <c r="F26" s="151">
        <v>176464</v>
      </c>
      <c r="G26" s="151">
        <v>261850</v>
      </c>
    </row>
    <row r="27" spans="1:7" ht="14.1" customHeight="1" x14ac:dyDescent="0.2">
      <c r="A27" s="354" t="s">
        <v>125</v>
      </c>
      <c r="B27" s="352">
        <v>5749975</v>
      </c>
      <c r="C27" s="352">
        <v>0</v>
      </c>
      <c r="D27" s="352">
        <v>0</v>
      </c>
      <c r="E27" s="352">
        <v>179034</v>
      </c>
      <c r="F27" s="352">
        <v>185002</v>
      </c>
      <c r="G27" s="352">
        <v>274519</v>
      </c>
    </row>
    <row r="28" spans="1:7" ht="14.1" customHeight="1" x14ac:dyDescent="0.2">
      <c r="A28" s="237" t="s">
        <v>126</v>
      </c>
      <c r="B28" s="151">
        <v>2820357</v>
      </c>
      <c r="C28" s="151">
        <v>60273</v>
      </c>
      <c r="D28" s="151">
        <v>509659</v>
      </c>
      <c r="E28" s="151">
        <v>87816</v>
      </c>
      <c r="F28" s="151">
        <v>90743</v>
      </c>
      <c r="G28" s="151">
        <v>134651</v>
      </c>
    </row>
    <row r="29" spans="1:7" ht="14.1" customHeight="1" x14ac:dyDescent="0.2">
      <c r="A29" s="354" t="s">
        <v>127</v>
      </c>
      <c r="B29" s="352">
        <v>25422333</v>
      </c>
      <c r="C29" s="352">
        <v>44644</v>
      </c>
      <c r="D29" s="352">
        <v>0</v>
      </c>
      <c r="E29" s="352">
        <v>791562</v>
      </c>
      <c r="F29" s="352">
        <v>817947</v>
      </c>
      <c r="G29" s="352">
        <v>1213728</v>
      </c>
    </row>
    <row r="30" spans="1:7" ht="14.1" customHeight="1" x14ac:dyDescent="0.2">
      <c r="A30" s="237" t="s">
        <v>128</v>
      </c>
      <c r="B30" s="151">
        <v>1940874</v>
      </c>
      <c r="C30" s="151">
        <v>55782</v>
      </c>
      <c r="D30" s="151">
        <v>326744</v>
      </c>
      <c r="E30" s="151">
        <v>60432</v>
      </c>
      <c r="F30" s="151">
        <v>62446</v>
      </c>
      <c r="G30" s="151">
        <v>92662</v>
      </c>
    </row>
    <row r="31" spans="1:7" ht="14.1" customHeight="1" x14ac:dyDescent="0.2">
      <c r="A31" s="354" t="s">
        <v>129</v>
      </c>
      <c r="B31" s="352">
        <v>5991814</v>
      </c>
      <c r="C31" s="352">
        <v>0</v>
      </c>
      <c r="D31" s="352">
        <v>199924</v>
      </c>
      <c r="E31" s="352">
        <v>148793</v>
      </c>
      <c r="F31" s="352">
        <v>192783</v>
      </c>
      <c r="G31" s="352">
        <v>286065</v>
      </c>
    </row>
    <row r="32" spans="1:7" ht="14.1" customHeight="1" x14ac:dyDescent="0.2">
      <c r="A32" s="237" t="s">
        <v>130</v>
      </c>
      <c r="B32" s="151">
        <v>4209146</v>
      </c>
      <c r="C32" s="151">
        <v>0</v>
      </c>
      <c r="D32" s="151">
        <v>624364</v>
      </c>
      <c r="E32" s="151">
        <v>131058</v>
      </c>
      <c r="F32" s="151">
        <v>135427</v>
      </c>
      <c r="G32" s="151">
        <v>200956</v>
      </c>
    </row>
    <row r="33" spans="1:7" ht="14.1" customHeight="1" x14ac:dyDescent="0.2">
      <c r="A33" s="354" t="s">
        <v>131</v>
      </c>
      <c r="B33" s="352">
        <v>3965381</v>
      </c>
      <c r="C33" s="352">
        <v>32630</v>
      </c>
      <c r="D33" s="352">
        <v>816779</v>
      </c>
      <c r="E33" s="352">
        <v>123468</v>
      </c>
      <c r="F33" s="352">
        <v>127584</v>
      </c>
      <c r="G33" s="352">
        <v>189318</v>
      </c>
    </row>
    <row r="34" spans="1:7" ht="14.1" customHeight="1" x14ac:dyDescent="0.2">
      <c r="A34" s="237" t="s">
        <v>132</v>
      </c>
      <c r="B34" s="151">
        <v>4042461</v>
      </c>
      <c r="C34" s="151">
        <v>85720</v>
      </c>
      <c r="D34" s="151">
        <v>600575</v>
      </c>
      <c r="E34" s="151">
        <v>108232</v>
      </c>
      <c r="F34" s="151">
        <v>130064</v>
      </c>
      <c r="G34" s="151">
        <v>192998</v>
      </c>
    </row>
    <row r="35" spans="1:7" ht="14.1" customHeight="1" x14ac:dyDescent="0.2">
      <c r="A35" s="354" t="s">
        <v>133</v>
      </c>
      <c r="B35" s="352">
        <v>30279915</v>
      </c>
      <c r="C35" s="352">
        <v>0</v>
      </c>
      <c r="D35" s="352">
        <v>0</v>
      </c>
      <c r="E35" s="352">
        <v>912752</v>
      </c>
      <c r="F35" s="352">
        <v>974237</v>
      </c>
      <c r="G35" s="352">
        <v>1445642</v>
      </c>
    </row>
    <row r="36" spans="1:7" ht="14.1" customHeight="1" x14ac:dyDescent="0.2">
      <c r="A36" s="237" t="s">
        <v>134</v>
      </c>
      <c r="B36" s="151">
        <v>3036181</v>
      </c>
      <c r="C36" s="151">
        <v>66450</v>
      </c>
      <c r="D36" s="151">
        <v>468014</v>
      </c>
      <c r="E36" s="151">
        <v>94536</v>
      </c>
      <c r="F36" s="151">
        <v>97687</v>
      </c>
      <c r="G36" s="151">
        <v>144955</v>
      </c>
    </row>
    <row r="37" spans="1:7" ht="14.1" customHeight="1" x14ac:dyDescent="0.2">
      <c r="A37" s="354" t="s">
        <v>135</v>
      </c>
      <c r="B37" s="352">
        <v>8066615</v>
      </c>
      <c r="C37" s="352">
        <v>0</v>
      </c>
      <c r="D37" s="352">
        <v>454001</v>
      </c>
      <c r="E37" s="352">
        <v>251166</v>
      </c>
      <c r="F37" s="352">
        <v>259538</v>
      </c>
      <c r="G37" s="352">
        <v>385121</v>
      </c>
    </row>
    <row r="38" spans="1:7" ht="14.1" customHeight="1" x14ac:dyDescent="0.2">
      <c r="A38" s="237" t="s">
        <v>136</v>
      </c>
      <c r="B38" s="151">
        <v>21149210</v>
      </c>
      <c r="C38" s="151">
        <v>0</v>
      </c>
      <c r="D38" s="151">
        <v>0</v>
      </c>
      <c r="E38" s="151">
        <v>658512</v>
      </c>
      <c r="F38" s="151">
        <v>680462</v>
      </c>
      <c r="G38" s="151">
        <v>1009718</v>
      </c>
    </row>
    <row r="39" spans="1:7" ht="14.1" customHeight="1" x14ac:dyDescent="0.2">
      <c r="A39" s="354" t="s">
        <v>137</v>
      </c>
      <c r="B39" s="352">
        <v>2915551</v>
      </c>
      <c r="C39" s="352">
        <v>0</v>
      </c>
      <c r="D39" s="352">
        <v>535875</v>
      </c>
      <c r="E39" s="352">
        <v>90780</v>
      </c>
      <c r="F39" s="352">
        <v>93806</v>
      </c>
      <c r="G39" s="352">
        <v>139196</v>
      </c>
    </row>
    <row r="40" spans="1:7" ht="14.1" customHeight="1" x14ac:dyDescent="0.2">
      <c r="A40" s="237" t="s">
        <v>138</v>
      </c>
      <c r="B40" s="151">
        <v>15364549</v>
      </c>
      <c r="C40" s="151">
        <v>0</v>
      </c>
      <c r="D40" s="151">
        <v>0</v>
      </c>
      <c r="E40" s="151">
        <v>478398</v>
      </c>
      <c r="F40" s="151">
        <v>494345</v>
      </c>
      <c r="G40" s="151">
        <v>733544</v>
      </c>
    </row>
    <row r="41" spans="1:7" ht="14.1" customHeight="1" x14ac:dyDescent="0.2">
      <c r="A41" s="354" t="s">
        <v>139</v>
      </c>
      <c r="B41" s="352">
        <v>8480218</v>
      </c>
      <c r="C41" s="352">
        <v>0</v>
      </c>
      <c r="D41" s="352">
        <v>477741</v>
      </c>
      <c r="E41" s="352">
        <v>264120</v>
      </c>
      <c r="F41" s="352">
        <v>272924</v>
      </c>
      <c r="G41" s="352">
        <v>404984</v>
      </c>
    </row>
    <row r="42" spans="1:7" ht="14.1" customHeight="1" x14ac:dyDescent="0.2">
      <c r="A42" s="237" t="s">
        <v>140</v>
      </c>
      <c r="B42" s="151">
        <v>2639027</v>
      </c>
      <c r="C42" s="151">
        <v>14660</v>
      </c>
      <c r="D42" s="151">
        <v>267110</v>
      </c>
      <c r="E42" s="151">
        <v>82170</v>
      </c>
      <c r="F42" s="151">
        <v>84909</v>
      </c>
      <c r="G42" s="151">
        <v>125994</v>
      </c>
    </row>
    <row r="43" spans="1:7" ht="14.1" customHeight="1" x14ac:dyDescent="0.2">
      <c r="A43" s="354" t="s">
        <v>141</v>
      </c>
      <c r="B43" s="352">
        <v>1867263</v>
      </c>
      <c r="C43" s="352">
        <v>39806</v>
      </c>
      <c r="D43" s="352">
        <v>245669</v>
      </c>
      <c r="E43" s="352">
        <v>58140</v>
      </c>
      <c r="F43" s="352">
        <v>60078</v>
      </c>
      <c r="G43" s="352">
        <v>89148</v>
      </c>
    </row>
    <row r="44" spans="1:7" ht="14.1" customHeight="1" x14ac:dyDescent="0.2">
      <c r="A44" s="237" t="s">
        <v>142</v>
      </c>
      <c r="B44" s="151">
        <v>1336953</v>
      </c>
      <c r="C44" s="151">
        <v>50592</v>
      </c>
      <c r="D44" s="151">
        <v>295992</v>
      </c>
      <c r="E44" s="151">
        <v>41628</v>
      </c>
      <c r="F44" s="151">
        <v>43016</v>
      </c>
      <c r="G44" s="151">
        <v>63830</v>
      </c>
    </row>
    <row r="45" spans="1:7" ht="14.1" customHeight="1" x14ac:dyDescent="0.2">
      <c r="A45" s="354" t="s">
        <v>143</v>
      </c>
      <c r="B45" s="352">
        <v>3276671</v>
      </c>
      <c r="C45" s="352">
        <v>0</v>
      </c>
      <c r="D45" s="352">
        <v>0</v>
      </c>
      <c r="E45" s="352">
        <v>102024</v>
      </c>
      <c r="F45" s="352">
        <v>105425</v>
      </c>
      <c r="G45" s="352">
        <v>156437</v>
      </c>
    </row>
    <row r="46" spans="1:7" ht="14.1" customHeight="1" x14ac:dyDescent="0.2">
      <c r="A46" s="237" t="s">
        <v>144</v>
      </c>
      <c r="B46" s="151">
        <v>57173512</v>
      </c>
      <c r="C46" s="151">
        <v>25759</v>
      </c>
      <c r="D46" s="151">
        <v>0</v>
      </c>
      <c r="E46" s="151">
        <v>1745826</v>
      </c>
      <c r="F46" s="151">
        <v>1839521</v>
      </c>
      <c r="G46" s="151">
        <v>2729612</v>
      </c>
    </row>
    <row r="47" spans="1:7" ht="5.0999999999999996" customHeight="1" x14ac:dyDescent="0.2">
      <c r="A47" s="130"/>
      <c r="B47" s="152"/>
      <c r="C47" s="152"/>
      <c r="D47" s="152"/>
      <c r="E47" s="152"/>
      <c r="F47" s="152"/>
      <c r="G47" s="152"/>
    </row>
    <row r="48" spans="1:7" ht="14.1" customHeight="1" x14ac:dyDescent="0.2">
      <c r="A48" s="355" t="s">
        <v>145</v>
      </c>
      <c r="B48" s="356">
        <f t="shared" ref="B48:G48" si="0">SUM(B11:B46)</f>
        <v>328555499</v>
      </c>
      <c r="C48" s="356">
        <f t="shared" si="0"/>
        <v>796648</v>
      </c>
      <c r="D48" s="356">
        <f t="shared" si="0"/>
        <v>10996806</v>
      </c>
      <c r="E48" s="356">
        <f t="shared" si="0"/>
        <v>10132736</v>
      </c>
      <c r="F48" s="356">
        <f t="shared" si="0"/>
        <v>10571144</v>
      </c>
      <c r="G48" s="356">
        <f t="shared" si="0"/>
        <v>15686214</v>
      </c>
    </row>
    <row r="49" spans="1:7" ht="5.0999999999999996" customHeight="1" x14ac:dyDescent="0.2">
      <c r="A49" s="130" t="s">
        <v>7</v>
      </c>
      <c r="B49" s="152"/>
      <c r="C49" s="152"/>
      <c r="D49" s="152"/>
      <c r="E49" s="152"/>
      <c r="F49" s="152"/>
      <c r="G49" s="152"/>
    </row>
    <row r="50" spans="1:7" ht="14.1" customHeight="1" x14ac:dyDescent="0.2">
      <c r="A50" s="237" t="s">
        <v>146</v>
      </c>
      <c r="B50" s="151">
        <v>192010</v>
      </c>
      <c r="C50" s="151">
        <v>57990</v>
      </c>
      <c r="D50" s="151">
        <v>0</v>
      </c>
      <c r="E50" s="151">
        <v>9240</v>
      </c>
      <c r="F50" s="151">
        <v>9548</v>
      </c>
      <c r="G50" s="151">
        <v>14168</v>
      </c>
    </row>
    <row r="51" spans="1:7" ht="14.1" customHeight="1" x14ac:dyDescent="0.2">
      <c r="A51" s="354" t="s">
        <v>601</v>
      </c>
      <c r="B51" s="352">
        <v>0</v>
      </c>
      <c r="C51" s="352">
        <v>0</v>
      </c>
      <c r="D51" s="352">
        <v>0</v>
      </c>
      <c r="E51" s="352">
        <v>0</v>
      </c>
      <c r="F51" s="352">
        <v>0</v>
      </c>
      <c r="G51" s="352">
        <v>0</v>
      </c>
    </row>
    <row r="52" spans="1:7" ht="50.1" customHeight="1" x14ac:dyDescent="0.2">
      <c r="A52" s="23"/>
      <c r="B52" s="23"/>
      <c r="C52" s="23"/>
      <c r="D52" s="23"/>
      <c r="E52" s="23"/>
      <c r="F52" s="23"/>
      <c r="G52" s="23"/>
    </row>
    <row r="53" spans="1:7" ht="15" customHeight="1" x14ac:dyDescent="0.2">
      <c r="A53" s="38" t="str">
        <f>"(1)  Based on a grant per eligible pupil at "&amp;Data!C89&amp;" "&amp;Data!B89</f>
        <v>(1)  Based on a grant per eligible pupil at September 30, 2017</v>
      </c>
      <c r="D53" s="38"/>
      <c r="E53" s="38"/>
      <c r="F53" s="38"/>
      <c r="G53" s="38"/>
    </row>
    <row r="54" spans="1:7" ht="12" customHeight="1" x14ac:dyDescent="0.2">
      <c r="A54" s="38" t="s">
        <v>357</v>
      </c>
      <c r="D54" s="38"/>
      <c r="E54" s="38"/>
      <c r="F54" s="38"/>
      <c r="G54" s="38"/>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1">
    <pageSetUpPr fitToPage="1"/>
  </sheetPr>
  <dimension ref="A1:G54"/>
  <sheetViews>
    <sheetView showGridLines="0" showZeros="0" workbookViewId="0"/>
  </sheetViews>
  <sheetFormatPr defaultColWidth="19.83203125" defaultRowHeight="12" x14ac:dyDescent="0.2"/>
  <cols>
    <col min="1" max="1" width="32.83203125" style="2" customWidth="1"/>
    <col min="2" max="2" width="16.33203125" style="2" customWidth="1"/>
    <col min="3" max="3" width="16.6640625" style="2" customWidth="1"/>
    <col min="4" max="4" width="18.33203125" style="2" customWidth="1"/>
    <col min="5" max="5" width="15.83203125" style="2" customWidth="1"/>
    <col min="6" max="6" width="15.1640625" style="2" customWidth="1"/>
    <col min="7" max="7" width="15.83203125" style="2" customWidth="1"/>
    <col min="8" max="16384" width="19.83203125" style="2"/>
  </cols>
  <sheetData>
    <row r="1" spans="1:7" ht="6.95" customHeight="1" x14ac:dyDescent="0.2">
      <c r="A1" s="7"/>
      <c r="B1" s="7"/>
      <c r="C1" s="7"/>
      <c r="D1" s="7"/>
      <c r="E1" s="7"/>
      <c r="F1" s="7"/>
      <c r="G1" s="7"/>
    </row>
    <row r="2" spans="1:7" ht="15.95" customHeight="1" x14ac:dyDescent="0.2">
      <c r="A2" s="261"/>
      <c r="B2" s="266" t="str">
        <f>REVYEAR</f>
        <v>ANALYSIS OF OPERATING FUND REVENUE: 2018/2019 ACTUAL</v>
      </c>
      <c r="C2" s="267"/>
      <c r="D2" s="264"/>
      <c r="E2" s="264"/>
      <c r="F2" s="268"/>
      <c r="G2" s="215" t="s">
        <v>99</v>
      </c>
    </row>
    <row r="3" spans="1:7" ht="15.95" customHeight="1" x14ac:dyDescent="0.2">
      <c r="A3" s="537"/>
      <c r="B3" s="205"/>
      <c r="C3" s="7"/>
      <c r="D3" s="7"/>
      <c r="E3" s="7"/>
      <c r="F3" s="7"/>
      <c r="G3" s="7"/>
    </row>
    <row r="4" spans="1:7" ht="15.95" customHeight="1" x14ac:dyDescent="0.2">
      <c r="B4" s="810" t="s">
        <v>571</v>
      </c>
      <c r="C4" s="798"/>
      <c r="D4" s="798"/>
      <c r="E4" s="798"/>
      <c r="F4" s="798"/>
      <c r="G4" s="799"/>
    </row>
    <row r="5" spans="1:7" ht="15.95" customHeight="1" x14ac:dyDescent="0.2">
      <c r="B5" s="800"/>
      <c r="C5" s="801"/>
      <c r="D5" s="801"/>
      <c r="E5" s="801"/>
      <c r="F5" s="801"/>
      <c r="G5" s="802"/>
    </row>
    <row r="6" spans="1:7" ht="15.95" customHeight="1" x14ac:dyDescent="0.2">
      <c r="B6" s="811" t="s">
        <v>51</v>
      </c>
      <c r="C6" s="812"/>
      <c r="D6" s="812"/>
      <c r="E6" s="812"/>
      <c r="F6" s="812"/>
      <c r="G6" s="813"/>
    </row>
    <row r="7" spans="1:7" ht="12.6" customHeight="1" x14ac:dyDescent="0.2">
      <c r="B7" s="220"/>
      <c r="C7" s="33"/>
      <c r="D7" s="33"/>
      <c r="E7" s="33"/>
      <c r="F7" s="33"/>
      <c r="G7" s="703" t="s">
        <v>570</v>
      </c>
    </row>
    <row r="8" spans="1:7" ht="18" customHeight="1" x14ac:dyDescent="0.2">
      <c r="A8" s="67"/>
      <c r="B8" s="806" t="s">
        <v>606</v>
      </c>
      <c r="C8" s="808" t="s">
        <v>567</v>
      </c>
      <c r="D8" s="808" t="s">
        <v>568</v>
      </c>
      <c r="E8" s="808" t="s">
        <v>569</v>
      </c>
      <c r="F8" s="269"/>
      <c r="G8" s="808"/>
    </row>
    <row r="9" spans="1:7" ht="15.95" customHeight="1" x14ac:dyDescent="0.2">
      <c r="A9" s="35" t="s">
        <v>42</v>
      </c>
      <c r="B9" s="807"/>
      <c r="C9" s="809"/>
      <c r="D9" s="809"/>
      <c r="E9" s="809"/>
      <c r="F9" s="83" t="s">
        <v>66</v>
      </c>
      <c r="G9" s="809"/>
    </row>
    <row r="10" spans="1:7" ht="5.0999999999999996" customHeight="1" x14ac:dyDescent="0.2">
      <c r="A10" s="6"/>
      <c r="B10" s="7"/>
      <c r="F10" s="7"/>
      <c r="G10" s="7"/>
    </row>
    <row r="11" spans="1:7" ht="14.1" customHeight="1" x14ac:dyDescent="0.2">
      <c r="A11" s="354" t="s">
        <v>110</v>
      </c>
      <c r="B11" s="352">
        <v>557824</v>
      </c>
      <c r="C11" s="352">
        <v>148006</v>
      </c>
      <c r="D11" s="352">
        <v>82027</v>
      </c>
      <c r="E11" s="352">
        <v>34000</v>
      </c>
      <c r="F11" s="352">
        <v>889200</v>
      </c>
      <c r="G11" s="352">
        <f>SUM('- 57 -'!$B11:G11,B11:F11)</f>
        <v>5824116</v>
      </c>
    </row>
    <row r="12" spans="1:7" ht="14.1" customHeight="1" x14ac:dyDescent="0.2">
      <c r="A12" s="237" t="s">
        <v>111</v>
      </c>
      <c r="B12" s="151">
        <v>664579</v>
      </c>
      <c r="C12" s="151">
        <v>163784</v>
      </c>
      <c r="D12" s="151">
        <v>90772</v>
      </c>
      <c r="E12" s="151">
        <v>41588</v>
      </c>
      <c r="F12" s="151">
        <v>1220085</v>
      </c>
      <c r="G12" s="151">
        <f>SUM('- 57 -'!$B12:G12,B12:F12)</f>
        <v>6796063</v>
      </c>
    </row>
    <row r="13" spans="1:7" ht="14.1" customHeight="1" x14ac:dyDescent="0.2">
      <c r="A13" s="354" t="s">
        <v>112</v>
      </c>
      <c r="B13" s="352">
        <v>2865320</v>
      </c>
      <c r="C13" s="352">
        <v>697684</v>
      </c>
      <c r="D13" s="352">
        <v>386672</v>
      </c>
      <c r="E13" s="352">
        <v>186000</v>
      </c>
      <c r="F13" s="352">
        <v>3005330</v>
      </c>
      <c r="G13" s="352">
        <f>SUM('- 57 -'!$B13:G13,B13:F13)</f>
        <v>25270852</v>
      </c>
    </row>
    <row r="14" spans="1:7" ht="14.1" customHeight="1" x14ac:dyDescent="0.2">
      <c r="A14" s="237" t="s">
        <v>359</v>
      </c>
      <c r="B14" s="151">
        <v>1691545</v>
      </c>
      <c r="C14" s="151">
        <v>441543</v>
      </c>
      <c r="D14" s="151">
        <v>207472</v>
      </c>
      <c r="E14" s="151">
        <v>88625</v>
      </c>
      <c r="F14" s="151">
        <v>2743695</v>
      </c>
      <c r="G14" s="151">
        <f>SUM('- 57 -'!$B14:G14,B14:F14)</f>
        <v>17362771</v>
      </c>
    </row>
    <row r="15" spans="1:7" ht="14.1" customHeight="1" x14ac:dyDescent="0.2">
      <c r="A15" s="354" t="s">
        <v>113</v>
      </c>
      <c r="B15" s="352">
        <v>458287</v>
      </c>
      <c r="C15" s="352">
        <v>113112</v>
      </c>
      <c r="D15" s="352">
        <v>53149</v>
      </c>
      <c r="E15" s="352">
        <v>34125</v>
      </c>
      <c r="F15" s="352">
        <v>847305</v>
      </c>
      <c r="G15" s="352">
        <f>SUM('- 57 -'!$B15:G15,B15:F15)</f>
        <v>4677970</v>
      </c>
    </row>
    <row r="16" spans="1:7" ht="14.1" customHeight="1" x14ac:dyDescent="0.2">
      <c r="A16" s="237" t="s">
        <v>114</v>
      </c>
      <c r="B16" s="151">
        <v>320328</v>
      </c>
      <c r="C16" s="151">
        <v>74194</v>
      </c>
      <c r="D16" s="151">
        <v>45589</v>
      </c>
      <c r="E16" s="151">
        <v>22875</v>
      </c>
      <c r="F16" s="151">
        <v>591660</v>
      </c>
      <c r="G16" s="151">
        <f>SUM('- 57 -'!$B16:G16,B16:F16)</f>
        <v>3013515</v>
      </c>
    </row>
    <row r="17" spans="1:7" ht="14.1" customHeight="1" x14ac:dyDescent="0.2">
      <c r="A17" s="354" t="s">
        <v>115</v>
      </c>
      <c r="B17" s="352">
        <v>420700</v>
      </c>
      <c r="C17" s="352">
        <v>109626</v>
      </c>
      <c r="D17" s="352">
        <v>60757</v>
      </c>
      <c r="E17" s="352">
        <v>25000</v>
      </c>
      <c r="F17" s="352">
        <v>846450</v>
      </c>
      <c r="G17" s="352">
        <f>SUM('- 57 -'!$B17:G17,B17:F17)</f>
        <v>4620700</v>
      </c>
    </row>
    <row r="18" spans="1:7" ht="14.1" customHeight="1" x14ac:dyDescent="0.2">
      <c r="A18" s="237" t="s">
        <v>116</v>
      </c>
      <c r="B18" s="151">
        <v>1334727</v>
      </c>
      <c r="C18" s="151">
        <v>182633</v>
      </c>
      <c r="D18" s="151">
        <v>85816</v>
      </c>
      <c r="E18" s="151">
        <v>27375</v>
      </c>
      <c r="F18" s="151">
        <v>4177530</v>
      </c>
      <c r="G18" s="151">
        <f>SUM('- 57 -'!$B18:G18,B18:F18)</f>
        <v>11494920</v>
      </c>
    </row>
    <row r="19" spans="1:7" ht="14.1" customHeight="1" x14ac:dyDescent="0.2">
      <c r="A19" s="354" t="s">
        <v>117</v>
      </c>
      <c r="B19" s="352">
        <v>1408003</v>
      </c>
      <c r="C19" s="352">
        <v>364163</v>
      </c>
      <c r="D19" s="352">
        <v>201825</v>
      </c>
      <c r="E19" s="352">
        <v>92050</v>
      </c>
      <c r="F19" s="352">
        <v>1686060</v>
      </c>
      <c r="G19" s="352">
        <f>SUM('- 57 -'!$B19:G19,B19:F19)</f>
        <v>13331233</v>
      </c>
    </row>
    <row r="20" spans="1:7" ht="14.1" customHeight="1" x14ac:dyDescent="0.2">
      <c r="A20" s="237" t="s">
        <v>118</v>
      </c>
      <c r="B20" s="151">
        <v>2569844</v>
      </c>
      <c r="C20" s="151">
        <v>646371</v>
      </c>
      <c r="D20" s="151">
        <v>303716</v>
      </c>
      <c r="E20" s="151">
        <v>144625</v>
      </c>
      <c r="F20" s="151">
        <v>2791575</v>
      </c>
      <c r="G20" s="151">
        <f>SUM('- 57 -'!$B20:G20,B20:F20)</f>
        <v>23370587</v>
      </c>
    </row>
    <row r="21" spans="1:7" ht="14.1" customHeight="1" x14ac:dyDescent="0.2">
      <c r="A21" s="354" t="s">
        <v>119</v>
      </c>
      <c r="B21" s="352">
        <v>893020</v>
      </c>
      <c r="C21" s="352">
        <v>230806</v>
      </c>
      <c r="D21" s="352">
        <v>108451</v>
      </c>
      <c r="E21" s="352">
        <v>53625</v>
      </c>
      <c r="F21" s="352">
        <v>1527030</v>
      </c>
      <c r="G21" s="352">
        <f>SUM('- 57 -'!$B21:G21,B21:F21)</f>
        <v>9300864</v>
      </c>
    </row>
    <row r="22" spans="1:7" ht="14.1" customHeight="1" x14ac:dyDescent="0.2">
      <c r="A22" s="237" t="s">
        <v>120</v>
      </c>
      <c r="B22" s="151">
        <v>511762</v>
      </c>
      <c r="C22" s="151">
        <v>123952</v>
      </c>
      <c r="D22" s="151">
        <v>76163</v>
      </c>
      <c r="E22" s="151">
        <v>31250</v>
      </c>
      <c r="F22" s="151">
        <v>919980</v>
      </c>
      <c r="G22" s="151">
        <f>SUM('- 57 -'!$B22:G22,B22:F22)</f>
        <v>4888520</v>
      </c>
    </row>
    <row r="23" spans="1:7" ht="14.1" customHeight="1" x14ac:dyDescent="0.2">
      <c r="A23" s="354" t="s">
        <v>121</v>
      </c>
      <c r="B23" s="352">
        <v>341365</v>
      </c>
      <c r="C23" s="352">
        <v>79265</v>
      </c>
      <c r="D23" s="352">
        <v>43930</v>
      </c>
      <c r="E23" s="352">
        <v>17875</v>
      </c>
      <c r="F23" s="352">
        <v>796860</v>
      </c>
      <c r="G23" s="352">
        <f>SUM('- 57 -'!$B23:G23,B23:F23)</f>
        <v>3693261</v>
      </c>
    </row>
    <row r="24" spans="1:7" ht="14.1" customHeight="1" x14ac:dyDescent="0.2">
      <c r="A24" s="237" t="s">
        <v>122</v>
      </c>
      <c r="B24" s="151">
        <v>1285955</v>
      </c>
      <c r="C24" s="151">
        <v>316670</v>
      </c>
      <c r="D24" s="151">
        <v>148797</v>
      </c>
      <c r="E24" s="151">
        <v>91750</v>
      </c>
      <c r="F24" s="151">
        <v>2008395</v>
      </c>
      <c r="G24" s="151">
        <f>SUM('- 57 -'!$B24:G24,B24:F24)</f>
        <v>12373485</v>
      </c>
    </row>
    <row r="25" spans="1:7" ht="14.1" customHeight="1" x14ac:dyDescent="0.2">
      <c r="A25" s="354" t="s">
        <v>123</v>
      </c>
      <c r="B25" s="352">
        <v>4962612</v>
      </c>
      <c r="C25" s="352">
        <v>1190112</v>
      </c>
      <c r="D25" s="352">
        <v>559209</v>
      </c>
      <c r="E25" s="352">
        <v>309500</v>
      </c>
      <c r="F25" s="352">
        <v>6480045</v>
      </c>
      <c r="G25" s="352">
        <f>SUM('- 57 -'!$B25:G25,B25:F25)</f>
        <v>44238341</v>
      </c>
    </row>
    <row r="26" spans="1:7" ht="14.1" customHeight="1" x14ac:dyDescent="0.2">
      <c r="A26" s="237" t="s">
        <v>124</v>
      </c>
      <c r="B26" s="151">
        <v>992665</v>
      </c>
      <c r="C26" s="151">
        <v>236235</v>
      </c>
      <c r="D26" s="151">
        <v>130925</v>
      </c>
      <c r="E26" s="151">
        <v>59013</v>
      </c>
      <c r="F26" s="151">
        <v>2259765</v>
      </c>
      <c r="G26" s="151">
        <f>SUM('- 57 -'!$B26:G26,B26:F26)</f>
        <v>10315814</v>
      </c>
    </row>
    <row r="27" spans="1:7" ht="14.1" customHeight="1" x14ac:dyDescent="0.2">
      <c r="A27" s="354" t="s">
        <v>125</v>
      </c>
      <c r="B27" s="352">
        <v>1103975</v>
      </c>
      <c r="C27" s="352">
        <v>247664</v>
      </c>
      <c r="D27" s="352">
        <v>152179</v>
      </c>
      <c r="E27" s="352">
        <v>63750</v>
      </c>
      <c r="F27" s="352">
        <v>1286775</v>
      </c>
      <c r="G27" s="352">
        <f>SUM('- 57 -'!$B27:G27,B27:F27)</f>
        <v>9242873</v>
      </c>
    </row>
    <row r="28" spans="1:7" ht="14.1" customHeight="1" x14ac:dyDescent="0.2">
      <c r="A28" s="237" t="s">
        <v>126</v>
      </c>
      <c r="B28" s="151">
        <v>475900</v>
      </c>
      <c r="C28" s="151">
        <v>121479</v>
      </c>
      <c r="D28" s="151">
        <v>67326</v>
      </c>
      <c r="E28" s="151">
        <v>31375</v>
      </c>
      <c r="F28" s="151">
        <v>1276515</v>
      </c>
      <c r="G28" s="151">
        <f>SUM('- 57 -'!$B28:G28,B28:F28)</f>
        <v>5676094</v>
      </c>
    </row>
    <row r="29" spans="1:7" ht="14.1" customHeight="1" x14ac:dyDescent="0.2">
      <c r="A29" s="354" t="s">
        <v>127</v>
      </c>
      <c r="B29" s="352">
        <v>4275267</v>
      </c>
      <c r="C29" s="352">
        <v>1094994</v>
      </c>
      <c r="D29" s="352">
        <v>514515</v>
      </c>
      <c r="E29" s="352">
        <v>295563</v>
      </c>
      <c r="F29" s="352">
        <v>5126580</v>
      </c>
      <c r="G29" s="352">
        <f>SUM('- 57 -'!$B29:G29,B29:F29)</f>
        <v>39597133</v>
      </c>
    </row>
    <row r="30" spans="1:7" ht="14.1" customHeight="1" x14ac:dyDescent="0.2">
      <c r="A30" s="237" t="s">
        <v>128</v>
      </c>
      <c r="B30" s="151">
        <v>332115</v>
      </c>
      <c r="C30" s="151">
        <v>83598</v>
      </c>
      <c r="D30" s="151">
        <v>46331</v>
      </c>
      <c r="E30" s="151">
        <v>19750</v>
      </c>
      <c r="F30" s="151">
        <v>789165</v>
      </c>
      <c r="G30" s="151">
        <f>SUM('- 57 -'!$B30:G30,B30:F30)</f>
        <v>3809899</v>
      </c>
    </row>
    <row r="31" spans="1:7" ht="14.1" customHeight="1" x14ac:dyDescent="0.2">
      <c r="A31" s="354" t="s">
        <v>129</v>
      </c>
      <c r="B31" s="352">
        <v>1086754</v>
      </c>
      <c r="C31" s="352">
        <v>258080</v>
      </c>
      <c r="D31" s="352">
        <v>121267</v>
      </c>
      <c r="E31" s="352">
        <v>71625</v>
      </c>
      <c r="F31" s="352">
        <v>1792935</v>
      </c>
      <c r="G31" s="352">
        <f>SUM('- 57 -'!$B31:G31,B31:F31)</f>
        <v>10150040</v>
      </c>
    </row>
    <row r="32" spans="1:7" ht="14.1" customHeight="1" x14ac:dyDescent="0.2">
      <c r="A32" s="237" t="s">
        <v>130</v>
      </c>
      <c r="B32" s="151">
        <v>700300</v>
      </c>
      <c r="C32" s="151">
        <v>181297</v>
      </c>
      <c r="D32" s="151">
        <v>85188</v>
      </c>
      <c r="E32" s="151">
        <v>35875</v>
      </c>
      <c r="F32" s="151">
        <v>1404765</v>
      </c>
      <c r="G32" s="151">
        <f>SUM('- 57 -'!$B32:G32,B32:F32)</f>
        <v>7708376</v>
      </c>
    </row>
    <row r="33" spans="1:7" ht="14.1" customHeight="1" x14ac:dyDescent="0.2">
      <c r="A33" s="354" t="s">
        <v>131</v>
      </c>
      <c r="B33" s="352">
        <v>639146</v>
      </c>
      <c r="C33" s="352">
        <v>170797</v>
      </c>
      <c r="D33" s="352">
        <v>94659</v>
      </c>
      <c r="E33" s="352">
        <v>41750</v>
      </c>
      <c r="F33" s="352">
        <v>1739925</v>
      </c>
      <c r="G33" s="352">
        <f>SUM('- 57 -'!$B33:G33,B33:F33)</f>
        <v>7941437</v>
      </c>
    </row>
    <row r="34" spans="1:7" ht="14.1" customHeight="1" x14ac:dyDescent="0.2">
      <c r="A34" s="237" t="s">
        <v>132</v>
      </c>
      <c r="B34" s="151">
        <v>668243</v>
      </c>
      <c r="C34" s="151">
        <v>174117</v>
      </c>
      <c r="D34" s="151">
        <v>81814</v>
      </c>
      <c r="E34" s="151">
        <v>42500</v>
      </c>
      <c r="F34" s="151">
        <v>1179900</v>
      </c>
      <c r="G34" s="151">
        <f>SUM('- 57 -'!$B34:G34,B34:F34)</f>
        <v>7306624</v>
      </c>
    </row>
    <row r="35" spans="1:7" ht="14.1" customHeight="1" x14ac:dyDescent="0.2">
      <c r="A35" s="354" t="s">
        <v>133</v>
      </c>
      <c r="B35" s="352">
        <v>5289718</v>
      </c>
      <c r="C35" s="352">
        <v>1304221</v>
      </c>
      <c r="D35" s="352">
        <v>612827</v>
      </c>
      <c r="E35" s="352">
        <v>344525</v>
      </c>
      <c r="F35" s="352">
        <v>6907545</v>
      </c>
      <c r="G35" s="352">
        <f>SUM('- 57 -'!$B35:G35,B35:F35)</f>
        <v>48071382</v>
      </c>
    </row>
    <row r="36" spans="1:7" ht="14.1" customHeight="1" x14ac:dyDescent="0.2">
      <c r="A36" s="237" t="s">
        <v>134</v>
      </c>
      <c r="B36" s="151">
        <v>506359</v>
      </c>
      <c r="C36" s="151">
        <v>130775</v>
      </c>
      <c r="D36" s="151">
        <v>72478</v>
      </c>
      <c r="E36" s="151">
        <v>26875</v>
      </c>
      <c r="F36" s="151">
        <v>1158525</v>
      </c>
      <c r="G36" s="151">
        <f>SUM('- 57 -'!$B36:G36,B36:F36)</f>
        <v>5802835</v>
      </c>
    </row>
    <row r="37" spans="1:7" ht="14.1" customHeight="1" x14ac:dyDescent="0.2">
      <c r="A37" s="354" t="s">
        <v>135</v>
      </c>
      <c r="B37" s="352">
        <v>1378143</v>
      </c>
      <c r="C37" s="352">
        <v>347446</v>
      </c>
      <c r="D37" s="352">
        <v>163258</v>
      </c>
      <c r="E37" s="352">
        <v>76375</v>
      </c>
      <c r="F37" s="352">
        <v>1706580</v>
      </c>
      <c r="G37" s="352">
        <f>SUM('- 57 -'!$B37:G37,B37:F37)</f>
        <v>13088243</v>
      </c>
    </row>
    <row r="38" spans="1:7" ht="14.1" customHeight="1" x14ac:dyDescent="0.2">
      <c r="A38" s="237" t="s">
        <v>136</v>
      </c>
      <c r="B38" s="151">
        <v>3766530</v>
      </c>
      <c r="C38" s="151">
        <v>910942</v>
      </c>
      <c r="D38" s="151">
        <v>428033</v>
      </c>
      <c r="E38" s="151">
        <v>264250</v>
      </c>
      <c r="F38" s="151">
        <v>3738060</v>
      </c>
      <c r="G38" s="151">
        <f>SUM('- 57 -'!$B38:G38,B38:F38)</f>
        <v>32605717</v>
      </c>
    </row>
    <row r="39" spans="1:7" ht="14.1" customHeight="1" x14ac:dyDescent="0.2">
      <c r="A39" s="354" t="s">
        <v>137</v>
      </c>
      <c r="B39" s="352">
        <v>473031</v>
      </c>
      <c r="C39" s="352">
        <v>125579</v>
      </c>
      <c r="D39" s="352">
        <v>69598</v>
      </c>
      <c r="E39" s="352">
        <v>27125</v>
      </c>
      <c r="F39" s="352">
        <v>1028565</v>
      </c>
      <c r="G39" s="352">
        <f>SUM('- 57 -'!$B39:G39,B39:F39)</f>
        <v>5499106</v>
      </c>
    </row>
    <row r="40" spans="1:7" ht="14.1" customHeight="1" x14ac:dyDescent="0.2">
      <c r="A40" s="237" t="s">
        <v>138</v>
      </c>
      <c r="B40" s="151">
        <v>2712745</v>
      </c>
      <c r="C40" s="151">
        <v>661784</v>
      </c>
      <c r="D40" s="151">
        <v>310959</v>
      </c>
      <c r="E40" s="151">
        <v>179750</v>
      </c>
      <c r="F40" s="151">
        <v>4111695</v>
      </c>
      <c r="G40" s="151">
        <f>SUM('- 57 -'!$B40:G40,B40:F40)</f>
        <v>25047769</v>
      </c>
    </row>
    <row r="41" spans="1:7" ht="14.1" customHeight="1" x14ac:dyDescent="0.2">
      <c r="A41" s="354" t="s">
        <v>139</v>
      </c>
      <c r="B41" s="352">
        <v>1428546</v>
      </c>
      <c r="C41" s="352">
        <v>365366</v>
      </c>
      <c r="D41" s="352">
        <v>171678</v>
      </c>
      <c r="E41" s="352">
        <v>85000</v>
      </c>
      <c r="F41" s="352">
        <v>2074230</v>
      </c>
      <c r="G41" s="352">
        <f>SUM('- 57 -'!$B41:G41,B41:F41)</f>
        <v>14024807</v>
      </c>
    </row>
    <row r="42" spans="1:7" ht="14.1" customHeight="1" x14ac:dyDescent="0.2">
      <c r="A42" s="237" t="s">
        <v>140</v>
      </c>
      <c r="B42" s="151">
        <v>461820</v>
      </c>
      <c r="C42" s="151">
        <v>113669</v>
      </c>
      <c r="D42" s="151">
        <v>69845</v>
      </c>
      <c r="E42" s="151">
        <v>27300</v>
      </c>
      <c r="F42" s="151">
        <v>1058490</v>
      </c>
      <c r="G42" s="151">
        <f>SUM('- 57 -'!$B42:G42,B42:F42)</f>
        <v>4944994</v>
      </c>
    </row>
    <row r="43" spans="1:7" ht="14.1" customHeight="1" x14ac:dyDescent="0.2">
      <c r="A43" s="354" t="s">
        <v>141</v>
      </c>
      <c r="B43" s="352">
        <v>306152</v>
      </c>
      <c r="C43" s="352">
        <v>80427</v>
      </c>
      <c r="D43" s="352">
        <v>44574</v>
      </c>
      <c r="E43" s="352">
        <v>18250</v>
      </c>
      <c r="F43" s="352">
        <v>585675</v>
      </c>
      <c r="G43" s="352">
        <f>SUM('- 57 -'!$B43:G43,B43:F43)</f>
        <v>3395182</v>
      </c>
    </row>
    <row r="44" spans="1:7" ht="14.1" customHeight="1" x14ac:dyDescent="0.2">
      <c r="A44" s="237" t="s">
        <v>142</v>
      </c>
      <c r="B44" s="151">
        <v>286278</v>
      </c>
      <c r="C44" s="151">
        <v>57585</v>
      </c>
      <c r="D44" s="151">
        <v>31915</v>
      </c>
      <c r="E44" s="151">
        <v>12750</v>
      </c>
      <c r="F44" s="151">
        <v>601065</v>
      </c>
      <c r="G44" s="151">
        <f>SUM('- 57 -'!$B44:G44,B44:F44)</f>
        <v>2821604</v>
      </c>
    </row>
    <row r="45" spans="1:7" ht="14.1" customHeight="1" x14ac:dyDescent="0.2">
      <c r="A45" s="354" t="s">
        <v>143</v>
      </c>
      <c r="B45" s="352">
        <v>541290</v>
      </c>
      <c r="C45" s="352">
        <v>141133</v>
      </c>
      <c r="D45" s="352">
        <v>78218</v>
      </c>
      <c r="E45" s="352">
        <v>32875</v>
      </c>
      <c r="F45" s="352">
        <v>600210</v>
      </c>
      <c r="G45" s="352">
        <f>SUM('- 57 -'!$B45:G45,B45:F45)</f>
        <v>5034283</v>
      </c>
    </row>
    <row r="46" spans="1:7" ht="14.1" customHeight="1" x14ac:dyDescent="0.2">
      <c r="A46" s="237" t="s">
        <v>144</v>
      </c>
      <c r="B46" s="151">
        <v>16442284</v>
      </c>
      <c r="C46" s="151">
        <v>2462585</v>
      </c>
      <c r="D46" s="151">
        <v>1157118</v>
      </c>
      <c r="E46" s="151">
        <v>736000</v>
      </c>
      <c r="F46" s="151">
        <v>14310135</v>
      </c>
      <c r="G46" s="151">
        <f>SUM('- 57 -'!$B46:G46,B46:F46)</f>
        <v>98622352</v>
      </c>
    </row>
    <row r="47" spans="1:7" ht="5.0999999999999996" customHeight="1" x14ac:dyDescent="0.2">
      <c r="A47" s="130"/>
      <c r="B47" s="152"/>
      <c r="C47" s="152"/>
      <c r="D47" s="152"/>
      <c r="E47" s="152"/>
      <c r="F47" s="152"/>
      <c r="G47" s="152"/>
    </row>
    <row r="48" spans="1:7" ht="14.1" customHeight="1" x14ac:dyDescent="0.2">
      <c r="A48" s="355" t="s">
        <v>145</v>
      </c>
      <c r="B48" s="356">
        <f t="shared" ref="B48:C48" si="0">SUM(B11:B46)</f>
        <v>64153132</v>
      </c>
      <c r="C48" s="356">
        <f t="shared" si="0"/>
        <v>14151694</v>
      </c>
      <c r="D48" s="356">
        <f t="shared" ref="D48:F48" si="1">SUM(D11:D46)</f>
        <v>6959050</v>
      </c>
      <c r="E48" s="356">
        <f t="shared" si="1"/>
        <v>3692539</v>
      </c>
      <c r="F48" s="356">
        <f t="shared" si="1"/>
        <v>85268300</v>
      </c>
      <c r="G48" s="356">
        <f t="shared" ref="G48" si="2">SUM(G11:G46)</f>
        <v>550963762</v>
      </c>
    </row>
    <row r="49" spans="1:7" ht="5.0999999999999996" customHeight="1" x14ac:dyDescent="0.2">
      <c r="A49" s="130" t="s">
        <v>7</v>
      </c>
      <c r="B49" s="152"/>
      <c r="C49" s="152"/>
      <c r="D49" s="152"/>
      <c r="E49" s="152"/>
      <c r="F49" s="152"/>
      <c r="G49" s="152"/>
    </row>
    <row r="50" spans="1:7" ht="14.1" customHeight="1" x14ac:dyDescent="0.2">
      <c r="A50" s="237" t="s">
        <v>146</v>
      </c>
      <c r="B50" s="151">
        <v>48240</v>
      </c>
      <c r="C50" s="151">
        <v>12782</v>
      </c>
      <c r="D50" s="151">
        <v>7084</v>
      </c>
      <c r="E50" s="151">
        <v>3875</v>
      </c>
      <c r="F50" s="151">
        <v>231705</v>
      </c>
      <c r="G50" s="151">
        <f>SUM('- 57 -'!$B50:G50,B50:F50)</f>
        <v>586642</v>
      </c>
    </row>
    <row r="51" spans="1:7" ht="14.1" customHeight="1" x14ac:dyDescent="0.2">
      <c r="A51" s="354" t="s">
        <v>601</v>
      </c>
      <c r="B51" s="352">
        <v>0</v>
      </c>
      <c r="C51" s="352">
        <v>0</v>
      </c>
      <c r="D51" s="352">
        <v>0</v>
      </c>
      <c r="E51" s="352">
        <v>0</v>
      </c>
      <c r="F51" s="352">
        <v>0</v>
      </c>
      <c r="G51" s="352">
        <f>SUM('- 57 -'!$B51:G51,B51:F51)</f>
        <v>0</v>
      </c>
    </row>
    <row r="52" spans="1:7" ht="50.1" customHeight="1" x14ac:dyDescent="0.2">
      <c r="A52" s="184"/>
      <c r="B52" s="184"/>
      <c r="C52" s="184"/>
      <c r="D52" s="184"/>
      <c r="E52" s="184"/>
      <c r="F52" s="184"/>
      <c r="G52" s="184"/>
    </row>
    <row r="53" spans="1:7" ht="15" customHeight="1" x14ac:dyDescent="0.2">
      <c r="A53" s="575"/>
      <c r="B53" s="575"/>
      <c r="C53" s="184"/>
      <c r="D53" s="575"/>
      <c r="E53" s="575"/>
      <c r="F53" s="575"/>
      <c r="G53" s="575"/>
    </row>
    <row r="54" spans="1:7" x14ac:dyDescent="0.2">
      <c r="A54" s="38"/>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F56"/>
  <sheetViews>
    <sheetView showGridLines="0" showZeros="0" workbookViewId="0"/>
  </sheetViews>
  <sheetFormatPr defaultColWidth="19.83203125" defaultRowHeight="12" x14ac:dyDescent="0.2"/>
  <cols>
    <col min="1" max="1" width="29.1640625" style="2" customWidth="1"/>
    <col min="2" max="2" width="22.83203125" style="2" customWidth="1"/>
    <col min="3" max="3" width="17.6640625" style="2" customWidth="1"/>
    <col min="4" max="4" width="18.1640625" style="2" customWidth="1"/>
    <col min="5" max="5" width="20.6640625" style="2" customWidth="1"/>
    <col min="6" max="6" width="23.5" style="2" customWidth="1"/>
    <col min="7" max="7" width="14.83203125" style="2" customWidth="1"/>
    <col min="8"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2018/2019 ACTUAL</v>
      </c>
      <c r="C2" s="262"/>
      <c r="D2" s="264"/>
      <c r="E2" s="264"/>
      <c r="F2" s="215" t="s">
        <v>100</v>
      </c>
    </row>
    <row r="3" spans="1:6" ht="15.95" customHeight="1" x14ac:dyDescent="0.2">
      <c r="A3" s="537"/>
      <c r="B3" s="205"/>
      <c r="C3" s="7"/>
      <c r="D3" s="7"/>
      <c r="E3" s="7"/>
      <c r="F3" s="7"/>
    </row>
    <row r="4" spans="1:6" ht="15.95" customHeight="1" x14ac:dyDescent="0.2">
      <c r="B4" s="810" t="s">
        <v>571</v>
      </c>
      <c r="C4" s="798"/>
      <c r="D4" s="798"/>
      <c r="E4" s="798"/>
      <c r="F4" s="799"/>
    </row>
    <row r="5" spans="1:6" ht="15.95" customHeight="1" x14ac:dyDescent="0.2">
      <c r="B5" s="800"/>
      <c r="C5" s="801"/>
      <c r="D5" s="801"/>
      <c r="E5" s="801"/>
      <c r="F5" s="802"/>
    </row>
    <row r="6" spans="1:6" ht="15.95" customHeight="1" x14ac:dyDescent="0.2">
      <c r="B6" s="811" t="s">
        <v>52</v>
      </c>
      <c r="C6" s="812"/>
      <c r="D6" s="812"/>
      <c r="E6" s="812"/>
      <c r="F6" s="813"/>
    </row>
    <row r="7" spans="1:6" ht="15.95" customHeight="1" x14ac:dyDescent="0.2">
      <c r="B7" s="220"/>
      <c r="C7" s="220"/>
      <c r="D7" s="703" t="s">
        <v>573</v>
      </c>
      <c r="E7" s="703" t="s">
        <v>574</v>
      </c>
      <c r="F7" s="703" t="s">
        <v>575</v>
      </c>
    </row>
    <row r="8" spans="1:6" ht="15.95" customHeight="1" x14ac:dyDescent="0.2">
      <c r="A8" s="67"/>
      <c r="B8" s="815" t="s">
        <v>366</v>
      </c>
      <c r="C8" s="808" t="s">
        <v>572</v>
      </c>
      <c r="D8" s="808"/>
      <c r="E8" s="808"/>
      <c r="F8" s="808"/>
    </row>
    <row r="9" spans="1:6" ht="15.95" customHeight="1" x14ac:dyDescent="0.2">
      <c r="A9" s="35" t="s">
        <v>42</v>
      </c>
      <c r="B9" s="816"/>
      <c r="C9" s="809"/>
      <c r="D9" s="809"/>
      <c r="E9" s="809"/>
      <c r="F9" s="809"/>
    </row>
    <row r="10" spans="1:6" ht="5.0999999999999996" customHeight="1" x14ac:dyDescent="0.2">
      <c r="A10" s="6"/>
      <c r="B10" s="7"/>
      <c r="C10" s="7"/>
      <c r="D10" s="7"/>
      <c r="E10" s="7"/>
    </row>
    <row r="11" spans="1:6" ht="14.1" customHeight="1" x14ac:dyDescent="0.2">
      <c r="A11" s="354" t="s">
        <v>110</v>
      </c>
      <c r="B11" s="352">
        <v>679758</v>
      </c>
      <c r="C11" s="352">
        <f>SUM(Data!S11:U11)</f>
        <v>677489</v>
      </c>
      <c r="D11" s="352">
        <v>288600</v>
      </c>
      <c r="E11" s="352">
        <v>59840</v>
      </c>
      <c r="F11" s="352">
        <v>36000</v>
      </c>
    </row>
    <row r="12" spans="1:6" ht="14.1" customHeight="1" x14ac:dyDescent="0.2">
      <c r="A12" s="237" t="s">
        <v>111</v>
      </c>
      <c r="B12" s="151">
        <v>1262543</v>
      </c>
      <c r="C12" s="151">
        <f>SUM(Data!S12:U12)</f>
        <v>1116719</v>
      </c>
      <c r="D12" s="151">
        <v>179825</v>
      </c>
      <c r="E12" s="151">
        <v>168740</v>
      </c>
      <c r="F12" s="151">
        <v>54000</v>
      </c>
    </row>
    <row r="13" spans="1:6" ht="14.1" customHeight="1" x14ac:dyDescent="0.2">
      <c r="A13" s="354" t="s">
        <v>112</v>
      </c>
      <c r="B13" s="352">
        <v>1097225</v>
      </c>
      <c r="C13" s="352">
        <f>SUM(Data!S13:U13)</f>
        <v>3149050</v>
      </c>
      <c r="D13" s="352">
        <v>779063</v>
      </c>
      <c r="E13" s="352">
        <v>586465</v>
      </c>
      <c r="F13" s="352">
        <v>371000</v>
      </c>
    </row>
    <row r="14" spans="1:6" ht="14.1" customHeight="1" x14ac:dyDescent="0.2">
      <c r="A14" s="237" t="s">
        <v>359</v>
      </c>
      <c r="B14" s="151">
        <v>3429662</v>
      </c>
      <c r="C14" s="151">
        <f>SUM(Data!S14:U14)</f>
        <v>1183117</v>
      </c>
      <c r="D14" s="151">
        <v>182200</v>
      </c>
      <c r="E14" s="151">
        <v>142450</v>
      </c>
      <c r="F14" s="151">
        <v>530000</v>
      </c>
    </row>
    <row r="15" spans="1:6" ht="14.1" customHeight="1" x14ac:dyDescent="0.2">
      <c r="A15" s="354" t="s">
        <v>113</v>
      </c>
      <c r="B15" s="352">
        <v>856901</v>
      </c>
      <c r="C15" s="352">
        <f>SUM(Data!S15:U15)</f>
        <v>831072</v>
      </c>
      <c r="D15" s="352">
        <v>16100</v>
      </c>
      <c r="E15" s="352">
        <v>61958</v>
      </c>
      <c r="F15" s="352">
        <v>128000</v>
      </c>
    </row>
    <row r="16" spans="1:6" ht="14.1" customHeight="1" x14ac:dyDescent="0.2">
      <c r="A16" s="237" t="s">
        <v>114</v>
      </c>
      <c r="B16" s="151">
        <v>103781</v>
      </c>
      <c r="C16" s="151">
        <f>SUM(Data!S16:U16)</f>
        <v>469637</v>
      </c>
      <c r="D16" s="151">
        <v>750</v>
      </c>
      <c r="E16" s="151">
        <v>28986</v>
      </c>
      <c r="F16" s="151">
        <v>81500</v>
      </c>
    </row>
    <row r="17" spans="1:6" ht="14.1" customHeight="1" x14ac:dyDescent="0.2">
      <c r="A17" s="354" t="s">
        <v>115</v>
      </c>
      <c r="B17" s="352">
        <v>875115</v>
      </c>
      <c r="C17" s="352">
        <f>SUM(Data!S17:U17)</f>
        <v>588822</v>
      </c>
      <c r="D17" s="352">
        <v>23300</v>
      </c>
      <c r="E17" s="352">
        <v>61985</v>
      </c>
      <c r="F17" s="352">
        <v>18000</v>
      </c>
    </row>
    <row r="18" spans="1:6" ht="14.1" customHeight="1" x14ac:dyDescent="0.2">
      <c r="A18" s="237" t="s">
        <v>116</v>
      </c>
      <c r="B18" s="151">
        <v>1270197</v>
      </c>
      <c r="C18" s="151">
        <f>SUM(Data!S18:U18)</f>
        <v>1835074</v>
      </c>
      <c r="D18" s="151">
        <v>3200</v>
      </c>
      <c r="E18" s="151">
        <v>99715</v>
      </c>
      <c r="F18" s="151">
        <v>851750</v>
      </c>
    </row>
    <row r="19" spans="1:6" ht="14.1" customHeight="1" x14ac:dyDescent="0.2">
      <c r="A19" s="354" t="s">
        <v>117</v>
      </c>
      <c r="B19" s="352">
        <v>1559936</v>
      </c>
      <c r="C19" s="352">
        <f>SUM(Data!S19:U19)</f>
        <v>1943303</v>
      </c>
      <c r="D19" s="352">
        <v>583000</v>
      </c>
      <c r="E19" s="352">
        <v>268675</v>
      </c>
      <c r="F19" s="352">
        <v>27000</v>
      </c>
    </row>
    <row r="20" spans="1:6" ht="14.1" customHeight="1" x14ac:dyDescent="0.2">
      <c r="A20" s="237" t="s">
        <v>118</v>
      </c>
      <c r="B20" s="151">
        <v>2625674</v>
      </c>
      <c r="C20" s="151">
        <f>SUM(Data!S20:U20)</f>
        <v>3423451</v>
      </c>
      <c r="D20" s="151">
        <v>580400</v>
      </c>
      <c r="E20" s="151">
        <v>651035</v>
      </c>
      <c r="F20" s="151">
        <v>171000</v>
      </c>
    </row>
    <row r="21" spans="1:6" ht="14.1" customHeight="1" x14ac:dyDescent="0.2">
      <c r="A21" s="354" t="s">
        <v>119</v>
      </c>
      <c r="B21" s="352">
        <v>1133170</v>
      </c>
      <c r="C21" s="352">
        <f>SUM(Data!S21:U21)</f>
        <v>1320677</v>
      </c>
      <c r="D21" s="352">
        <v>45300</v>
      </c>
      <c r="E21" s="352">
        <v>81318</v>
      </c>
      <c r="F21" s="352">
        <v>135000</v>
      </c>
    </row>
    <row r="22" spans="1:6" ht="14.1" customHeight="1" x14ac:dyDescent="0.2">
      <c r="A22" s="237" t="s">
        <v>120</v>
      </c>
      <c r="B22" s="151">
        <v>298132</v>
      </c>
      <c r="C22" s="151">
        <f>SUM(Data!S22:U22)</f>
        <v>947050</v>
      </c>
      <c r="D22" s="151">
        <v>12850</v>
      </c>
      <c r="E22" s="151">
        <v>13805</v>
      </c>
      <c r="F22" s="151">
        <v>171000</v>
      </c>
    </row>
    <row r="23" spans="1:6" ht="14.1" customHeight="1" x14ac:dyDescent="0.2">
      <c r="A23" s="354" t="s">
        <v>121</v>
      </c>
      <c r="B23" s="352">
        <v>907549</v>
      </c>
      <c r="C23" s="352">
        <f>SUM(Data!S23:U23)</f>
        <v>651090</v>
      </c>
      <c r="D23" s="352">
        <v>11900</v>
      </c>
      <c r="E23" s="352">
        <v>35255</v>
      </c>
      <c r="F23" s="352">
        <v>99000</v>
      </c>
    </row>
    <row r="24" spans="1:6" ht="14.1" customHeight="1" x14ac:dyDescent="0.2">
      <c r="A24" s="237" t="s">
        <v>122</v>
      </c>
      <c r="B24" s="151">
        <v>1599825</v>
      </c>
      <c r="C24" s="151">
        <f>SUM(Data!S24:U24)</f>
        <v>2043063</v>
      </c>
      <c r="D24" s="151">
        <v>78950</v>
      </c>
      <c r="E24" s="151">
        <v>279400</v>
      </c>
      <c r="F24" s="151">
        <v>356500</v>
      </c>
    </row>
    <row r="25" spans="1:6" ht="14.1" customHeight="1" x14ac:dyDescent="0.2">
      <c r="A25" s="354" t="s">
        <v>123</v>
      </c>
      <c r="B25" s="352">
        <v>1279671</v>
      </c>
      <c r="C25" s="352">
        <f>SUM(Data!S25:U25)</f>
        <v>8730881</v>
      </c>
      <c r="D25" s="352">
        <v>1343550</v>
      </c>
      <c r="E25" s="352">
        <v>697346</v>
      </c>
      <c r="F25" s="352">
        <v>816100</v>
      </c>
    </row>
    <row r="26" spans="1:6" ht="14.1" customHeight="1" x14ac:dyDescent="0.2">
      <c r="A26" s="237" t="s">
        <v>124</v>
      </c>
      <c r="B26" s="151">
        <v>1567549</v>
      </c>
      <c r="C26" s="151">
        <f>SUM(Data!S26:U26)</f>
        <v>1165826</v>
      </c>
      <c r="D26" s="151">
        <v>12825</v>
      </c>
      <c r="E26" s="151">
        <v>196735</v>
      </c>
      <c r="F26" s="151">
        <v>245000</v>
      </c>
    </row>
    <row r="27" spans="1:6" ht="14.1" customHeight="1" x14ac:dyDescent="0.2">
      <c r="A27" s="354" t="s">
        <v>125</v>
      </c>
      <c r="B27" s="352">
        <v>71630</v>
      </c>
      <c r="C27" s="352">
        <f>SUM(Data!S27:U27)</f>
        <v>1974108</v>
      </c>
      <c r="D27" s="352">
        <v>83650</v>
      </c>
      <c r="E27" s="352">
        <v>174405</v>
      </c>
      <c r="F27" s="352">
        <v>280500</v>
      </c>
    </row>
    <row r="28" spans="1:6" ht="14.1" customHeight="1" x14ac:dyDescent="0.2">
      <c r="A28" s="237" t="s">
        <v>126</v>
      </c>
      <c r="B28" s="151">
        <v>1191221</v>
      </c>
      <c r="C28" s="151">
        <f>SUM(Data!S28:U28)</f>
        <v>592983</v>
      </c>
      <c r="D28" s="151">
        <v>43600</v>
      </c>
      <c r="E28" s="151">
        <v>66660</v>
      </c>
      <c r="F28" s="151">
        <v>90500</v>
      </c>
    </row>
    <row r="29" spans="1:6" ht="14.1" customHeight="1" x14ac:dyDescent="0.2">
      <c r="A29" s="354" t="s">
        <v>127</v>
      </c>
      <c r="B29" s="352">
        <v>1120284</v>
      </c>
      <c r="C29" s="352">
        <f>SUM(Data!S29:U29)</f>
        <v>7139371</v>
      </c>
      <c r="D29" s="352">
        <v>2301025</v>
      </c>
      <c r="E29" s="352">
        <v>270710</v>
      </c>
      <c r="F29" s="352">
        <v>333000</v>
      </c>
    </row>
    <row r="30" spans="1:6" ht="14.1" customHeight="1" x14ac:dyDescent="0.2">
      <c r="A30" s="237" t="s">
        <v>128</v>
      </c>
      <c r="B30" s="151">
        <v>659999</v>
      </c>
      <c r="C30" s="151">
        <f>SUM(Data!S30:U30)</f>
        <v>572230</v>
      </c>
      <c r="D30" s="151">
        <v>64200</v>
      </c>
      <c r="E30" s="151">
        <v>42680</v>
      </c>
      <c r="F30" s="151">
        <v>47000</v>
      </c>
    </row>
    <row r="31" spans="1:6" ht="14.1" customHeight="1" x14ac:dyDescent="0.2">
      <c r="A31" s="354" t="s">
        <v>129</v>
      </c>
      <c r="B31" s="352">
        <v>809813</v>
      </c>
      <c r="C31" s="352">
        <f>SUM(Data!S31:U31)</f>
        <v>1828835</v>
      </c>
      <c r="D31" s="352">
        <v>150825</v>
      </c>
      <c r="E31" s="352">
        <v>138490</v>
      </c>
      <c r="F31" s="352">
        <v>245000</v>
      </c>
    </row>
    <row r="32" spans="1:6" ht="14.1" customHeight="1" x14ac:dyDescent="0.2">
      <c r="A32" s="237" t="s">
        <v>130</v>
      </c>
      <c r="B32" s="151">
        <v>1325656</v>
      </c>
      <c r="C32" s="151">
        <f>SUM(Data!S32:U32)</f>
        <v>930224</v>
      </c>
      <c r="D32" s="151">
        <v>152700</v>
      </c>
      <c r="E32" s="151">
        <v>53158</v>
      </c>
      <c r="F32" s="151">
        <v>99000</v>
      </c>
    </row>
    <row r="33" spans="1:6" ht="14.1" customHeight="1" x14ac:dyDescent="0.2">
      <c r="A33" s="354" t="s">
        <v>131</v>
      </c>
      <c r="B33" s="352">
        <v>1385035</v>
      </c>
      <c r="C33" s="352">
        <f>SUM(Data!S33:U33)</f>
        <v>864322</v>
      </c>
      <c r="D33" s="352">
        <v>121900</v>
      </c>
      <c r="E33" s="352">
        <v>62508</v>
      </c>
      <c r="F33" s="352">
        <v>36000</v>
      </c>
    </row>
    <row r="34" spans="1:6" ht="14.1" customHeight="1" x14ac:dyDescent="0.2">
      <c r="A34" s="237" t="s">
        <v>132</v>
      </c>
      <c r="B34" s="151">
        <v>1500324</v>
      </c>
      <c r="C34" s="151">
        <f>SUM(Data!S34:U34)</f>
        <v>1285267</v>
      </c>
      <c r="D34" s="151">
        <v>86175</v>
      </c>
      <c r="E34" s="151">
        <v>85745</v>
      </c>
      <c r="F34" s="151">
        <v>108000</v>
      </c>
    </row>
    <row r="35" spans="1:6" ht="14.1" customHeight="1" x14ac:dyDescent="0.2">
      <c r="A35" s="354" t="s">
        <v>133</v>
      </c>
      <c r="B35" s="352">
        <v>1929524</v>
      </c>
      <c r="C35" s="352">
        <f>SUM(Data!S35:U35)</f>
        <v>9460374</v>
      </c>
      <c r="D35" s="352">
        <v>969300</v>
      </c>
      <c r="E35" s="352">
        <v>874665</v>
      </c>
      <c r="F35" s="352">
        <v>864000</v>
      </c>
    </row>
    <row r="36" spans="1:6" ht="14.1" customHeight="1" x14ac:dyDescent="0.2">
      <c r="A36" s="237" t="s">
        <v>134</v>
      </c>
      <c r="B36" s="151">
        <v>897763</v>
      </c>
      <c r="C36" s="151">
        <f>SUM(Data!S36:U36)</f>
        <v>589869</v>
      </c>
      <c r="D36" s="151">
        <v>34150</v>
      </c>
      <c r="E36" s="151">
        <v>22055</v>
      </c>
      <c r="F36" s="151">
        <v>74000</v>
      </c>
    </row>
    <row r="37" spans="1:6" ht="14.1" customHeight="1" x14ac:dyDescent="0.2">
      <c r="A37" s="354" t="s">
        <v>135</v>
      </c>
      <c r="B37" s="352">
        <v>1786984</v>
      </c>
      <c r="C37" s="352">
        <f>SUM(Data!S37:U37)</f>
        <v>2382167</v>
      </c>
      <c r="D37" s="352">
        <v>191125</v>
      </c>
      <c r="E37" s="352">
        <v>155843</v>
      </c>
      <c r="F37" s="352">
        <v>396000</v>
      </c>
    </row>
    <row r="38" spans="1:6" ht="14.1" customHeight="1" x14ac:dyDescent="0.2">
      <c r="A38" s="237" t="s">
        <v>136</v>
      </c>
      <c r="B38" s="151">
        <v>1050951</v>
      </c>
      <c r="C38" s="151">
        <f>SUM(Data!S38:U38)</f>
        <v>6290085</v>
      </c>
      <c r="D38" s="151">
        <v>771310</v>
      </c>
      <c r="E38" s="151">
        <v>498301</v>
      </c>
      <c r="F38" s="151">
        <v>359500</v>
      </c>
    </row>
    <row r="39" spans="1:6" ht="14.1" customHeight="1" x14ac:dyDescent="0.2">
      <c r="A39" s="354" t="s">
        <v>137</v>
      </c>
      <c r="B39" s="352">
        <v>1054293</v>
      </c>
      <c r="C39" s="352">
        <f>SUM(Data!S39:U39)</f>
        <v>592254</v>
      </c>
      <c r="D39" s="352">
        <v>60750</v>
      </c>
      <c r="E39" s="352">
        <v>34925</v>
      </c>
      <c r="F39" s="352">
        <v>36000</v>
      </c>
    </row>
    <row r="40" spans="1:6" ht="14.1" customHeight="1" x14ac:dyDescent="0.2">
      <c r="A40" s="237" t="s">
        <v>138</v>
      </c>
      <c r="B40" s="151">
        <v>735714</v>
      </c>
      <c r="C40" s="151">
        <f>SUM(Data!S40:U40)</f>
        <v>4837103</v>
      </c>
      <c r="D40" s="151">
        <v>560075</v>
      </c>
      <c r="E40" s="151">
        <v>550935</v>
      </c>
      <c r="F40" s="151">
        <v>370000</v>
      </c>
    </row>
    <row r="41" spans="1:6" ht="14.1" customHeight="1" x14ac:dyDescent="0.2">
      <c r="A41" s="354" t="s">
        <v>139</v>
      </c>
      <c r="B41" s="352">
        <v>2936600</v>
      </c>
      <c r="C41" s="352">
        <f>SUM(Data!S41:U41)</f>
        <v>2632013</v>
      </c>
      <c r="D41" s="352">
        <v>124950</v>
      </c>
      <c r="E41" s="352">
        <v>171325</v>
      </c>
      <c r="F41" s="352">
        <v>254500</v>
      </c>
    </row>
    <row r="42" spans="1:6" ht="14.1" customHeight="1" x14ac:dyDescent="0.2">
      <c r="A42" s="237" t="s">
        <v>140</v>
      </c>
      <c r="B42" s="151">
        <v>1043606</v>
      </c>
      <c r="C42" s="151">
        <f>SUM(Data!S42:U42)</f>
        <v>724652</v>
      </c>
      <c r="D42" s="151">
        <v>2250</v>
      </c>
      <c r="E42" s="151">
        <v>181720</v>
      </c>
      <c r="F42" s="151">
        <v>146000</v>
      </c>
    </row>
    <row r="43" spans="1:6" ht="14.1" customHeight="1" x14ac:dyDescent="0.2">
      <c r="A43" s="354" t="s">
        <v>141</v>
      </c>
      <c r="B43" s="352">
        <v>551038</v>
      </c>
      <c r="C43" s="352">
        <f>SUM(Data!S43:U43)</f>
        <v>378942</v>
      </c>
      <c r="D43" s="352">
        <v>63475</v>
      </c>
      <c r="E43" s="352">
        <v>31790</v>
      </c>
      <c r="F43" s="352">
        <v>27000</v>
      </c>
    </row>
    <row r="44" spans="1:6" ht="14.1" customHeight="1" x14ac:dyDescent="0.2">
      <c r="A44" s="237" t="s">
        <v>142</v>
      </c>
      <c r="B44" s="151">
        <v>778772</v>
      </c>
      <c r="C44" s="151">
        <f>SUM(Data!S44:U44)</f>
        <v>422344</v>
      </c>
      <c r="D44" s="151">
        <v>15150</v>
      </c>
      <c r="E44" s="151">
        <v>20515</v>
      </c>
      <c r="F44" s="151">
        <v>99000</v>
      </c>
    </row>
    <row r="45" spans="1:6" ht="14.1" customHeight="1" x14ac:dyDescent="0.2">
      <c r="A45" s="354" t="s">
        <v>143</v>
      </c>
      <c r="B45" s="352">
        <v>523224</v>
      </c>
      <c r="C45" s="352">
        <f>SUM(Data!S45:U45)</f>
        <v>619626</v>
      </c>
      <c r="D45" s="352">
        <v>208550</v>
      </c>
      <c r="E45" s="352">
        <v>76230</v>
      </c>
      <c r="F45" s="352">
        <v>27000</v>
      </c>
    </row>
    <row r="46" spans="1:6" ht="14.1" customHeight="1" x14ac:dyDescent="0.2">
      <c r="A46" s="237" t="s">
        <v>144</v>
      </c>
      <c r="B46" s="151">
        <v>1388893</v>
      </c>
      <c r="C46" s="151">
        <f>SUM(Data!S46:U46)</f>
        <v>16507441</v>
      </c>
      <c r="D46" s="151">
        <v>2528260</v>
      </c>
      <c r="E46" s="151">
        <v>1545913</v>
      </c>
      <c r="F46" s="151">
        <v>2379400</v>
      </c>
    </row>
    <row r="47" spans="1:6" ht="5.0999999999999996" customHeight="1" x14ac:dyDescent="0.2">
      <c r="A47" s="130"/>
      <c r="B47" s="152"/>
      <c r="C47" s="152"/>
      <c r="D47" s="152"/>
      <c r="E47" s="152"/>
      <c r="F47" s="152"/>
    </row>
    <row r="48" spans="1:6" ht="14.1" customHeight="1" x14ac:dyDescent="0.2">
      <c r="A48" s="355" t="s">
        <v>145</v>
      </c>
      <c r="B48" s="356">
        <f t="shared" ref="B48:D48" si="0">SUM(B11:B46)</f>
        <v>43288012</v>
      </c>
      <c r="C48" s="356">
        <f>SUM(C11:C46)</f>
        <v>90700531</v>
      </c>
      <c r="D48" s="356">
        <f t="shared" si="0"/>
        <v>12675233</v>
      </c>
      <c r="E48" s="356">
        <f t="shared" ref="E48:F48" si="1">SUM(E11:E46)</f>
        <v>8492281</v>
      </c>
      <c r="F48" s="356">
        <f t="shared" si="1"/>
        <v>10362250</v>
      </c>
    </row>
    <row r="49" spans="1:6" ht="5.0999999999999996" customHeight="1" x14ac:dyDescent="0.2">
      <c r="A49" s="130" t="s">
        <v>7</v>
      </c>
      <c r="B49" s="152"/>
      <c r="C49" s="152"/>
      <c r="D49" s="152"/>
      <c r="E49" s="152"/>
      <c r="F49" s="152"/>
    </row>
    <row r="50" spans="1:6" ht="14.1" customHeight="1" x14ac:dyDescent="0.2">
      <c r="A50" s="237" t="s">
        <v>146</v>
      </c>
      <c r="B50" s="151">
        <v>1120</v>
      </c>
      <c r="C50" s="151">
        <f>SUM(Data!S50:U50)</f>
        <v>71523</v>
      </c>
      <c r="D50" s="151">
        <v>0</v>
      </c>
      <c r="E50" s="151">
        <v>3740</v>
      </c>
      <c r="F50" s="151">
        <v>0</v>
      </c>
    </row>
    <row r="51" spans="1:6" ht="14.1" customHeight="1" x14ac:dyDescent="0.2">
      <c r="A51" s="354" t="s">
        <v>601</v>
      </c>
      <c r="B51" s="352">
        <v>0</v>
      </c>
      <c r="C51" s="352">
        <f>SUM(Data!S51:U51)</f>
        <v>0</v>
      </c>
      <c r="D51" s="352">
        <v>0</v>
      </c>
      <c r="E51" s="352">
        <v>0</v>
      </c>
      <c r="F51" s="352">
        <v>0</v>
      </c>
    </row>
    <row r="52" spans="1:6" ht="50.1" customHeight="1" x14ac:dyDescent="0.2">
      <c r="A52" s="23"/>
      <c r="B52" s="23"/>
      <c r="C52" s="23"/>
      <c r="D52" s="23"/>
      <c r="E52" s="23"/>
      <c r="F52" s="23"/>
    </row>
    <row r="53" spans="1:6" ht="15" customHeight="1" x14ac:dyDescent="0.2">
      <c r="A53" s="38" t="s">
        <v>358</v>
      </c>
      <c r="B53" s="243"/>
      <c r="C53" s="38"/>
      <c r="D53" s="38"/>
      <c r="E53" s="38"/>
      <c r="F53" s="38"/>
    </row>
    <row r="54" spans="1:6" ht="12" customHeight="1" x14ac:dyDescent="0.2">
      <c r="A54" s="814"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$154,853,663 (Student Services,
       page 58 and Special Needs).</v>
      </c>
      <c r="B54" s="814"/>
      <c r="C54" s="814"/>
      <c r="D54" s="814"/>
      <c r="E54" s="814"/>
      <c r="F54" s="814"/>
    </row>
    <row r="55" spans="1:6" ht="12" customHeight="1" x14ac:dyDescent="0.2">
      <c r="A55" s="814"/>
      <c r="B55" s="814"/>
      <c r="C55" s="814"/>
      <c r="D55" s="814"/>
      <c r="E55" s="814"/>
      <c r="F55" s="814"/>
    </row>
    <row r="56" spans="1:6" ht="14.1" customHeight="1" x14ac:dyDescent="0.2">
      <c r="A56" s="38"/>
      <c r="B56" s="38"/>
      <c r="C56" s="265"/>
      <c r="D56" s="38"/>
      <c r="E56" s="38"/>
      <c r="F56" s="38"/>
    </row>
  </sheetData>
  <mergeCells count="8">
    <mergeCell ref="B4:F5"/>
    <mergeCell ref="B6:F6"/>
    <mergeCell ref="A54:F55"/>
    <mergeCell ref="C8:C9"/>
    <mergeCell ref="D7:D9"/>
    <mergeCell ref="E7:E9"/>
    <mergeCell ref="F7:F9"/>
    <mergeCell ref="B8:B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F53"/>
  <sheetViews>
    <sheetView showGridLines="0" showZeros="0" workbookViewId="0"/>
  </sheetViews>
  <sheetFormatPr defaultColWidth="19.83203125" defaultRowHeight="12" x14ac:dyDescent="0.2"/>
  <cols>
    <col min="1" max="1" width="34.1640625" style="2" customWidth="1"/>
    <col min="2" max="2" width="18.83203125" style="2" customWidth="1"/>
    <col min="3" max="3" width="19.83203125" style="2" customWidth="1"/>
    <col min="4" max="5" width="19.1640625" style="2" customWidth="1"/>
    <col min="6" max="6" width="17.83203125" style="2" customWidth="1"/>
    <col min="7" max="16384" width="19.83203125" style="2"/>
  </cols>
  <sheetData>
    <row r="1" spans="1:6" ht="6.95" customHeight="1" x14ac:dyDescent="0.2">
      <c r="A1" s="7"/>
      <c r="B1" s="7"/>
      <c r="C1" s="7"/>
      <c r="D1" s="7"/>
      <c r="E1" s="7"/>
      <c r="F1" s="7"/>
    </row>
    <row r="2" spans="1:6" ht="15.95" customHeight="1" x14ac:dyDescent="0.2">
      <c r="A2" s="261"/>
      <c r="B2" s="204" t="str">
        <f>REVYEAR</f>
        <v>ANALYSIS OF OPERATING FUND REVENUE: 2018/2019 ACTUAL</v>
      </c>
      <c r="C2" s="262"/>
      <c r="D2" s="262"/>
      <c r="E2" s="262"/>
      <c r="F2" s="215" t="s">
        <v>101</v>
      </c>
    </row>
    <row r="3" spans="1:6" ht="15.95" customHeight="1" x14ac:dyDescent="0.2">
      <c r="A3" s="537"/>
      <c r="B3" s="7"/>
      <c r="C3" s="7"/>
      <c r="D3" s="7"/>
      <c r="E3" s="7"/>
      <c r="F3" s="7"/>
    </row>
    <row r="4" spans="1:6" ht="15.95" customHeight="1" x14ac:dyDescent="0.2">
      <c r="B4" s="797" t="s">
        <v>571</v>
      </c>
      <c r="C4" s="798"/>
      <c r="D4" s="798"/>
      <c r="E4" s="798"/>
      <c r="F4" s="799"/>
    </row>
    <row r="5" spans="1:6" ht="15.95" customHeight="1" x14ac:dyDescent="0.2">
      <c r="B5" s="800"/>
      <c r="C5" s="801"/>
      <c r="D5" s="801"/>
      <c r="E5" s="801"/>
      <c r="F5" s="802"/>
    </row>
    <row r="6" spans="1:6" ht="15.95" customHeight="1" x14ac:dyDescent="0.2">
      <c r="B6" s="820" t="s">
        <v>52</v>
      </c>
      <c r="C6" s="821"/>
      <c r="D6" s="821"/>
      <c r="E6" s="821"/>
      <c r="F6" s="822"/>
    </row>
    <row r="7" spans="1:6" ht="15.95" customHeight="1" x14ac:dyDescent="0.2">
      <c r="B7" s="732" t="s">
        <v>576</v>
      </c>
      <c r="C7" s="819" t="s">
        <v>577</v>
      </c>
      <c r="D7" s="703" t="s">
        <v>578</v>
      </c>
      <c r="E7" s="33"/>
      <c r="F7" s="703" t="s">
        <v>580</v>
      </c>
    </row>
    <row r="8" spans="1:6" ht="15.95" customHeight="1" x14ac:dyDescent="0.2">
      <c r="A8" s="403"/>
      <c r="B8" s="817"/>
      <c r="C8" s="806"/>
      <c r="D8" s="808"/>
      <c r="E8" s="808" t="s">
        <v>579</v>
      </c>
      <c r="F8" s="808"/>
    </row>
    <row r="9" spans="1:6" ht="15.95" customHeight="1" x14ac:dyDescent="0.2">
      <c r="A9" s="404" t="s">
        <v>42</v>
      </c>
      <c r="B9" s="818"/>
      <c r="C9" s="807"/>
      <c r="D9" s="809"/>
      <c r="E9" s="809"/>
      <c r="F9" s="809"/>
    </row>
    <row r="10" spans="1:6" ht="5.0999999999999996" customHeight="1" x14ac:dyDescent="0.2">
      <c r="A10" s="6"/>
      <c r="B10" s="7"/>
      <c r="C10" s="7"/>
      <c r="D10" s="7"/>
      <c r="E10" s="7"/>
      <c r="F10" s="7"/>
    </row>
    <row r="11" spans="1:6" ht="14.1" customHeight="1" x14ac:dyDescent="0.2">
      <c r="A11" s="354" t="s">
        <v>110</v>
      </c>
      <c r="B11" s="352">
        <v>3154</v>
      </c>
      <c r="C11" s="352">
        <v>21590</v>
      </c>
      <c r="D11" s="352">
        <v>142656</v>
      </c>
      <c r="E11" s="352">
        <f>Data!R11-SUM('- 59 -'!$B11:F11,B11:D11)</f>
        <v>174004</v>
      </c>
      <c r="F11" s="352">
        <f>SUM('- 59 -'!$B11:F11,B11:E11)</f>
        <v>2083091</v>
      </c>
    </row>
    <row r="12" spans="1:6" ht="14.1" customHeight="1" x14ac:dyDescent="0.2">
      <c r="A12" s="237" t="s">
        <v>111</v>
      </c>
      <c r="B12" s="151">
        <v>35495</v>
      </c>
      <c r="C12" s="151">
        <v>31888</v>
      </c>
      <c r="D12" s="151">
        <v>157864</v>
      </c>
      <c r="E12" s="151">
        <f>Data!R12-SUM('- 59 -'!$B12:F12,B12:D12)</f>
        <v>325407</v>
      </c>
      <c r="F12" s="151">
        <f>SUM('- 59 -'!$B12:F12,B12:E12)</f>
        <v>3332481</v>
      </c>
    </row>
    <row r="13" spans="1:6" ht="14.1" customHeight="1" x14ac:dyDescent="0.2">
      <c r="A13" s="354" t="s">
        <v>112</v>
      </c>
      <c r="B13" s="352">
        <v>205397</v>
      </c>
      <c r="C13" s="352">
        <v>171146</v>
      </c>
      <c r="D13" s="352">
        <v>733970</v>
      </c>
      <c r="E13" s="352">
        <f>Data!R13-SUM('- 59 -'!$B13:F13,B13:D13)</f>
        <v>350261</v>
      </c>
      <c r="F13" s="352">
        <f>SUM('- 59 -'!$B13:F13,B13:E13)</f>
        <v>7443577</v>
      </c>
    </row>
    <row r="14" spans="1:6" ht="14.1" customHeight="1" x14ac:dyDescent="0.2">
      <c r="A14" s="237" t="s">
        <v>359</v>
      </c>
      <c r="B14" s="151">
        <v>1574789</v>
      </c>
      <c r="C14" s="151">
        <v>96700</v>
      </c>
      <c r="D14" s="151">
        <v>425584</v>
      </c>
      <c r="E14" s="151">
        <f>Data!R14-SUM('- 59 -'!$B14:F14,B14:D14)</f>
        <v>427561</v>
      </c>
      <c r="F14" s="151">
        <f>SUM('- 59 -'!$B14:F14,B14:E14)</f>
        <v>7992063</v>
      </c>
    </row>
    <row r="15" spans="1:6" ht="14.1" customHeight="1" x14ac:dyDescent="0.2">
      <c r="A15" s="354" t="s">
        <v>113</v>
      </c>
      <c r="B15" s="352">
        <v>4835</v>
      </c>
      <c r="C15" s="352">
        <v>18840</v>
      </c>
      <c r="D15" s="352">
        <v>109024</v>
      </c>
      <c r="E15" s="352">
        <f>Data!R15-SUM('- 59 -'!$B15:F15,B15:D15)</f>
        <v>162160</v>
      </c>
      <c r="F15" s="352">
        <f>SUM('- 59 -'!$B15:F15,B15:E15)</f>
        <v>2188890</v>
      </c>
    </row>
    <row r="16" spans="1:6" ht="14.1" customHeight="1" x14ac:dyDescent="0.2">
      <c r="A16" s="237" t="s">
        <v>114</v>
      </c>
      <c r="B16" s="151">
        <v>31403</v>
      </c>
      <c r="C16" s="151">
        <v>8840</v>
      </c>
      <c r="D16" s="151">
        <v>71512</v>
      </c>
      <c r="E16" s="151">
        <f>Data!R16-SUM('- 59 -'!$B16:F16,B16:D16)</f>
        <v>642167</v>
      </c>
      <c r="F16" s="151">
        <f>SUM('- 59 -'!$B16:F16,B16:E16)</f>
        <v>1438576</v>
      </c>
    </row>
    <row r="17" spans="1:6" ht="14.1" customHeight="1" x14ac:dyDescent="0.2">
      <c r="A17" s="354" t="s">
        <v>115</v>
      </c>
      <c r="B17" s="352">
        <v>1883</v>
      </c>
      <c r="C17" s="352">
        <v>19720</v>
      </c>
      <c r="D17" s="352">
        <v>105664</v>
      </c>
      <c r="E17" s="352">
        <f>Data!R17-SUM('- 59 -'!$B17:F17,B17:D17)</f>
        <v>173292</v>
      </c>
      <c r="F17" s="352">
        <f>SUM('- 59 -'!$B17:F17,B17:E17)</f>
        <v>1867781</v>
      </c>
    </row>
    <row r="18" spans="1:6" ht="14.1" customHeight="1" x14ac:dyDescent="0.2">
      <c r="A18" s="237" t="s">
        <v>116</v>
      </c>
      <c r="B18" s="151">
        <v>60</v>
      </c>
      <c r="C18" s="151">
        <v>41071</v>
      </c>
      <c r="D18" s="151">
        <v>186032</v>
      </c>
      <c r="E18" s="151">
        <f>Data!R18-SUM('- 59 -'!$B18:F18,B18:D18)</f>
        <v>2380849</v>
      </c>
      <c r="F18" s="151">
        <f>SUM('- 59 -'!$B18:F18,B18:E18)</f>
        <v>6667948</v>
      </c>
    </row>
    <row r="19" spans="1:6" ht="14.1" customHeight="1" x14ac:dyDescent="0.2">
      <c r="A19" s="354" t="s">
        <v>117</v>
      </c>
      <c r="B19" s="352">
        <v>6362</v>
      </c>
      <c r="C19" s="352">
        <v>65809</v>
      </c>
      <c r="D19" s="352">
        <v>351000</v>
      </c>
      <c r="E19" s="352">
        <f>Data!R19-SUM('- 59 -'!$B19:F19,B19:D19)</f>
        <v>50516</v>
      </c>
      <c r="F19" s="352">
        <f>SUM('- 59 -'!$B19:F19,B19:E19)</f>
        <v>4855601</v>
      </c>
    </row>
    <row r="20" spans="1:6" ht="14.1" customHeight="1" x14ac:dyDescent="0.2">
      <c r="A20" s="237" t="s">
        <v>118</v>
      </c>
      <c r="B20" s="151">
        <v>21077</v>
      </c>
      <c r="C20" s="151">
        <v>106984</v>
      </c>
      <c r="D20" s="151">
        <v>623008</v>
      </c>
      <c r="E20" s="151">
        <f>Data!R20-SUM('- 59 -'!$B20:F20,B20:D20)</f>
        <v>289538</v>
      </c>
      <c r="F20" s="151">
        <f>SUM('- 59 -'!$B20:F20,B20:E20)</f>
        <v>8492167</v>
      </c>
    </row>
    <row r="21" spans="1:6" ht="14.1" customHeight="1" x14ac:dyDescent="0.2">
      <c r="A21" s="354" t="s">
        <v>119</v>
      </c>
      <c r="B21" s="352">
        <v>81035</v>
      </c>
      <c r="C21" s="352">
        <v>44193</v>
      </c>
      <c r="D21" s="352">
        <v>222464</v>
      </c>
      <c r="E21" s="352">
        <f>Data!R21-SUM('- 59 -'!$B21:F21,B21:D21)</f>
        <v>309990</v>
      </c>
      <c r="F21" s="352">
        <f>SUM('- 59 -'!$B21:F21,B21:E21)</f>
        <v>3373147</v>
      </c>
    </row>
    <row r="22" spans="1:6" ht="14.1" customHeight="1" x14ac:dyDescent="0.2">
      <c r="A22" s="237" t="s">
        <v>120</v>
      </c>
      <c r="B22" s="151">
        <v>44279</v>
      </c>
      <c r="C22" s="151">
        <v>29213</v>
      </c>
      <c r="D22" s="151">
        <v>119472</v>
      </c>
      <c r="E22" s="151">
        <f>Data!R22-SUM('- 59 -'!$B22:F22,B22:D22)</f>
        <v>1100720</v>
      </c>
      <c r="F22" s="151">
        <f>SUM('- 59 -'!$B22:F22,B22:E22)</f>
        <v>2736521</v>
      </c>
    </row>
    <row r="23" spans="1:6" ht="14.1" customHeight="1" x14ac:dyDescent="0.2">
      <c r="A23" s="354" t="s">
        <v>121</v>
      </c>
      <c r="B23" s="352">
        <v>2804</v>
      </c>
      <c r="C23" s="352">
        <v>12131</v>
      </c>
      <c r="D23" s="352">
        <v>76400</v>
      </c>
      <c r="E23" s="352">
        <f>Data!R23-SUM('- 59 -'!$B23:F23,B23:D23)</f>
        <v>220957</v>
      </c>
      <c r="F23" s="352">
        <f>SUM('- 59 -'!$B23:F23,B23:E23)</f>
        <v>2017086</v>
      </c>
    </row>
    <row r="24" spans="1:6" ht="14.1" customHeight="1" x14ac:dyDescent="0.2">
      <c r="A24" s="237" t="s">
        <v>122</v>
      </c>
      <c r="B24" s="151">
        <v>101761</v>
      </c>
      <c r="C24" s="151">
        <v>51053</v>
      </c>
      <c r="D24" s="151">
        <v>364724</v>
      </c>
      <c r="E24" s="151">
        <f>Data!R24-SUM('- 59 -'!$B24:F24,B24:D24)</f>
        <v>210612</v>
      </c>
      <c r="F24" s="151">
        <f>SUM('- 59 -'!$B24:F24,B24:E24)</f>
        <v>5085888</v>
      </c>
    </row>
    <row r="25" spans="1:6" ht="14.1" customHeight="1" x14ac:dyDescent="0.2">
      <c r="A25" s="354" t="s">
        <v>123</v>
      </c>
      <c r="B25" s="352">
        <v>1280649</v>
      </c>
      <c r="C25" s="352">
        <v>214559</v>
      </c>
      <c r="D25" s="352">
        <v>1147096</v>
      </c>
      <c r="E25" s="352">
        <f>Data!R25-SUM('- 59 -'!$B25:F25,B25:D25)</f>
        <v>615549</v>
      </c>
      <c r="F25" s="352">
        <f>SUM('- 59 -'!$B25:F25,B25:E25)</f>
        <v>16125401</v>
      </c>
    </row>
    <row r="26" spans="1:6" ht="14.1" customHeight="1" x14ac:dyDescent="0.2">
      <c r="A26" s="237" t="s">
        <v>124</v>
      </c>
      <c r="B26" s="151">
        <v>65634</v>
      </c>
      <c r="C26" s="151">
        <v>35359</v>
      </c>
      <c r="D26" s="151">
        <v>290696</v>
      </c>
      <c r="E26" s="151">
        <f>Data!R26-SUM('- 59 -'!$B26:F26,B26:D26)</f>
        <v>308820</v>
      </c>
      <c r="F26" s="151">
        <f>SUM('- 59 -'!$B26:F26,B26:E26)</f>
        <v>3888444</v>
      </c>
    </row>
    <row r="27" spans="1:6" ht="14.1" customHeight="1" x14ac:dyDescent="0.2">
      <c r="A27" s="354" t="s">
        <v>125</v>
      </c>
      <c r="B27" s="352">
        <v>74347</v>
      </c>
      <c r="C27" s="352">
        <v>57508</v>
      </c>
      <c r="D27" s="352">
        <v>238712</v>
      </c>
      <c r="E27" s="352">
        <f>Data!R27-SUM('- 59 -'!$B27:F27,B27:D27)</f>
        <v>2034359</v>
      </c>
      <c r="F27" s="352">
        <f>SUM('- 59 -'!$B27:F27,B27:E27)</f>
        <v>4989219</v>
      </c>
    </row>
    <row r="28" spans="1:6" ht="14.1" customHeight="1" x14ac:dyDescent="0.2">
      <c r="A28" s="237" t="s">
        <v>126</v>
      </c>
      <c r="B28" s="151">
        <v>13231</v>
      </c>
      <c r="C28" s="151">
        <v>20464</v>
      </c>
      <c r="D28" s="151">
        <v>117088</v>
      </c>
      <c r="E28" s="151">
        <f>Data!R28-SUM('- 59 -'!$B28:F28,B28:D28)</f>
        <v>244929</v>
      </c>
      <c r="F28" s="151">
        <f>SUM('- 59 -'!$B28:F28,B28:E28)</f>
        <v>2380676</v>
      </c>
    </row>
    <row r="29" spans="1:6" ht="14.1" customHeight="1" x14ac:dyDescent="0.2">
      <c r="A29" s="354" t="s">
        <v>127</v>
      </c>
      <c r="B29" s="352">
        <v>762446</v>
      </c>
      <c r="C29" s="352">
        <v>177481</v>
      </c>
      <c r="D29" s="352">
        <v>1055416</v>
      </c>
      <c r="E29" s="352">
        <f>Data!R29-SUM('- 59 -'!$B29:F29,B29:D29)</f>
        <v>1250217</v>
      </c>
      <c r="F29" s="352">
        <f>SUM('- 59 -'!$B29:F29,B29:E29)</f>
        <v>14409950</v>
      </c>
    </row>
    <row r="30" spans="1:6" ht="14.1" customHeight="1" x14ac:dyDescent="0.2">
      <c r="A30" s="237" t="s">
        <v>128</v>
      </c>
      <c r="B30" s="151">
        <v>2007</v>
      </c>
      <c r="C30" s="151">
        <v>15300</v>
      </c>
      <c r="D30" s="151">
        <v>80576</v>
      </c>
      <c r="E30" s="151">
        <f>Data!R30-SUM('- 59 -'!$B30:F30,B30:D30)</f>
        <v>166284</v>
      </c>
      <c r="F30" s="151">
        <f>SUM('- 59 -'!$B30:F30,B30:E30)</f>
        <v>1650276</v>
      </c>
    </row>
    <row r="31" spans="1:6" ht="14.1" customHeight="1" x14ac:dyDescent="0.2">
      <c r="A31" s="354" t="s">
        <v>129</v>
      </c>
      <c r="B31" s="352">
        <v>86813</v>
      </c>
      <c r="C31" s="352">
        <v>58194</v>
      </c>
      <c r="D31" s="352">
        <v>248752</v>
      </c>
      <c r="E31" s="352">
        <f>Data!R31-SUM('- 59 -'!$B31:F31,B31:D31)</f>
        <v>132712</v>
      </c>
      <c r="F31" s="352">
        <f>SUM('- 59 -'!$B31:F31,B31:E31)</f>
        <v>3699434</v>
      </c>
    </row>
    <row r="32" spans="1:6" ht="14.1" customHeight="1" x14ac:dyDescent="0.2">
      <c r="A32" s="237" t="s">
        <v>130</v>
      </c>
      <c r="B32" s="151">
        <v>49801</v>
      </c>
      <c r="C32" s="151">
        <v>34543</v>
      </c>
      <c r="D32" s="151">
        <v>174744</v>
      </c>
      <c r="E32" s="151">
        <f>Data!R32-SUM('- 59 -'!$B32:F32,B32:D32)</f>
        <v>356025</v>
      </c>
      <c r="F32" s="151">
        <f>SUM('- 59 -'!$B32:F32,B32:E32)</f>
        <v>3175851</v>
      </c>
    </row>
    <row r="33" spans="1:6" ht="14.1" customHeight="1" x14ac:dyDescent="0.2">
      <c r="A33" s="354" t="s">
        <v>131</v>
      </c>
      <c r="B33" s="352">
        <v>35973</v>
      </c>
      <c r="C33" s="352">
        <v>28394</v>
      </c>
      <c r="D33" s="352">
        <v>164624</v>
      </c>
      <c r="E33" s="352">
        <f>Data!R33-SUM('- 59 -'!$B33:F33,B33:D33)</f>
        <v>307481</v>
      </c>
      <c r="F33" s="352">
        <f>SUM('- 59 -'!$B33:F33,B33:E33)</f>
        <v>3006237</v>
      </c>
    </row>
    <row r="34" spans="1:6" ht="14.1" customHeight="1" x14ac:dyDescent="0.2">
      <c r="A34" s="237" t="s">
        <v>132</v>
      </c>
      <c r="B34" s="151">
        <v>110031</v>
      </c>
      <c r="C34" s="151">
        <v>30589</v>
      </c>
      <c r="D34" s="151">
        <v>167824</v>
      </c>
      <c r="E34" s="151">
        <f>Data!R34-SUM('- 59 -'!$B34:F34,B34:D34)</f>
        <v>377644</v>
      </c>
      <c r="F34" s="151">
        <f>SUM('- 59 -'!$B34:F34,B34:E34)</f>
        <v>3751599</v>
      </c>
    </row>
    <row r="35" spans="1:6" ht="14.1" customHeight="1" x14ac:dyDescent="0.2">
      <c r="A35" s="354" t="s">
        <v>133</v>
      </c>
      <c r="B35" s="352">
        <v>808437</v>
      </c>
      <c r="C35" s="352">
        <v>236241</v>
      </c>
      <c r="D35" s="352">
        <v>1379080</v>
      </c>
      <c r="E35" s="352">
        <f>Data!R35-SUM('- 59 -'!$B35:F35,B35:D35)</f>
        <v>575736</v>
      </c>
      <c r="F35" s="352">
        <f>SUM('- 59 -'!$B35:F35,B35:E35)</f>
        <v>17097357</v>
      </c>
    </row>
    <row r="36" spans="1:6" ht="14.1" customHeight="1" x14ac:dyDescent="0.2">
      <c r="A36" s="237" t="s">
        <v>134</v>
      </c>
      <c r="B36" s="151">
        <v>4781</v>
      </c>
      <c r="C36" s="151">
        <v>22514</v>
      </c>
      <c r="D36" s="151">
        <v>126048</v>
      </c>
      <c r="E36" s="151">
        <f>Data!R36-SUM('- 59 -'!$B36:F36,B36:D36)</f>
        <v>166103</v>
      </c>
      <c r="F36" s="151">
        <f>SUM('- 59 -'!$B36:F36,B36:E36)</f>
        <v>1937283</v>
      </c>
    </row>
    <row r="37" spans="1:6" ht="14.1" customHeight="1" x14ac:dyDescent="0.2">
      <c r="A37" s="354" t="s">
        <v>135</v>
      </c>
      <c r="B37" s="352">
        <v>356435</v>
      </c>
      <c r="C37" s="352">
        <v>71176</v>
      </c>
      <c r="D37" s="352">
        <v>334888</v>
      </c>
      <c r="E37" s="352">
        <f>Data!R37-SUM('- 59 -'!$B37:F37,B37:D37)</f>
        <v>409915</v>
      </c>
      <c r="F37" s="352">
        <f>SUM('- 59 -'!$B37:F37,B37:E37)</f>
        <v>6084533</v>
      </c>
    </row>
    <row r="38" spans="1:6" ht="14.1" customHeight="1" x14ac:dyDescent="0.2">
      <c r="A38" s="237" t="s">
        <v>136</v>
      </c>
      <c r="B38" s="151">
        <v>499854</v>
      </c>
      <c r="C38" s="151">
        <v>152459</v>
      </c>
      <c r="D38" s="151">
        <v>878016</v>
      </c>
      <c r="E38" s="151">
        <f>Data!R38-SUM('- 59 -'!$B38:F38,B38:D38)</f>
        <v>452400</v>
      </c>
      <c r="F38" s="151">
        <f>SUM('- 59 -'!$B38:F38,B38:E38)</f>
        <v>10952876</v>
      </c>
    </row>
    <row r="39" spans="1:6" ht="14.1" customHeight="1" x14ac:dyDescent="0.2">
      <c r="A39" s="354" t="s">
        <v>137</v>
      </c>
      <c r="B39" s="352">
        <v>1341</v>
      </c>
      <c r="C39" s="352">
        <v>24480</v>
      </c>
      <c r="D39" s="352">
        <v>121040</v>
      </c>
      <c r="E39" s="352">
        <f>Data!R39-SUM('- 59 -'!$B39:F39,B39:D39)</f>
        <v>168818</v>
      </c>
      <c r="F39" s="352">
        <f>SUM('- 59 -'!$B39:F39,B39:E39)</f>
        <v>2093901</v>
      </c>
    </row>
    <row r="40" spans="1:6" ht="14.1" customHeight="1" x14ac:dyDescent="0.2">
      <c r="A40" s="237" t="s">
        <v>138</v>
      </c>
      <c r="B40" s="151">
        <v>420797</v>
      </c>
      <c r="C40" s="151">
        <v>111795</v>
      </c>
      <c r="D40" s="151">
        <v>754864</v>
      </c>
      <c r="E40" s="151">
        <f>Data!R40-SUM('- 59 -'!$B40:F40,B40:D40)</f>
        <v>251895</v>
      </c>
      <c r="F40" s="151">
        <f>SUM('- 59 -'!$B40:F40,B40:E40)</f>
        <v>8593178</v>
      </c>
    </row>
    <row r="41" spans="1:6" ht="14.1" customHeight="1" x14ac:dyDescent="0.2">
      <c r="A41" s="354" t="s">
        <v>139</v>
      </c>
      <c r="B41" s="352">
        <v>170713</v>
      </c>
      <c r="C41" s="352">
        <v>59914</v>
      </c>
      <c r="D41" s="352">
        <v>352160</v>
      </c>
      <c r="E41" s="352">
        <f>Data!R41-SUM('- 59 -'!$B41:F41,B41:D41)</f>
        <v>135554</v>
      </c>
      <c r="F41" s="352">
        <f>SUM('- 59 -'!$B41:F41,B41:E41)</f>
        <v>6837729</v>
      </c>
    </row>
    <row r="42" spans="1:6" ht="14.1" customHeight="1" x14ac:dyDescent="0.2">
      <c r="A42" s="237" t="s">
        <v>140</v>
      </c>
      <c r="B42" s="151">
        <v>22865</v>
      </c>
      <c r="C42" s="151">
        <v>20527</v>
      </c>
      <c r="D42" s="151">
        <v>109560</v>
      </c>
      <c r="E42" s="151">
        <f>Data!R42-SUM('- 59 -'!$B42:F42,B42:D42)</f>
        <v>43201</v>
      </c>
      <c r="F42" s="151">
        <f>SUM('- 59 -'!$B42:F42,B42:E42)</f>
        <v>2294381</v>
      </c>
    </row>
    <row r="43" spans="1:6" ht="14.1" customHeight="1" x14ac:dyDescent="0.2">
      <c r="A43" s="354" t="s">
        <v>141</v>
      </c>
      <c r="B43" s="352">
        <v>517</v>
      </c>
      <c r="C43" s="352">
        <v>12592</v>
      </c>
      <c r="D43" s="352">
        <v>77520</v>
      </c>
      <c r="E43" s="352">
        <f>Data!R43-SUM('- 59 -'!$B43:F43,B43:D43)</f>
        <v>145432</v>
      </c>
      <c r="F43" s="352">
        <f>SUM('- 59 -'!$B43:F43,B43:E43)</f>
        <v>1288306</v>
      </c>
    </row>
    <row r="44" spans="1:6" ht="14.1" customHeight="1" x14ac:dyDescent="0.2">
      <c r="A44" s="237" t="s">
        <v>142</v>
      </c>
      <c r="B44" s="151">
        <v>12545</v>
      </c>
      <c r="C44" s="151">
        <v>10384</v>
      </c>
      <c r="D44" s="151">
        <v>55504</v>
      </c>
      <c r="E44" s="151">
        <f>Data!R44-SUM('- 59 -'!$B44:F44,B44:D44)</f>
        <v>143489</v>
      </c>
      <c r="F44" s="151">
        <f>SUM('- 59 -'!$B44:F44,B44:E44)</f>
        <v>1557703</v>
      </c>
    </row>
    <row r="45" spans="1:6" ht="14.1" customHeight="1" x14ac:dyDescent="0.2">
      <c r="A45" s="354" t="s">
        <v>143</v>
      </c>
      <c r="B45" s="352">
        <v>73946</v>
      </c>
      <c r="C45" s="352">
        <v>27200</v>
      </c>
      <c r="D45" s="352">
        <v>136032</v>
      </c>
      <c r="E45" s="352">
        <f>Data!R45-SUM('- 59 -'!$B45:F45,B45:D45)</f>
        <v>208050</v>
      </c>
      <c r="F45" s="352">
        <f>SUM('- 59 -'!$B45:F45,B45:E45)</f>
        <v>1899858</v>
      </c>
    </row>
    <row r="46" spans="1:6" ht="14.1" customHeight="1" x14ac:dyDescent="0.2">
      <c r="A46" s="237" t="s">
        <v>144</v>
      </c>
      <c r="B46" s="151">
        <v>1025117</v>
      </c>
      <c r="C46" s="151">
        <v>522392</v>
      </c>
      <c r="D46" s="151">
        <v>2490576</v>
      </c>
      <c r="E46" s="151">
        <f>Data!R46-SUM('- 59 -'!$B46:F46,B46:D46)</f>
        <v>111443</v>
      </c>
      <c r="F46" s="151">
        <f>SUM('- 59 -'!$B46:F46,B46:E46)</f>
        <v>28499435</v>
      </c>
    </row>
    <row r="47" spans="1:6" ht="5.0999999999999996" customHeight="1" x14ac:dyDescent="0.2">
      <c r="A47" s="130"/>
      <c r="B47" s="152"/>
      <c r="C47" s="152"/>
      <c r="D47" s="152"/>
      <c r="E47" s="152"/>
      <c r="F47" s="152"/>
    </row>
    <row r="48" spans="1:6" ht="14.1" customHeight="1" x14ac:dyDescent="0.2">
      <c r="A48" s="355" t="s">
        <v>145</v>
      </c>
      <c r="B48" s="356">
        <f t="shared" ref="B48:D48" si="0">SUM(B11:B46)</f>
        <v>7992614</v>
      </c>
      <c r="C48" s="356">
        <f t="shared" si="0"/>
        <v>2663243</v>
      </c>
      <c r="D48" s="356">
        <f t="shared" si="0"/>
        <v>14190190</v>
      </c>
      <c r="E48" s="356">
        <f>SUM(E11:E46)</f>
        <v>15424090</v>
      </c>
      <c r="F48" s="356">
        <f>SUM(F11:F46)</f>
        <v>205788444</v>
      </c>
    </row>
    <row r="49" spans="1:6" ht="5.0999999999999996" customHeight="1" x14ac:dyDescent="0.2">
      <c r="A49" s="130" t="s">
        <v>7</v>
      </c>
      <c r="B49" s="152"/>
      <c r="C49" s="152"/>
      <c r="D49" s="152"/>
      <c r="E49" s="152"/>
      <c r="F49" s="152"/>
    </row>
    <row r="50" spans="1:6" ht="14.1" customHeight="1" x14ac:dyDescent="0.2">
      <c r="A50" s="237" t="s">
        <v>146</v>
      </c>
      <c r="B50" s="151">
        <v>580</v>
      </c>
      <c r="C50" s="151">
        <v>5560</v>
      </c>
      <c r="D50" s="151">
        <v>12320</v>
      </c>
      <c r="E50" s="151">
        <f>Data!R50-SUM('- 59 -'!$B50:F50,B50:D50)</f>
        <v>78211</v>
      </c>
      <c r="F50" s="151">
        <f>SUM('- 59 -'!$B50:F50,B50:E50)</f>
        <v>173054</v>
      </c>
    </row>
    <row r="51" spans="1:6" ht="14.1" customHeight="1" x14ac:dyDescent="0.2">
      <c r="A51" s="354" t="s">
        <v>601</v>
      </c>
      <c r="B51" s="352">
        <v>0</v>
      </c>
      <c r="C51" s="352">
        <v>0</v>
      </c>
      <c r="D51" s="352">
        <v>0</v>
      </c>
      <c r="E51" s="352">
        <f>Data!R51-SUM('- 59 -'!$B51:F51,B51:D51)</f>
        <v>0</v>
      </c>
      <c r="F51" s="352">
        <f>SUM('- 59 -'!$B51:F51,B51:E51)</f>
        <v>0</v>
      </c>
    </row>
    <row r="52" spans="1:6" ht="50.1" customHeight="1" x14ac:dyDescent="0.2">
      <c r="A52" s="23"/>
      <c r="B52" s="23"/>
      <c r="C52" s="23"/>
      <c r="D52" s="23"/>
      <c r="E52" s="23"/>
      <c r="F52" s="23"/>
    </row>
    <row r="53" spans="1:6" ht="15" customHeight="1" x14ac:dyDescent="0.2">
      <c r="A53" s="133" t="s">
        <v>389</v>
      </c>
      <c r="E53" s="38"/>
      <c r="F53" s="38"/>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F59"/>
  <sheetViews>
    <sheetView showGridLines="0" showZeros="0" workbookViewId="0"/>
  </sheetViews>
  <sheetFormatPr defaultColWidth="23.83203125" defaultRowHeight="12" x14ac:dyDescent="0.2"/>
  <cols>
    <col min="1" max="1" width="30.1640625" style="2" customWidth="1"/>
    <col min="2" max="2" width="18" style="2" customWidth="1"/>
    <col min="3" max="3" width="18.6640625" style="2" customWidth="1"/>
    <col min="4" max="4" width="18.33203125" style="2" customWidth="1"/>
    <col min="5" max="5" width="18" style="2" customWidth="1"/>
    <col min="6" max="6" width="21.6640625" style="2" customWidth="1"/>
    <col min="7" max="16384" width="23.83203125" style="2"/>
  </cols>
  <sheetData>
    <row r="1" spans="1:6" ht="6.95" customHeight="1" x14ac:dyDescent="0.2">
      <c r="A1" s="7"/>
      <c r="B1" s="7"/>
      <c r="C1" s="7"/>
      <c r="D1" s="7"/>
      <c r="E1" s="7"/>
      <c r="F1" s="7"/>
    </row>
    <row r="2" spans="1:6" ht="15.95" customHeight="1" x14ac:dyDescent="0.2">
      <c r="A2" s="261"/>
      <c r="B2" s="204" t="str">
        <f>REVYEAR</f>
        <v>ANALYSIS OF OPERATING FUND REVENUE: 2018/2019 ACTUAL</v>
      </c>
      <c r="C2" s="204"/>
      <c r="D2" s="204"/>
      <c r="E2" s="262"/>
      <c r="F2" s="215" t="s">
        <v>102</v>
      </c>
    </row>
    <row r="3" spans="1:6" ht="15.95" customHeight="1" x14ac:dyDescent="0.2">
      <c r="A3" s="537"/>
      <c r="B3" s="263"/>
      <c r="C3" s="263"/>
      <c r="D3" s="263"/>
      <c r="E3" s="263"/>
      <c r="F3" s="263"/>
    </row>
    <row r="4" spans="1:6" ht="15.95" customHeight="1" x14ac:dyDescent="0.2"/>
    <row r="5" spans="1:6" ht="15.95" customHeight="1" x14ac:dyDescent="0.2">
      <c r="B5" s="797" t="s">
        <v>571</v>
      </c>
      <c r="C5" s="798"/>
      <c r="D5" s="798"/>
      <c r="E5" s="798"/>
      <c r="F5" s="799"/>
    </row>
    <row r="6" spans="1:6" ht="15.95" customHeight="1" x14ac:dyDescent="0.2">
      <c r="B6" s="800"/>
      <c r="C6" s="801"/>
      <c r="D6" s="801"/>
      <c r="E6" s="801"/>
      <c r="F6" s="802"/>
    </row>
    <row r="7" spans="1:6" ht="15.95" customHeight="1" x14ac:dyDescent="0.2">
      <c r="B7" s="220"/>
      <c r="C7" s="703" t="s">
        <v>582</v>
      </c>
      <c r="D7" s="220"/>
      <c r="E7" s="703" t="s">
        <v>584</v>
      </c>
      <c r="F7" s="703" t="s">
        <v>585</v>
      </c>
    </row>
    <row r="8" spans="1:6" ht="15.95" customHeight="1" x14ac:dyDescent="0.2">
      <c r="A8" s="33"/>
      <c r="B8" s="808" t="s">
        <v>581</v>
      </c>
      <c r="C8" s="808"/>
      <c r="D8" s="808" t="s">
        <v>583</v>
      </c>
      <c r="E8" s="808"/>
      <c r="F8" s="825"/>
    </row>
    <row r="9" spans="1:6" ht="15.95" customHeight="1" x14ac:dyDescent="0.2">
      <c r="A9" s="82" t="s">
        <v>42</v>
      </c>
      <c r="B9" s="809"/>
      <c r="C9" s="809"/>
      <c r="D9" s="809"/>
      <c r="E9" s="809"/>
      <c r="F9" s="704"/>
    </row>
    <row r="10" spans="1:6" ht="5.0999999999999996" customHeight="1" x14ac:dyDescent="0.2">
      <c r="A10" s="6"/>
      <c r="B10" s="7"/>
      <c r="C10" s="7"/>
      <c r="D10" s="7"/>
      <c r="E10" s="7"/>
      <c r="F10" s="7"/>
    </row>
    <row r="11" spans="1:6" ht="14.1" customHeight="1" x14ac:dyDescent="0.2">
      <c r="A11" s="354" t="s">
        <v>110</v>
      </c>
      <c r="B11" s="352">
        <v>2415620</v>
      </c>
      <c r="C11" s="352">
        <v>0</v>
      </c>
      <c r="D11" s="352">
        <v>0</v>
      </c>
      <c r="E11" s="352">
        <v>121407</v>
      </c>
      <c r="F11" s="352">
        <f>SUM('- 58 -'!$G11,'- 60 -'!$F11,B11:E11)+Data!Q11</f>
        <v>10444234</v>
      </c>
    </row>
    <row r="12" spans="1:6" ht="14.1" customHeight="1" x14ac:dyDescent="0.2">
      <c r="A12" s="237" t="s">
        <v>111</v>
      </c>
      <c r="B12" s="151">
        <v>3333078</v>
      </c>
      <c r="C12" s="151">
        <v>1575</v>
      </c>
      <c r="D12" s="151">
        <v>1178801</v>
      </c>
      <c r="E12" s="151">
        <v>145080</v>
      </c>
      <c r="F12" s="151">
        <f>SUM('- 58 -'!$G12,'- 60 -'!$F12,B12:E12)+Data!Q12</f>
        <v>14787078</v>
      </c>
    </row>
    <row r="13" spans="1:6" ht="14.1" customHeight="1" x14ac:dyDescent="0.2">
      <c r="A13" s="354" t="s">
        <v>112</v>
      </c>
      <c r="B13" s="352">
        <v>17697280</v>
      </c>
      <c r="C13" s="352">
        <v>0</v>
      </c>
      <c r="D13" s="352">
        <v>0</v>
      </c>
      <c r="E13" s="352">
        <v>381102</v>
      </c>
      <c r="F13" s="352">
        <f>SUM('- 58 -'!$G13,'- 60 -'!$F13,B13:E13)+Data!Q13</f>
        <v>50792811</v>
      </c>
    </row>
    <row r="14" spans="1:6" ht="14.1" customHeight="1" x14ac:dyDescent="0.2">
      <c r="A14" s="237" t="s">
        <v>359</v>
      </c>
      <c r="B14" s="151">
        <v>10769736</v>
      </c>
      <c r="C14" s="151">
        <v>0</v>
      </c>
      <c r="D14" s="151">
        <v>0</v>
      </c>
      <c r="E14" s="151">
        <v>243180</v>
      </c>
      <c r="F14" s="151">
        <f>SUM('- 58 -'!$G14,'- 60 -'!$F14,B14:E14)+Data!Q14</f>
        <v>36367750</v>
      </c>
    </row>
    <row r="15" spans="1:6" ht="14.1" customHeight="1" x14ac:dyDescent="0.2">
      <c r="A15" s="354" t="s">
        <v>113</v>
      </c>
      <c r="B15" s="352">
        <v>0</v>
      </c>
      <c r="C15" s="352">
        <v>0</v>
      </c>
      <c r="D15" s="352">
        <v>1027566</v>
      </c>
      <c r="E15" s="352">
        <v>83900</v>
      </c>
      <c r="F15" s="352">
        <f>SUM('- 58 -'!$G15,'- 60 -'!$F15,B15:E15)+Data!Q15</f>
        <v>7978326</v>
      </c>
    </row>
    <row r="16" spans="1:6" ht="14.1" customHeight="1" x14ac:dyDescent="0.2">
      <c r="A16" s="237" t="s">
        <v>114</v>
      </c>
      <c r="B16" s="151">
        <v>3904226</v>
      </c>
      <c r="C16" s="151">
        <v>208582</v>
      </c>
      <c r="D16" s="151">
        <v>0</v>
      </c>
      <c r="E16" s="151">
        <v>60800</v>
      </c>
      <c r="F16" s="151">
        <f>SUM('- 58 -'!$G16,'- 60 -'!$F16,B16:E16)+Data!Q16</f>
        <v>8625699</v>
      </c>
    </row>
    <row r="17" spans="1:6" ht="14.1" customHeight="1" x14ac:dyDescent="0.2">
      <c r="A17" s="354" t="s">
        <v>115</v>
      </c>
      <c r="B17" s="352">
        <v>0</v>
      </c>
      <c r="C17" s="352">
        <v>0</v>
      </c>
      <c r="D17" s="352">
        <v>572755</v>
      </c>
      <c r="E17" s="352">
        <v>102890</v>
      </c>
      <c r="F17" s="352">
        <f>SUM('- 58 -'!$G17,'- 60 -'!$F17,B17:E17)+Data!Q17</f>
        <v>7164126</v>
      </c>
    </row>
    <row r="18" spans="1:6" ht="14.1" customHeight="1" x14ac:dyDescent="0.2">
      <c r="A18" s="237" t="s">
        <v>116</v>
      </c>
      <c r="B18" s="151">
        <v>13929082</v>
      </c>
      <c r="C18" s="151">
        <v>4758592</v>
      </c>
      <c r="D18" s="151">
        <v>0</v>
      </c>
      <c r="E18" s="151">
        <v>431530</v>
      </c>
      <c r="F18" s="151">
        <f>SUM('- 58 -'!$G18,'- 60 -'!$F18,B18:E18)+Data!Q18</f>
        <v>37282072</v>
      </c>
    </row>
    <row r="19" spans="1:6" ht="14.1" customHeight="1" x14ac:dyDescent="0.2">
      <c r="A19" s="354" t="s">
        <v>117</v>
      </c>
      <c r="B19" s="352">
        <v>10782397</v>
      </c>
      <c r="C19" s="352">
        <v>0</v>
      </c>
      <c r="D19" s="352">
        <v>0</v>
      </c>
      <c r="E19" s="352">
        <v>152287</v>
      </c>
      <c r="F19" s="352">
        <f>SUM('- 58 -'!$G19,'- 60 -'!$F19,B19:E19)+Data!Q19</f>
        <v>29121518</v>
      </c>
    </row>
    <row r="20" spans="1:6" ht="14.1" customHeight="1" x14ac:dyDescent="0.2">
      <c r="A20" s="237" t="s">
        <v>118</v>
      </c>
      <c r="B20" s="151">
        <v>20304939</v>
      </c>
      <c r="C20" s="151">
        <v>0</v>
      </c>
      <c r="D20" s="151">
        <v>0</v>
      </c>
      <c r="E20" s="151">
        <v>299840</v>
      </c>
      <c r="F20" s="151">
        <f>SUM('- 58 -'!$G20,'- 60 -'!$F20,B20:E20)+Data!Q20</f>
        <v>52467533</v>
      </c>
    </row>
    <row r="21" spans="1:6" ht="14.1" customHeight="1" x14ac:dyDescent="0.2">
      <c r="A21" s="354" t="s">
        <v>119</v>
      </c>
      <c r="B21" s="352">
        <v>3753086</v>
      </c>
      <c r="C21" s="352">
        <v>0</v>
      </c>
      <c r="D21" s="352">
        <v>183495</v>
      </c>
      <c r="E21" s="352">
        <v>154280</v>
      </c>
      <c r="F21" s="352">
        <f>SUM('- 58 -'!$G21,'- 60 -'!$F21,B21:E21)+Data!Q21</f>
        <v>16764872</v>
      </c>
    </row>
    <row r="22" spans="1:6" ht="14.1" customHeight="1" x14ac:dyDescent="0.2">
      <c r="A22" s="237" t="s">
        <v>120</v>
      </c>
      <c r="B22" s="151">
        <v>5403161</v>
      </c>
      <c r="C22" s="151">
        <v>970692</v>
      </c>
      <c r="D22" s="151">
        <v>0</v>
      </c>
      <c r="E22" s="151">
        <v>78040</v>
      </c>
      <c r="F22" s="151">
        <f>SUM('- 58 -'!$G22,'- 60 -'!$F22,B22:E22)+Data!Q22</f>
        <v>14076934</v>
      </c>
    </row>
    <row r="23" spans="1:6" ht="14.1" customHeight="1" x14ac:dyDescent="0.2">
      <c r="A23" s="354" t="s">
        <v>121</v>
      </c>
      <c r="B23" s="352">
        <v>2710144</v>
      </c>
      <c r="C23" s="352">
        <v>419953</v>
      </c>
      <c r="D23" s="352">
        <v>425550</v>
      </c>
      <c r="E23" s="352">
        <v>143559</v>
      </c>
      <c r="F23" s="352">
        <f>SUM('- 58 -'!$G23,'- 60 -'!$F23,B23:E23)+Data!Q23</f>
        <v>9409553</v>
      </c>
    </row>
    <row r="24" spans="1:6" ht="14.1" customHeight="1" x14ac:dyDescent="0.2">
      <c r="A24" s="237" t="s">
        <v>122</v>
      </c>
      <c r="B24" s="151">
        <v>4529057</v>
      </c>
      <c r="C24" s="151">
        <v>0</v>
      </c>
      <c r="D24" s="151">
        <v>931345</v>
      </c>
      <c r="E24" s="151">
        <v>302946</v>
      </c>
      <c r="F24" s="151">
        <f>SUM('- 58 -'!$G24,'- 60 -'!$F24,B24:E24)+Data!Q24</f>
        <v>23222721</v>
      </c>
    </row>
    <row r="25" spans="1:6" ht="14.1" customHeight="1" x14ac:dyDescent="0.2">
      <c r="A25" s="354" t="s">
        <v>123</v>
      </c>
      <c r="B25" s="352">
        <v>18300341</v>
      </c>
      <c r="C25" s="352">
        <v>0</v>
      </c>
      <c r="D25" s="352">
        <v>0</v>
      </c>
      <c r="E25" s="352">
        <v>689965</v>
      </c>
      <c r="F25" s="352">
        <f>SUM('- 58 -'!$G25,'- 60 -'!$F25,B25:E25)+Data!Q25</f>
        <v>79354048</v>
      </c>
    </row>
    <row r="26" spans="1:6" ht="14.1" customHeight="1" x14ac:dyDescent="0.2">
      <c r="A26" s="237" t="s">
        <v>124</v>
      </c>
      <c r="B26" s="151">
        <v>6573491</v>
      </c>
      <c r="C26" s="151">
        <v>719357</v>
      </c>
      <c r="D26" s="151">
        <v>0</v>
      </c>
      <c r="E26" s="151">
        <v>312480</v>
      </c>
      <c r="F26" s="151">
        <f>SUM('- 58 -'!$G26,'- 60 -'!$F26,B26:E26)+Data!Q26</f>
        <v>21809586</v>
      </c>
    </row>
    <row r="27" spans="1:6" ht="14.1" customHeight="1" x14ac:dyDescent="0.2">
      <c r="A27" s="354" t="s">
        <v>125</v>
      </c>
      <c r="B27" s="352">
        <v>12281498</v>
      </c>
      <c r="C27" s="352">
        <v>3841201</v>
      </c>
      <c r="D27" s="352">
        <v>0</v>
      </c>
      <c r="E27" s="352">
        <v>161475</v>
      </c>
      <c r="F27" s="352">
        <f>SUM('- 58 -'!$G27,'- 60 -'!$F27,B27:E27)+Data!Q27</f>
        <v>30516266</v>
      </c>
    </row>
    <row r="28" spans="1:6" ht="14.1" customHeight="1" x14ac:dyDescent="0.2">
      <c r="A28" s="237" t="s">
        <v>126</v>
      </c>
      <c r="B28" s="151">
        <v>449709</v>
      </c>
      <c r="C28" s="151">
        <v>0</v>
      </c>
      <c r="D28" s="151">
        <v>1681082</v>
      </c>
      <c r="E28" s="151">
        <v>137680</v>
      </c>
      <c r="F28" s="151">
        <f>SUM('- 58 -'!$G28,'- 60 -'!$F28,B28:E28)+Data!Q28</f>
        <v>10325241</v>
      </c>
    </row>
    <row r="29" spans="1:6" ht="14.1" customHeight="1" x14ac:dyDescent="0.2">
      <c r="A29" s="354" t="s">
        <v>127</v>
      </c>
      <c r="B29" s="352">
        <v>2535839</v>
      </c>
      <c r="C29" s="352">
        <v>0</v>
      </c>
      <c r="D29" s="352">
        <v>0</v>
      </c>
      <c r="E29" s="352">
        <v>423500</v>
      </c>
      <c r="F29" s="352">
        <f>SUM('- 58 -'!$G29,'- 60 -'!$F29,B29:E29)+Data!Q29</f>
        <v>56966422</v>
      </c>
    </row>
    <row r="30" spans="1:6" ht="14.1" customHeight="1" x14ac:dyDescent="0.2">
      <c r="A30" s="237" t="s">
        <v>128</v>
      </c>
      <c r="B30" s="151">
        <v>931193</v>
      </c>
      <c r="C30" s="151">
        <v>0</v>
      </c>
      <c r="D30" s="151">
        <v>792614</v>
      </c>
      <c r="E30" s="151">
        <v>134062</v>
      </c>
      <c r="F30" s="151">
        <f>SUM('- 58 -'!$G30,'- 60 -'!$F30,B30:E30)+Data!Q30</f>
        <v>7318044</v>
      </c>
    </row>
    <row r="31" spans="1:6" ht="14.1" customHeight="1" x14ac:dyDescent="0.2">
      <c r="A31" s="354" t="s">
        <v>129</v>
      </c>
      <c r="B31" s="352">
        <v>4890247</v>
      </c>
      <c r="C31" s="352">
        <v>0</v>
      </c>
      <c r="D31" s="352">
        <v>0</v>
      </c>
      <c r="E31" s="352">
        <v>282429</v>
      </c>
      <c r="F31" s="352">
        <f>SUM('- 58 -'!$G31,'- 60 -'!$F31,B31:E31)+Data!Q31</f>
        <v>19022150</v>
      </c>
    </row>
    <row r="32" spans="1:6" ht="14.1" customHeight="1" x14ac:dyDescent="0.2">
      <c r="A32" s="237" t="s">
        <v>130</v>
      </c>
      <c r="B32" s="151">
        <v>124327</v>
      </c>
      <c r="C32" s="151">
        <v>0</v>
      </c>
      <c r="D32" s="151">
        <v>1291535</v>
      </c>
      <c r="E32" s="151">
        <v>164636</v>
      </c>
      <c r="F32" s="151">
        <f>SUM('- 58 -'!$G32,'- 60 -'!$F32,B32:E32)+Data!Q32</f>
        <v>12464725</v>
      </c>
    </row>
    <row r="33" spans="1:6" ht="14.1" customHeight="1" x14ac:dyDescent="0.2">
      <c r="A33" s="354" t="s">
        <v>131</v>
      </c>
      <c r="B33" s="352">
        <v>0</v>
      </c>
      <c r="C33" s="352">
        <v>0</v>
      </c>
      <c r="D33" s="352">
        <v>2451376</v>
      </c>
      <c r="E33" s="352">
        <v>199943</v>
      </c>
      <c r="F33" s="352">
        <f>SUM('- 58 -'!$G33,'- 60 -'!$F33,B33:E33)+Data!Q33</f>
        <v>13598993</v>
      </c>
    </row>
    <row r="34" spans="1:6" ht="14.1" customHeight="1" x14ac:dyDescent="0.2">
      <c r="A34" s="237" t="s">
        <v>132</v>
      </c>
      <c r="B34" s="151">
        <v>0</v>
      </c>
      <c r="C34" s="151">
        <v>0</v>
      </c>
      <c r="D34" s="151">
        <v>901636</v>
      </c>
      <c r="E34" s="151">
        <v>120620</v>
      </c>
      <c r="F34" s="151">
        <f>SUM('- 58 -'!$G34,'- 60 -'!$F34,B34:E34)+Data!Q34</f>
        <v>12080479</v>
      </c>
    </row>
    <row r="35" spans="1:6" ht="14.1" customHeight="1" x14ac:dyDescent="0.2">
      <c r="A35" s="354" t="s">
        <v>133</v>
      </c>
      <c r="B35" s="352">
        <v>26220151</v>
      </c>
      <c r="C35" s="352">
        <v>3036165</v>
      </c>
      <c r="D35" s="352">
        <v>0</v>
      </c>
      <c r="E35" s="352">
        <v>778961</v>
      </c>
      <c r="F35" s="352">
        <f>SUM('- 58 -'!$G35,'- 60 -'!$F35,B35:E35)+Data!Q35</f>
        <v>95204016</v>
      </c>
    </row>
    <row r="36" spans="1:6" ht="14.1" customHeight="1" x14ac:dyDescent="0.2">
      <c r="A36" s="237" t="s">
        <v>134</v>
      </c>
      <c r="B36" s="151">
        <v>105002</v>
      </c>
      <c r="C36" s="151">
        <v>0</v>
      </c>
      <c r="D36" s="151">
        <v>1822167</v>
      </c>
      <c r="E36" s="151">
        <v>190044</v>
      </c>
      <c r="F36" s="151">
        <f>SUM('- 58 -'!$G36,'- 60 -'!$F36,B36:E36)+Data!Q36</f>
        <v>9857331</v>
      </c>
    </row>
    <row r="37" spans="1:6" ht="14.1" customHeight="1" x14ac:dyDescent="0.2">
      <c r="A37" s="354" t="s">
        <v>135</v>
      </c>
      <c r="B37" s="352">
        <v>10251297</v>
      </c>
      <c r="C37" s="352">
        <v>0</v>
      </c>
      <c r="D37" s="352">
        <v>0</v>
      </c>
      <c r="E37" s="352">
        <v>151658</v>
      </c>
      <c r="F37" s="352">
        <f>SUM('- 58 -'!$G37,'- 60 -'!$F37,B37:E37)+Data!Q37</f>
        <v>29575731</v>
      </c>
    </row>
    <row r="38" spans="1:6" ht="14.1" customHeight="1" x14ac:dyDescent="0.2">
      <c r="A38" s="237" t="s">
        <v>136</v>
      </c>
      <c r="B38" s="151">
        <v>29347213</v>
      </c>
      <c r="C38" s="151">
        <v>4111702</v>
      </c>
      <c r="D38" s="151">
        <v>0</v>
      </c>
      <c r="E38" s="151">
        <v>412980</v>
      </c>
      <c r="F38" s="151">
        <f>SUM('- 58 -'!$G38,'- 60 -'!$F38,B38:E38)+Data!Q38</f>
        <v>77430488</v>
      </c>
    </row>
    <row r="39" spans="1:6" ht="14.1" customHeight="1" x14ac:dyDescent="0.2">
      <c r="A39" s="354" t="s">
        <v>137</v>
      </c>
      <c r="B39" s="352">
        <v>0</v>
      </c>
      <c r="C39" s="352">
        <v>0</v>
      </c>
      <c r="D39" s="352">
        <v>1110666</v>
      </c>
      <c r="E39" s="352">
        <v>142380</v>
      </c>
      <c r="F39" s="352">
        <f>SUM('- 58 -'!$G39,'- 60 -'!$F39,B39:E39)+Data!Q39</f>
        <v>8846053</v>
      </c>
    </row>
    <row r="40" spans="1:6" ht="14.1" customHeight="1" x14ac:dyDescent="0.2">
      <c r="A40" s="237" t="s">
        <v>138</v>
      </c>
      <c r="B40" s="151">
        <v>2876965</v>
      </c>
      <c r="C40" s="151">
        <v>0</v>
      </c>
      <c r="D40" s="151">
        <v>484927</v>
      </c>
      <c r="E40" s="151">
        <v>545443</v>
      </c>
      <c r="F40" s="151">
        <f>SUM('- 58 -'!$G40,'- 60 -'!$F40,B40:E40)+Data!Q40</f>
        <v>37548282</v>
      </c>
    </row>
    <row r="41" spans="1:6" ht="14.1" customHeight="1" x14ac:dyDescent="0.2">
      <c r="A41" s="354" t="s">
        <v>139</v>
      </c>
      <c r="B41" s="352">
        <v>3979385</v>
      </c>
      <c r="C41" s="352">
        <v>0</v>
      </c>
      <c r="D41" s="352">
        <v>0</v>
      </c>
      <c r="E41" s="352">
        <v>262136</v>
      </c>
      <c r="F41" s="352">
        <f>SUM('- 58 -'!$G41,'- 60 -'!$F41,B41:E41)+Data!Q41</f>
        <v>25104057</v>
      </c>
    </row>
    <row r="42" spans="1:6" ht="14.1" customHeight="1" x14ac:dyDescent="0.2">
      <c r="A42" s="237" t="s">
        <v>140</v>
      </c>
      <c r="B42" s="151">
        <v>2954993</v>
      </c>
      <c r="C42" s="151">
        <v>557431</v>
      </c>
      <c r="D42" s="151">
        <v>416270</v>
      </c>
      <c r="E42" s="151">
        <v>175236</v>
      </c>
      <c r="F42" s="151">
        <f>SUM('- 58 -'!$G42,'- 60 -'!$F42,B42:E42)+Data!Q42</f>
        <v>11343305</v>
      </c>
    </row>
    <row r="43" spans="1:6" ht="14.1" customHeight="1" x14ac:dyDescent="0.2">
      <c r="A43" s="354" t="s">
        <v>141</v>
      </c>
      <c r="B43" s="352">
        <v>59651</v>
      </c>
      <c r="C43" s="352">
        <v>0</v>
      </c>
      <c r="D43" s="352">
        <v>1021636</v>
      </c>
      <c r="E43" s="352">
        <v>61080</v>
      </c>
      <c r="F43" s="352">
        <f>SUM('- 58 -'!$G43,'- 60 -'!$F43,B43:E43)+Data!Q43</f>
        <v>5825855</v>
      </c>
    </row>
    <row r="44" spans="1:6" ht="14.1" customHeight="1" x14ac:dyDescent="0.2">
      <c r="A44" s="237" t="s">
        <v>142</v>
      </c>
      <c r="B44" s="151">
        <v>2163035</v>
      </c>
      <c r="C44" s="151">
        <v>434059</v>
      </c>
      <c r="D44" s="151">
        <v>64674</v>
      </c>
      <c r="E44" s="151">
        <v>137585</v>
      </c>
      <c r="F44" s="151">
        <f>SUM('- 58 -'!$G44,'- 60 -'!$F44,B44:E44)+Data!Q44</f>
        <v>7178660</v>
      </c>
    </row>
    <row r="45" spans="1:6" ht="14.1" customHeight="1" x14ac:dyDescent="0.2">
      <c r="A45" s="354" t="s">
        <v>143</v>
      </c>
      <c r="B45" s="352">
        <v>3703211</v>
      </c>
      <c r="C45" s="352">
        <v>0</v>
      </c>
      <c r="D45" s="352">
        <v>0</v>
      </c>
      <c r="E45" s="352">
        <v>49517</v>
      </c>
      <c r="F45" s="352">
        <f>SUM('- 58 -'!$G45,'- 60 -'!$F45,B45:E45)+Data!Q45</f>
        <v>10686869</v>
      </c>
    </row>
    <row r="46" spans="1:6" ht="14.1" customHeight="1" x14ac:dyDescent="0.2">
      <c r="A46" s="237" t="s">
        <v>144</v>
      </c>
      <c r="B46" s="151">
        <v>51785048</v>
      </c>
      <c r="C46" s="151">
        <v>4863665</v>
      </c>
      <c r="D46" s="151">
        <v>0</v>
      </c>
      <c r="E46" s="151">
        <v>1710152</v>
      </c>
      <c r="F46" s="151">
        <f>SUM('- 58 -'!$G46,'- 60 -'!$F46,B46:E46)+Data!Q46</f>
        <v>185480652</v>
      </c>
    </row>
    <row r="47" spans="1:6" ht="5.0999999999999996" customHeight="1" x14ac:dyDescent="0.2">
      <c r="A47" s="130"/>
      <c r="B47" s="152"/>
      <c r="C47" s="152"/>
      <c r="D47" s="152"/>
      <c r="E47" s="152"/>
      <c r="F47" s="152"/>
    </row>
    <row r="48" spans="1:6" ht="14.1" customHeight="1" x14ac:dyDescent="0.2">
      <c r="A48" s="355" t="s">
        <v>145</v>
      </c>
      <c r="B48" s="356">
        <f t="shared" ref="B48:C48" si="0">SUM(B11:B46)</f>
        <v>279064402</v>
      </c>
      <c r="C48" s="356">
        <f t="shared" si="0"/>
        <v>23922974</v>
      </c>
      <c r="D48" s="356">
        <f t="shared" ref="D48:E48" si="1">SUM(D11:D46)</f>
        <v>16358095</v>
      </c>
      <c r="E48" s="356">
        <f t="shared" si="1"/>
        <v>9944803</v>
      </c>
      <c r="F48" s="356">
        <f>SUM(F11:F46)</f>
        <v>1086042480</v>
      </c>
    </row>
    <row r="49" spans="1:6" ht="5.0999999999999996" customHeight="1" x14ac:dyDescent="0.2">
      <c r="A49" s="130" t="s">
        <v>7</v>
      </c>
      <c r="B49" s="152"/>
      <c r="C49" s="152"/>
      <c r="D49" s="152"/>
      <c r="E49" s="152"/>
      <c r="F49" s="152"/>
    </row>
    <row r="50" spans="1:6" ht="14.1" customHeight="1" x14ac:dyDescent="0.2">
      <c r="A50" s="237" t="s">
        <v>146</v>
      </c>
      <c r="B50" s="151">
        <v>0</v>
      </c>
      <c r="C50" s="151">
        <v>0</v>
      </c>
      <c r="D50" s="151">
        <v>154605</v>
      </c>
      <c r="E50" s="151">
        <v>114</v>
      </c>
      <c r="F50" s="151">
        <f>SUM('- 58 -'!$G50,'- 60 -'!$F50,B50:E50)+Data!Q50</f>
        <v>914415</v>
      </c>
    </row>
    <row r="51" spans="1:6" ht="14.1" customHeight="1" x14ac:dyDescent="0.2">
      <c r="A51" s="354" t="s">
        <v>601</v>
      </c>
      <c r="B51" s="352">
        <v>0</v>
      </c>
      <c r="C51" s="352">
        <v>0</v>
      </c>
      <c r="D51" s="352">
        <v>0</v>
      </c>
      <c r="E51" s="352">
        <v>0</v>
      </c>
      <c r="F51" s="352">
        <f>SUM('- 58 -'!$G51,'- 60 -'!$F51,B51:E51)+Data!Q51</f>
        <v>0</v>
      </c>
    </row>
    <row r="52" spans="1:6" ht="50.1" customHeight="1" x14ac:dyDescent="0.2">
      <c r="A52" s="23"/>
      <c r="B52" s="23"/>
      <c r="C52" s="23"/>
      <c r="D52" s="23"/>
      <c r="E52" s="23"/>
      <c r="F52" s="23"/>
    </row>
    <row r="53" spans="1:6" ht="15" customHeight="1" x14ac:dyDescent="0.2">
      <c r="A53" s="824" t="s">
        <v>586</v>
      </c>
      <c r="B53" s="824"/>
      <c r="C53" s="824"/>
      <c r="D53" s="824"/>
      <c r="E53" s="824"/>
      <c r="F53" s="824"/>
    </row>
    <row r="54" spans="1:6" ht="12" customHeight="1" x14ac:dyDescent="0.2">
      <c r="A54" s="823"/>
      <c r="B54" s="823"/>
      <c r="C54" s="823"/>
      <c r="D54" s="823"/>
      <c r="E54" s="823"/>
      <c r="F54" s="823"/>
    </row>
    <row r="55" spans="1:6" x14ac:dyDescent="0.2">
      <c r="A55" s="823" t="s">
        <v>639</v>
      </c>
      <c r="B55" s="823"/>
      <c r="C55" s="823"/>
      <c r="D55" s="823"/>
      <c r="E55" s="823"/>
      <c r="F55" s="823"/>
    </row>
    <row r="56" spans="1:6" x14ac:dyDescent="0.2">
      <c r="A56" s="823"/>
      <c r="B56" s="823"/>
      <c r="C56" s="823"/>
      <c r="D56" s="823"/>
      <c r="E56" s="823"/>
      <c r="F56" s="823"/>
    </row>
    <row r="57" spans="1:6" x14ac:dyDescent="0.2">
      <c r="A57" s="527" t="str">
        <f>"(3)  Formula Guarantee is provided to ensure that every school division receives at least 98% of the funding provided in "&amp;PrevY&amp;"."</f>
        <v>(3)  Formula Guarantee is provided to ensure that every school division receives at least 98% of the funding provided in 2017/18.</v>
      </c>
    </row>
    <row r="58" spans="1:6" x14ac:dyDescent="0.2">
      <c r="A58" s="24" t="s">
        <v>385</v>
      </c>
    </row>
    <row r="59" spans="1:6" x14ac:dyDescent="0.2">
      <c r="A59" s="2" t="s">
        <v>386</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
    <pageSetUpPr fitToPage="1"/>
  </sheetPr>
  <dimension ref="A1:I64"/>
  <sheetViews>
    <sheetView showGridLines="0" showZeros="0" workbookViewId="0"/>
  </sheetViews>
  <sheetFormatPr defaultColWidth="14.83203125" defaultRowHeight="12" x14ac:dyDescent="0.2"/>
  <cols>
    <col min="1" max="1" width="27.83203125" style="2" customWidth="1"/>
    <col min="2" max="2" width="20" style="2" customWidth="1"/>
    <col min="3" max="3" width="22.83203125" style="2" customWidth="1"/>
    <col min="4" max="4" width="23.6640625" style="2" customWidth="1"/>
    <col min="5" max="5" width="14.83203125" style="2" hidden="1" customWidth="1"/>
    <col min="6" max="6" width="34" style="2" customWidth="1"/>
    <col min="7" max="16384" width="14.83203125" style="2"/>
  </cols>
  <sheetData>
    <row r="1" spans="1:9" ht="6.95" customHeight="1" x14ac:dyDescent="0.2">
      <c r="A1" s="7"/>
      <c r="B1" s="8"/>
    </row>
    <row r="2" spans="1:9" ht="18" customHeight="1" x14ac:dyDescent="0.2">
      <c r="A2" s="251"/>
      <c r="B2" s="577"/>
      <c r="C2" s="577" t="s">
        <v>280</v>
      </c>
      <c r="D2" s="482" t="str">
        <f>Data!B5&amp; " ACTUAL"</f>
        <v>2018/19 ACTUAL</v>
      </c>
      <c r="F2" s="386" t="s">
        <v>11</v>
      </c>
    </row>
    <row r="3" spans="1:9" ht="3.95" customHeight="1" x14ac:dyDescent="0.2">
      <c r="A3" s="536"/>
      <c r="B3" s="253"/>
      <c r="C3" s="253"/>
      <c r="D3" s="258"/>
    </row>
    <row r="4" spans="1:9" ht="14.1" customHeight="1" x14ac:dyDescent="0.2">
      <c r="A4" s="259"/>
      <c r="B4" s="828" t="s">
        <v>250</v>
      </c>
      <c r="C4" s="829"/>
      <c r="D4" s="830"/>
    </row>
    <row r="5" spans="1:9" ht="12.95" customHeight="1" x14ac:dyDescent="0.2">
      <c r="A5" s="260"/>
      <c r="B5" s="257"/>
      <c r="C5" s="732" t="s">
        <v>611</v>
      </c>
      <c r="D5" s="257"/>
    </row>
    <row r="6" spans="1:9" ht="12.95" customHeight="1" x14ac:dyDescent="0.2">
      <c r="A6" s="255"/>
      <c r="B6" s="257"/>
      <c r="C6" s="817"/>
      <c r="D6" s="257"/>
    </row>
    <row r="7" spans="1:9" ht="12.95" customHeight="1" x14ac:dyDescent="0.2">
      <c r="A7" s="255"/>
      <c r="B7" s="257"/>
      <c r="C7" s="817"/>
      <c r="D7" s="257"/>
    </row>
    <row r="8" spans="1:9" ht="12.95" customHeight="1" x14ac:dyDescent="0.2">
      <c r="A8" s="255"/>
      <c r="B8" s="257"/>
      <c r="C8" s="817"/>
      <c r="D8" s="257"/>
    </row>
    <row r="9" spans="1:9" ht="12.95" customHeight="1" x14ac:dyDescent="0.2">
      <c r="A9" s="255"/>
      <c r="B9" s="817" t="s">
        <v>610</v>
      </c>
      <c r="C9" s="817"/>
      <c r="D9" s="817" t="s">
        <v>612</v>
      </c>
    </row>
    <row r="10" spans="1:9" ht="12.95" customHeight="1" x14ac:dyDescent="0.2">
      <c r="A10" s="16"/>
      <c r="B10" s="817"/>
      <c r="C10" s="817"/>
      <c r="D10" s="817"/>
    </row>
    <row r="11" spans="1:9" ht="12.95" customHeight="1" x14ac:dyDescent="0.2">
      <c r="A11" s="17" t="s">
        <v>42</v>
      </c>
      <c r="B11" s="818"/>
      <c r="C11" s="818"/>
      <c r="D11" s="818"/>
      <c r="I11" s="510" t="str">
        <f>IF(SUM(I13:I53)&lt;&gt;0,"Check","")</f>
        <v/>
      </c>
    </row>
    <row r="12" spans="1:9" ht="5.0999999999999996" customHeight="1" x14ac:dyDescent="0.2">
      <c r="A12" s="18"/>
    </row>
    <row r="13" spans="1:9" ht="13.5" customHeight="1" x14ac:dyDescent="0.2">
      <c r="A13" s="354" t="s">
        <v>110</v>
      </c>
      <c r="B13" s="352">
        <v>646032</v>
      </c>
      <c r="C13" s="352">
        <f>-Data!L11-Data!M11-Data!N11-Data!O11</f>
        <v>-26330</v>
      </c>
      <c r="D13" s="352">
        <f>SUM(B13:C13)</f>
        <v>619702</v>
      </c>
      <c r="E13" s="352">
        <v>619702</v>
      </c>
      <c r="I13" s="510">
        <f t="shared" ref="I13:I48" si="0">D13-E13</f>
        <v>0</v>
      </c>
    </row>
    <row r="14" spans="1:9" ht="13.5" customHeight="1" x14ac:dyDescent="0.2">
      <c r="A14" s="237" t="s">
        <v>111</v>
      </c>
      <c r="B14" s="151">
        <v>1165356</v>
      </c>
      <c r="C14" s="151">
        <f>-Data!L12-Data!M12-Data!N12-Data!O12</f>
        <v>-47231</v>
      </c>
      <c r="D14" s="151">
        <f>SUM(B14:C14)</f>
        <v>1118125</v>
      </c>
      <c r="E14" s="151">
        <v>1118125</v>
      </c>
      <c r="I14" s="510">
        <f t="shared" si="0"/>
        <v>0</v>
      </c>
    </row>
    <row r="15" spans="1:9" ht="13.5" customHeight="1" x14ac:dyDescent="0.2">
      <c r="A15" s="354" t="s">
        <v>112</v>
      </c>
      <c r="B15" s="352">
        <v>3164855</v>
      </c>
      <c r="C15" s="352">
        <f>-Data!L13-Data!M13-Data!N13-Data!O13</f>
        <v>-110806</v>
      </c>
      <c r="D15" s="352">
        <f>SUM(B15:C15)</f>
        <v>3054049</v>
      </c>
      <c r="E15" s="352">
        <v>3054049</v>
      </c>
      <c r="I15" s="510">
        <f t="shared" si="0"/>
        <v>0</v>
      </c>
    </row>
    <row r="16" spans="1:9" ht="13.5" customHeight="1" x14ac:dyDescent="0.2">
      <c r="A16" s="237" t="s">
        <v>359</v>
      </c>
      <c r="B16" s="151"/>
      <c r="C16" s="151"/>
      <c r="D16" s="151"/>
      <c r="E16" s="151"/>
      <c r="I16" s="510">
        <f t="shared" si="0"/>
        <v>0</v>
      </c>
    </row>
    <row r="17" spans="1:9" ht="13.5" customHeight="1" x14ac:dyDescent="0.2">
      <c r="A17" s="354" t="s">
        <v>113</v>
      </c>
      <c r="B17" s="352">
        <v>825598</v>
      </c>
      <c r="C17" s="352">
        <f>-Data!L15-Data!M15-Data!N15-Data!O15</f>
        <v>-41844</v>
      </c>
      <c r="D17" s="352">
        <f>SUM(B17:C17)</f>
        <v>783754</v>
      </c>
      <c r="E17" s="352">
        <v>783754</v>
      </c>
      <c r="I17" s="510">
        <f t="shared" si="0"/>
        <v>0</v>
      </c>
    </row>
    <row r="18" spans="1:9" ht="13.5" customHeight="1" x14ac:dyDescent="0.2">
      <c r="A18" s="237" t="s">
        <v>114</v>
      </c>
      <c r="B18" s="151">
        <v>660764</v>
      </c>
      <c r="C18" s="151">
        <f>-Data!L16-Data!M16-Data!N16-Data!O16</f>
        <v>-29208</v>
      </c>
      <c r="D18" s="151">
        <f>SUM(B18:C18)</f>
        <v>631556</v>
      </c>
      <c r="E18" s="151">
        <v>631556</v>
      </c>
      <c r="I18" s="510">
        <f t="shared" si="0"/>
        <v>0</v>
      </c>
    </row>
    <row r="19" spans="1:9" ht="13.5" customHeight="1" x14ac:dyDescent="0.2">
      <c r="A19" s="354" t="s">
        <v>115</v>
      </c>
      <c r="B19" s="352">
        <v>706669</v>
      </c>
      <c r="C19" s="352">
        <f>-Data!L17-Data!M17-Data!N17-Data!O17</f>
        <v>-42187</v>
      </c>
      <c r="D19" s="352">
        <f>SUM(B19:C19)</f>
        <v>664482</v>
      </c>
      <c r="E19" s="352">
        <v>664482</v>
      </c>
      <c r="I19" s="510">
        <f t="shared" si="0"/>
        <v>0</v>
      </c>
    </row>
    <row r="20" spans="1:9" ht="13.5" customHeight="1" x14ac:dyDescent="0.2">
      <c r="A20" s="237" t="s">
        <v>116</v>
      </c>
      <c r="B20" s="151"/>
      <c r="C20" s="151"/>
      <c r="D20" s="151"/>
      <c r="E20" s="151"/>
      <c r="I20" s="510">
        <f t="shared" si="0"/>
        <v>0</v>
      </c>
    </row>
    <row r="21" spans="1:9" ht="13.5" customHeight="1" x14ac:dyDescent="0.2">
      <c r="A21" s="354" t="s">
        <v>117</v>
      </c>
      <c r="B21" s="352">
        <v>1397883</v>
      </c>
      <c r="C21" s="352">
        <f>-Data!L19-Data!M19-Data!N19-Data!O19</f>
        <v>-37221</v>
      </c>
      <c r="D21" s="352">
        <f t="shared" ref="D21:D48" si="1">SUM(B21:C21)</f>
        <v>1360662</v>
      </c>
      <c r="E21" s="352">
        <v>1360662</v>
      </c>
      <c r="I21" s="510">
        <f t="shared" si="0"/>
        <v>0</v>
      </c>
    </row>
    <row r="22" spans="1:9" ht="13.5" customHeight="1" x14ac:dyDescent="0.2">
      <c r="A22" s="237" t="s">
        <v>118</v>
      </c>
      <c r="B22" s="151">
        <v>2352879</v>
      </c>
      <c r="C22" s="151">
        <f>-Data!L20-Data!M20-Data!N20-Data!O20</f>
        <v>-90962</v>
      </c>
      <c r="D22" s="151">
        <f t="shared" si="1"/>
        <v>2261917</v>
      </c>
      <c r="E22" s="151">
        <v>2261917</v>
      </c>
      <c r="I22" s="510">
        <f t="shared" si="0"/>
        <v>0</v>
      </c>
    </row>
    <row r="23" spans="1:9" ht="13.5" customHeight="1" x14ac:dyDescent="0.2">
      <c r="A23" s="354" t="s">
        <v>119</v>
      </c>
      <c r="B23" s="352">
        <v>1277565</v>
      </c>
      <c r="C23" s="352">
        <f>-Data!L21-Data!M21-Data!N21-Data!O21</f>
        <v>-49170</v>
      </c>
      <c r="D23" s="352">
        <f t="shared" si="1"/>
        <v>1228395</v>
      </c>
      <c r="E23" s="352">
        <v>1228395</v>
      </c>
      <c r="I23" s="510">
        <f t="shared" si="0"/>
        <v>0</v>
      </c>
    </row>
    <row r="24" spans="1:9" ht="13.5" customHeight="1" x14ac:dyDescent="0.2">
      <c r="A24" s="237" t="s">
        <v>120</v>
      </c>
      <c r="B24" s="151">
        <v>795424</v>
      </c>
      <c r="C24" s="151">
        <f>-Data!L22-Data!M22-Data!N22-Data!O22</f>
        <v>-34058</v>
      </c>
      <c r="D24" s="151">
        <f t="shared" si="1"/>
        <v>761366</v>
      </c>
      <c r="E24" s="151">
        <v>761366</v>
      </c>
      <c r="I24" s="510">
        <f t="shared" si="0"/>
        <v>0</v>
      </c>
    </row>
    <row r="25" spans="1:9" ht="13.5" customHeight="1" x14ac:dyDescent="0.2">
      <c r="A25" s="354" t="s">
        <v>121</v>
      </c>
      <c r="B25" s="352">
        <v>659792</v>
      </c>
      <c r="C25" s="352">
        <f>-Data!L23-Data!M23-Data!N23-Data!O23</f>
        <v>-26230</v>
      </c>
      <c r="D25" s="352">
        <f t="shared" si="1"/>
        <v>633562</v>
      </c>
      <c r="E25" s="352">
        <v>633562</v>
      </c>
      <c r="I25" s="510">
        <f t="shared" si="0"/>
        <v>0</v>
      </c>
    </row>
    <row r="26" spans="1:9" ht="13.5" customHeight="1" x14ac:dyDescent="0.2">
      <c r="A26" s="237" t="s">
        <v>122</v>
      </c>
      <c r="B26" s="151">
        <v>1932713</v>
      </c>
      <c r="C26" s="151">
        <f>-Data!L24-Data!M24-Data!N24-Data!O24</f>
        <v>-58973</v>
      </c>
      <c r="D26" s="151">
        <f t="shared" si="1"/>
        <v>1873740</v>
      </c>
      <c r="E26" s="151">
        <v>1873740</v>
      </c>
      <c r="I26" s="510">
        <f t="shared" si="0"/>
        <v>0</v>
      </c>
    </row>
    <row r="27" spans="1:9" ht="13.5" customHeight="1" x14ac:dyDescent="0.2">
      <c r="A27" s="354" t="s">
        <v>123</v>
      </c>
      <c r="B27" s="352">
        <v>8677457</v>
      </c>
      <c r="C27" s="352">
        <f>-Data!L25-Data!M25-Data!N25-Data!O25</f>
        <v>-2855076</v>
      </c>
      <c r="D27" s="352">
        <f t="shared" si="1"/>
        <v>5822381</v>
      </c>
      <c r="E27" s="352">
        <v>5822381</v>
      </c>
      <c r="I27" s="510">
        <f t="shared" si="0"/>
        <v>0</v>
      </c>
    </row>
    <row r="28" spans="1:9" ht="13.5" customHeight="1" x14ac:dyDescent="0.2">
      <c r="A28" s="237" t="s">
        <v>124</v>
      </c>
      <c r="B28" s="151">
        <v>1416068</v>
      </c>
      <c r="C28" s="151">
        <f>-Data!L26-Data!M26-Data!N26-Data!O26</f>
        <v>-40255</v>
      </c>
      <c r="D28" s="151">
        <f t="shared" si="1"/>
        <v>1375813</v>
      </c>
      <c r="E28" s="151">
        <v>1375813</v>
      </c>
      <c r="I28" s="510">
        <f t="shared" si="0"/>
        <v>0</v>
      </c>
    </row>
    <row r="29" spans="1:9" ht="13.5" customHeight="1" x14ac:dyDescent="0.2">
      <c r="A29" s="354" t="s">
        <v>125</v>
      </c>
      <c r="B29" s="352">
        <v>1702894</v>
      </c>
      <c r="C29" s="352">
        <f>-Data!L27-Data!M27-Data!N27-Data!O27</f>
        <v>-47062</v>
      </c>
      <c r="D29" s="352">
        <f t="shared" si="1"/>
        <v>1655832</v>
      </c>
      <c r="E29" s="352">
        <v>1655832</v>
      </c>
      <c r="I29" s="510">
        <f t="shared" si="0"/>
        <v>0</v>
      </c>
    </row>
    <row r="30" spans="1:9" ht="13.5" customHeight="1" x14ac:dyDescent="0.2">
      <c r="A30" s="237" t="s">
        <v>126</v>
      </c>
      <c r="B30" s="151">
        <v>1143954</v>
      </c>
      <c r="C30" s="151">
        <f>-Data!L28-Data!M28-Data!N28-Data!O28</f>
        <v>-272507</v>
      </c>
      <c r="D30" s="151">
        <f t="shared" si="1"/>
        <v>871447</v>
      </c>
      <c r="E30" s="151">
        <v>871447</v>
      </c>
      <c r="I30" s="510">
        <f t="shared" si="0"/>
        <v>0</v>
      </c>
    </row>
    <row r="31" spans="1:9" ht="13.5" customHeight="1" x14ac:dyDescent="0.2">
      <c r="A31" s="354" t="s">
        <v>127</v>
      </c>
      <c r="B31" s="352">
        <v>5989763</v>
      </c>
      <c r="C31" s="352">
        <f>-Data!L29-Data!M29-Data!N29-Data!O29</f>
        <v>-901261</v>
      </c>
      <c r="D31" s="352">
        <f t="shared" si="1"/>
        <v>5088502</v>
      </c>
      <c r="E31" s="352">
        <v>5088502</v>
      </c>
      <c r="I31" s="510">
        <f t="shared" si="0"/>
        <v>0</v>
      </c>
    </row>
    <row r="32" spans="1:9" ht="13.5" customHeight="1" x14ac:dyDescent="0.2">
      <c r="A32" s="237" t="s">
        <v>128</v>
      </c>
      <c r="B32" s="151">
        <v>579246</v>
      </c>
      <c r="C32" s="151">
        <f>-Data!L30-Data!M30-Data!N30-Data!O30</f>
        <v>-30615</v>
      </c>
      <c r="D32" s="151">
        <f t="shared" si="1"/>
        <v>548631</v>
      </c>
      <c r="E32" s="151">
        <v>548631</v>
      </c>
      <c r="I32" s="510">
        <f t="shared" si="0"/>
        <v>0</v>
      </c>
    </row>
    <row r="33" spans="1:9" ht="13.5" customHeight="1" x14ac:dyDescent="0.2">
      <c r="A33" s="354" t="s">
        <v>129</v>
      </c>
      <c r="B33" s="352">
        <v>1357504</v>
      </c>
      <c r="C33" s="352">
        <f>-Data!L31-Data!M31-Data!N31-Data!O31</f>
        <v>-71598</v>
      </c>
      <c r="D33" s="352">
        <f t="shared" si="1"/>
        <v>1285906</v>
      </c>
      <c r="E33" s="352">
        <v>1285906</v>
      </c>
      <c r="I33" s="510">
        <f t="shared" si="0"/>
        <v>0</v>
      </c>
    </row>
    <row r="34" spans="1:9" ht="13.5" customHeight="1" x14ac:dyDescent="0.2">
      <c r="A34" s="237" t="s">
        <v>130</v>
      </c>
      <c r="B34" s="151">
        <v>1133022</v>
      </c>
      <c r="C34" s="151">
        <f>-Data!L32-Data!M32-Data!N32-Data!O32</f>
        <v>-44136</v>
      </c>
      <c r="D34" s="151">
        <f t="shared" si="1"/>
        <v>1088886</v>
      </c>
      <c r="E34" s="151">
        <v>1088886</v>
      </c>
      <c r="I34" s="510">
        <f t="shared" si="0"/>
        <v>0</v>
      </c>
    </row>
    <row r="35" spans="1:9" ht="13.5" customHeight="1" x14ac:dyDescent="0.2">
      <c r="A35" s="354" t="s">
        <v>131</v>
      </c>
      <c r="B35" s="352">
        <v>875657</v>
      </c>
      <c r="C35" s="352">
        <f>-Data!L33-Data!M33-Data!N33-Data!O33</f>
        <v>-77045</v>
      </c>
      <c r="D35" s="352">
        <f t="shared" si="1"/>
        <v>798612</v>
      </c>
      <c r="E35" s="352">
        <v>798612</v>
      </c>
      <c r="I35" s="510">
        <f t="shared" si="0"/>
        <v>0</v>
      </c>
    </row>
    <row r="36" spans="1:9" ht="13.5" customHeight="1" x14ac:dyDescent="0.2">
      <c r="A36" s="237" t="s">
        <v>132</v>
      </c>
      <c r="B36" s="151">
        <v>1114986</v>
      </c>
      <c r="C36" s="151">
        <f>-Data!L34-Data!M34-Data!N34-Data!O34</f>
        <v>-37948</v>
      </c>
      <c r="D36" s="151">
        <f t="shared" si="1"/>
        <v>1077038</v>
      </c>
      <c r="E36" s="151">
        <v>1077038</v>
      </c>
      <c r="I36" s="510">
        <f t="shared" si="0"/>
        <v>0</v>
      </c>
    </row>
    <row r="37" spans="1:9" ht="13.5" customHeight="1" x14ac:dyDescent="0.2">
      <c r="A37" s="354" t="s">
        <v>133</v>
      </c>
      <c r="B37" s="352">
        <v>6044417</v>
      </c>
      <c r="C37" s="352">
        <f>-Data!L35-Data!M35-Data!N35-Data!O35</f>
        <v>-691585</v>
      </c>
      <c r="D37" s="352">
        <f t="shared" si="1"/>
        <v>5352832</v>
      </c>
      <c r="E37" s="352">
        <v>5352832</v>
      </c>
      <c r="I37" s="510">
        <f t="shared" si="0"/>
        <v>0</v>
      </c>
    </row>
    <row r="38" spans="1:9" ht="13.5" customHeight="1" x14ac:dyDescent="0.2">
      <c r="A38" s="237" t="s">
        <v>134</v>
      </c>
      <c r="B38" s="151">
        <v>879345</v>
      </c>
      <c r="C38" s="151">
        <f>-Data!L36-Data!M36-Data!N36-Data!O36</f>
        <v>-61451</v>
      </c>
      <c r="D38" s="151">
        <f t="shared" si="1"/>
        <v>817894</v>
      </c>
      <c r="E38" s="151">
        <v>817894</v>
      </c>
      <c r="I38" s="510">
        <f t="shared" si="0"/>
        <v>0</v>
      </c>
    </row>
    <row r="39" spans="1:9" ht="13.5" customHeight="1" x14ac:dyDescent="0.2">
      <c r="A39" s="354" t="s">
        <v>135</v>
      </c>
      <c r="B39" s="352">
        <v>1558875</v>
      </c>
      <c r="C39" s="352">
        <f>-Data!L37-Data!M37-Data!N37-Data!O37</f>
        <v>-75684</v>
      </c>
      <c r="D39" s="352">
        <f t="shared" si="1"/>
        <v>1483191</v>
      </c>
      <c r="E39" s="352">
        <v>1483191</v>
      </c>
      <c r="I39" s="510">
        <f t="shared" si="0"/>
        <v>0</v>
      </c>
    </row>
    <row r="40" spans="1:9" ht="13.5" customHeight="1" x14ac:dyDescent="0.2">
      <c r="A40" s="237" t="s">
        <v>136</v>
      </c>
      <c r="B40" s="151">
        <v>4324746</v>
      </c>
      <c r="C40" s="151">
        <f>-Data!L38-Data!M38-Data!N38-Data!O38</f>
        <v>-69046</v>
      </c>
      <c r="D40" s="151">
        <f t="shared" si="1"/>
        <v>4255700</v>
      </c>
      <c r="E40" s="151">
        <v>4255700</v>
      </c>
      <c r="I40" s="510">
        <f t="shared" si="0"/>
        <v>0</v>
      </c>
    </row>
    <row r="41" spans="1:9" ht="13.5" customHeight="1" x14ac:dyDescent="0.2">
      <c r="A41" s="354" t="s">
        <v>137</v>
      </c>
      <c r="B41" s="352">
        <v>858896</v>
      </c>
      <c r="C41" s="352">
        <f>-Data!L39-Data!M39-Data!N39-Data!O39</f>
        <v>-42911</v>
      </c>
      <c r="D41" s="352">
        <f t="shared" si="1"/>
        <v>815985</v>
      </c>
      <c r="E41" s="352">
        <v>815985</v>
      </c>
      <c r="I41" s="510">
        <f t="shared" si="0"/>
        <v>0</v>
      </c>
    </row>
    <row r="42" spans="1:9" ht="13.5" customHeight="1" x14ac:dyDescent="0.2">
      <c r="A42" s="237" t="s">
        <v>138</v>
      </c>
      <c r="B42" s="151">
        <v>3472171</v>
      </c>
      <c r="C42" s="151">
        <f>-Data!L40-Data!M40-Data!N40-Data!O40</f>
        <v>-415465</v>
      </c>
      <c r="D42" s="151">
        <f t="shared" si="1"/>
        <v>3056706</v>
      </c>
      <c r="E42" s="151">
        <v>3056706</v>
      </c>
      <c r="I42" s="510">
        <f t="shared" si="0"/>
        <v>0</v>
      </c>
    </row>
    <row r="43" spans="1:9" ht="13.5" customHeight="1" x14ac:dyDescent="0.2">
      <c r="A43" s="354" t="s">
        <v>139</v>
      </c>
      <c r="B43" s="352">
        <v>2195823</v>
      </c>
      <c r="C43" s="352">
        <f>-Data!L41-Data!M41-Data!N41-Data!O41</f>
        <v>-98952</v>
      </c>
      <c r="D43" s="352">
        <f t="shared" si="1"/>
        <v>2096871</v>
      </c>
      <c r="E43" s="352">
        <v>2096871</v>
      </c>
      <c r="I43" s="510">
        <f t="shared" si="0"/>
        <v>0</v>
      </c>
    </row>
    <row r="44" spans="1:9" ht="13.5" customHeight="1" x14ac:dyDescent="0.2">
      <c r="A44" s="237" t="s">
        <v>140</v>
      </c>
      <c r="B44" s="151">
        <v>727357</v>
      </c>
      <c r="C44" s="151">
        <f>-Data!L42-Data!M42-Data!N42-Data!O42</f>
        <v>-69016</v>
      </c>
      <c r="D44" s="151">
        <f t="shared" si="1"/>
        <v>658341</v>
      </c>
      <c r="E44" s="151">
        <v>658341</v>
      </c>
      <c r="I44" s="510">
        <f t="shared" si="0"/>
        <v>0</v>
      </c>
    </row>
    <row r="45" spans="1:9" ht="13.5" customHeight="1" x14ac:dyDescent="0.2">
      <c r="A45" s="354" t="s">
        <v>141</v>
      </c>
      <c r="B45" s="352">
        <v>515887</v>
      </c>
      <c r="C45" s="352">
        <f>-Data!L43-Data!M43-Data!N43-Data!O43</f>
        <v>-27525</v>
      </c>
      <c r="D45" s="352">
        <f t="shared" si="1"/>
        <v>488362</v>
      </c>
      <c r="E45" s="352">
        <v>488362</v>
      </c>
      <c r="I45" s="510">
        <f t="shared" si="0"/>
        <v>0</v>
      </c>
    </row>
    <row r="46" spans="1:9" ht="13.5" customHeight="1" x14ac:dyDescent="0.2">
      <c r="A46" s="237" t="s">
        <v>142</v>
      </c>
      <c r="B46" s="151">
        <v>379797</v>
      </c>
      <c r="C46" s="151">
        <f>-Data!L44-Data!M44-Data!N44-Data!O44</f>
        <v>-18532</v>
      </c>
      <c r="D46" s="151">
        <f t="shared" si="1"/>
        <v>361265</v>
      </c>
      <c r="E46" s="151">
        <v>361265</v>
      </c>
      <c r="I46" s="510">
        <f t="shared" si="0"/>
        <v>0</v>
      </c>
    </row>
    <row r="47" spans="1:9" ht="13.5" customHeight="1" x14ac:dyDescent="0.2">
      <c r="A47" s="354" t="s">
        <v>143</v>
      </c>
      <c r="B47" s="352">
        <v>741365</v>
      </c>
      <c r="C47" s="352">
        <f>-Data!L45-Data!M45-Data!N45-Data!O45</f>
        <v>-27190</v>
      </c>
      <c r="D47" s="352">
        <f t="shared" si="1"/>
        <v>714175</v>
      </c>
      <c r="E47" s="352">
        <v>714175</v>
      </c>
      <c r="I47" s="510">
        <f t="shared" si="0"/>
        <v>0</v>
      </c>
    </row>
    <row r="48" spans="1:9" ht="13.5" customHeight="1" x14ac:dyDescent="0.2">
      <c r="A48" s="237" t="s">
        <v>144</v>
      </c>
      <c r="B48" s="151">
        <v>11080601</v>
      </c>
      <c r="C48" s="151">
        <f>-Data!L46-Data!M46-Data!N46-Data!O46</f>
        <v>-587046</v>
      </c>
      <c r="D48" s="151">
        <f t="shared" si="1"/>
        <v>10493555</v>
      </c>
      <c r="E48" s="151">
        <v>10493555</v>
      </c>
      <c r="I48" s="510">
        <f t="shared" si="0"/>
        <v>0</v>
      </c>
    </row>
    <row r="49" spans="1:9" ht="5.0999999999999996" customHeight="1" x14ac:dyDescent="0.2">
      <c r="A49" s="130"/>
      <c r="B49" s="152"/>
      <c r="C49" s="152"/>
      <c r="D49" s="152"/>
      <c r="E49" s="152"/>
      <c r="I49" s="510"/>
    </row>
    <row r="50" spans="1:9" ht="13.5" customHeight="1" x14ac:dyDescent="0.2">
      <c r="A50" s="355" t="s">
        <v>145</v>
      </c>
      <c r="B50" s="356">
        <f t="shared" ref="B50:E50" si="2">SUM(B13:B48)</f>
        <v>72355361</v>
      </c>
      <c r="C50" s="356">
        <f t="shared" si="2"/>
        <v>-7156126</v>
      </c>
      <c r="D50" s="356">
        <f t="shared" si="2"/>
        <v>65199235</v>
      </c>
      <c r="E50" s="356">
        <f t="shared" si="2"/>
        <v>65199235</v>
      </c>
      <c r="I50" s="510">
        <f>D50-E50</f>
        <v>0</v>
      </c>
    </row>
    <row r="51" spans="1:9" ht="5.0999999999999996" customHeight="1" x14ac:dyDescent="0.2">
      <c r="A51" s="130" t="s">
        <v>7</v>
      </c>
      <c r="B51" s="152"/>
      <c r="C51" s="152"/>
      <c r="D51" s="152"/>
      <c r="E51" s="152"/>
      <c r="H51" s="2">
        <f>+G51-B51</f>
        <v>0</v>
      </c>
      <c r="I51" s="510"/>
    </row>
    <row r="52" spans="1:9" ht="13.5" customHeight="1" x14ac:dyDescent="0.2">
      <c r="A52" s="237" t="s">
        <v>146</v>
      </c>
      <c r="B52" s="151"/>
      <c r="C52" s="151">
        <f>-Data!L50-Data!M50-Data!N50-Data!O50</f>
        <v>0</v>
      </c>
      <c r="D52" s="151">
        <f>SUM(B52:C52)</f>
        <v>0</v>
      </c>
      <c r="E52" s="151"/>
      <c r="I52" s="510">
        <f>D52-E52</f>
        <v>0</v>
      </c>
    </row>
    <row r="53" spans="1:9" ht="50.1" customHeight="1" x14ac:dyDescent="0.2">
      <c r="A53" s="23"/>
      <c r="B53" s="23"/>
      <c r="C53" s="23"/>
      <c r="D53" s="23"/>
    </row>
    <row r="54" spans="1:9" ht="14.45" customHeight="1" x14ac:dyDescent="0.2">
      <c r="A54" s="826" t="s">
        <v>648</v>
      </c>
      <c r="B54" s="826"/>
      <c r="C54" s="826"/>
      <c r="D54" s="826"/>
      <c r="E54" s="826"/>
      <c r="F54" s="826"/>
    </row>
    <row r="55" spans="1:9" ht="12" customHeight="1" x14ac:dyDescent="0.2">
      <c r="A55" s="827"/>
      <c r="B55" s="827"/>
      <c r="C55" s="827"/>
      <c r="D55" s="827"/>
      <c r="E55" s="827"/>
      <c r="F55" s="827"/>
    </row>
    <row r="56" spans="1:9" ht="12" customHeight="1" x14ac:dyDescent="0.2">
      <c r="A56" s="827"/>
      <c r="B56" s="827"/>
      <c r="C56" s="827"/>
      <c r="D56" s="827"/>
      <c r="E56" s="827"/>
      <c r="F56" s="827"/>
    </row>
    <row r="57" spans="1:9" ht="12" customHeight="1" x14ac:dyDescent="0.2">
      <c r="A57" s="827"/>
      <c r="B57" s="827"/>
      <c r="C57" s="827"/>
      <c r="D57" s="827"/>
      <c r="E57" s="827"/>
      <c r="F57" s="827"/>
    </row>
    <row r="58" spans="1:9" ht="12" customHeight="1" x14ac:dyDescent="0.2">
      <c r="A58" s="827"/>
      <c r="B58" s="827"/>
      <c r="C58" s="827"/>
      <c r="D58" s="827"/>
      <c r="E58" s="827"/>
      <c r="F58" s="827"/>
    </row>
    <row r="59" spans="1:9" ht="12" customHeight="1" x14ac:dyDescent="0.2">
      <c r="A59" s="827"/>
      <c r="B59" s="827"/>
      <c r="C59" s="827"/>
      <c r="D59" s="827"/>
      <c r="E59" s="827"/>
      <c r="F59" s="827"/>
    </row>
    <row r="60" spans="1:9" ht="9.75" customHeight="1" x14ac:dyDescent="0.2">
      <c r="A60" s="827"/>
      <c r="B60" s="827"/>
      <c r="C60" s="827"/>
      <c r="D60" s="827"/>
      <c r="E60" s="827"/>
      <c r="F60" s="827"/>
    </row>
    <row r="61" spans="1:9" x14ac:dyDescent="0.2">
      <c r="A61" s="578" t="s">
        <v>362</v>
      </c>
      <c r="B61" s="38"/>
    </row>
    <row r="62" spans="1:9" ht="12" customHeight="1" x14ac:dyDescent="0.2"/>
    <row r="63" spans="1:9" ht="12" customHeight="1" x14ac:dyDescent="0.2">
      <c r="A63" s="133"/>
    </row>
    <row r="64" spans="1:9" ht="12" customHeight="1" x14ac:dyDescent="0.2">
      <c r="A64" s="133"/>
    </row>
  </sheetData>
  <mergeCells count="5">
    <mergeCell ref="A54:F60"/>
    <mergeCell ref="B9:B11"/>
    <mergeCell ref="B4:D4"/>
    <mergeCell ref="C5:C11"/>
    <mergeCell ref="D9:D11"/>
  </mergeCells>
  <phoneticPr fontId="0" type="noConversion"/>
  <pageMargins left="0.5" right="0.5" top="0.6" bottom="0.2" header="0.3" footer="0.5"/>
  <pageSetup scale="92"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11">
    <pageSetUpPr fitToPage="1"/>
  </sheetPr>
  <dimension ref="A1:L59"/>
  <sheetViews>
    <sheetView showGridLines="0" showZeros="0" workbookViewId="0"/>
  </sheetViews>
  <sheetFormatPr defaultColWidth="14.83203125" defaultRowHeight="12" x14ac:dyDescent="0.2"/>
  <cols>
    <col min="1" max="1" width="27.33203125" style="2" customWidth="1"/>
    <col min="2" max="2" width="16.83203125" style="2" customWidth="1"/>
    <col min="3" max="3" width="13.5" style="2" customWidth="1"/>
    <col min="4" max="4" width="17.5" style="2" customWidth="1"/>
    <col min="5" max="5" width="16.83203125" style="2" customWidth="1"/>
    <col min="6" max="6" width="17" style="2" customWidth="1"/>
    <col min="7" max="7" width="17.5" style="2" customWidth="1"/>
    <col min="8" max="8" width="13" style="2" bestFit="1" customWidth="1"/>
    <col min="9" max="10" width="14.83203125" style="2" hidden="1" customWidth="1"/>
    <col min="11" max="12" width="0" style="2" hidden="1" customWidth="1"/>
    <col min="13" max="16384" width="14.83203125" style="2"/>
  </cols>
  <sheetData>
    <row r="1" spans="1:12" ht="6.95" customHeight="1" x14ac:dyDescent="0.2">
      <c r="A1" s="7"/>
      <c r="B1" s="8"/>
      <c r="C1" s="8"/>
      <c r="D1" s="8"/>
    </row>
    <row r="2" spans="1:12" ht="20.100000000000001" customHeight="1" x14ac:dyDescent="0.2">
      <c r="A2" s="251"/>
      <c r="B2" s="251" t="str">
        <f>"ADMINISTRATION EXPENSES "&amp;FALLYR&amp;"/"&amp;SPRINGYR&amp;" ACTUAL"</f>
        <v>ADMINISTRATION EXPENSES 2018/2019 ACTUAL</v>
      </c>
      <c r="C2" s="173"/>
      <c r="D2" s="173"/>
      <c r="E2" s="173"/>
      <c r="F2" s="173"/>
      <c r="G2" s="173"/>
      <c r="H2" s="386" t="s">
        <v>77</v>
      </c>
    </row>
    <row r="3" spans="1:12" ht="20.100000000000001" customHeight="1" x14ac:dyDescent="0.2">
      <c r="A3" s="535"/>
      <c r="B3" s="252"/>
      <c r="C3" s="253"/>
      <c r="D3" s="253"/>
      <c r="E3" s="253"/>
      <c r="F3" s="253"/>
      <c r="G3" s="253"/>
      <c r="H3" s="254"/>
    </row>
    <row r="4" spans="1:12" ht="14.1" customHeight="1" x14ac:dyDescent="0.2">
      <c r="A4" s="232"/>
      <c r="B4" s="831" t="s">
        <v>234</v>
      </c>
      <c r="C4" s="832"/>
      <c r="D4" s="832"/>
      <c r="E4" s="832"/>
      <c r="F4" s="832"/>
      <c r="G4" s="832"/>
      <c r="H4" s="833"/>
    </row>
    <row r="5" spans="1:12" ht="4.9000000000000004" customHeight="1" x14ac:dyDescent="0.2">
      <c r="A5" s="255"/>
      <c r="B5" s="256"/>
      <c r="C5" s="256"/>
      <c r="D5" s="256"/>
      <c r="E5" s="256"/>
      <c r="F5" s="256"/>
      <c r="G5" s="256"/>
      <c r="H5" s="256"/>
    </row>
    <row r="6" spans="1:12" ht="3" customHeight="1" x14ac:dyDescent="0.2">
      <c r="A6" s="255"/>
      <c r="B6" s="242"/>
      <c r="C6" s="242"/>
      <c r="D6" s="242"/>
      <c r="E6" s="242"/>
      <c r="F6" s="242"/>
      <c r="G6" s="817" t="s">
        <v>592</v>
      </c>
      <c r="H6" s="817" t="s">
        <v>618</v>
      </c>
    </row>
    <row r="7" spans="1:12" ht="13.9" customHeight="1" x14ac:dyDescent="0.2">
      <c r="A7" s="255"/>
      <c r="B7" s="257"/>
      <c r="C7" s="121"/>
      <c r="D7" s="257"/>
      <c r="E7" s="257"/>
      <c r="F7" s="257"/>
      <c r="G7" s="817"/>
      <c r="H7" s="817"/>
    </row>
    <row r="8" spans="1:12" ht="19.899999999999999" customHeight="1" x14ac:dyDescent="0.2">
      <c r="A8" s="255"/>
      <c r="B8" s="817" t="s">
        <v>588</v>
      </c>
      <c r="C8" s="817" t="s">
        <v>589</v>
      </c>
      <c r="D8" s="817" t="s">
        <v>590</v>
      </c>
      <c r="E8" s="257"/>
      <c r="F8" s="817" t="s">
        <v>607</v>
      </c>
      <c r="G8" s="817"/>
      <c r="H8" s="817"/>
    </row>
    <row r="9" spans="1:12" ht="12.95" customHeight="1" x14ac:dyDescent="0.2">
      <c r="A9" s="255"/>
      <c r="B9" s="817"/>
      <c r="C9" s="817"/>
      <c r="D9" s="817"/>
      <c r="E9" s="817" t="s">
        <v>591</v>
      </c>
      <c r="F9" s="817"/>
      <c r="G9" s="817"/>
      <c r="H9" s="817"/>
    </row>
    <row r="10" spans="1:12" ht="12.95" customHeight="1" x14ac:dyDescent="0.2">
      <c r="A10" s="16"/>
      <c r="B10" s="817"/>
      <c r="C10" s="817"/>
      <c r="D10" s="817"/>
      <c r="E10" s="817"/>
      <c r="F10" s="817"/>
      <c r="G10" s="817"/>
      <c r="H10" s="817"/>
    </row>
    <row r="11" spans="1:12" ht="15.95" customHeight="1" x14ac:dyDescent="0.2">
      <c r="A11" s="17" t="s">
        <v>42</v>
      </c>
      <c r="B11" s="818"/>
      <c r="C11" s="818"/>
      <c r="D11" s="818"/>
      <c r="E11" s="818"/>
      <c r="F11" s="818"/>
      <c r="G11" s="818"/>
      <c r="H11" s="818"/>
    </row>
    <row r="12" spans="1:12" ht="5.0999999999999996" customHeight="1" x14ac:dyDescent="0.2">
      <c r="A12" s="18"/>
      <c r="C12" s="250"/>
      <c r="D12" s="207"/>
      <c r="E12" s="7"/>
    </row>
    <row r="13" spans="1:12" ht="14.1" customHeight="1" x14ac:dyDescent="0.2">
      <c r="A13" s="354" t="s">
        <v>110</v>
      </c>
      <c r="B13" s="352">
        <f>'- 3 -'!B11</f>
        <v>20164916</v>
      </c>
      <c r="C13" s="352">
        <v>419744</v>
      </c>
      <c r="D13" s="352">
        <v>0</v>
      </c>
      <c r="E13" s="352">
        <f>SUM(B13:D13)</f>
        <v>20584660</v>
      </c>
      <c r="F13" s="352">
        <f>'- 62 -'!D13</f>
        <v>619702</v>
      </c>
      <c r="G13" s="291">
        <f>F13/E13*100</f>
        <v>3.0105039383696406</v>
      </c>
      <c r="H13" s="582">
        <f>+Data!P11</f>
        <v>3.4799999999999995</v>
      </c>
      <c r="I13" s="400">
        <v>3.0105039383696405E-2</v>
      </c>
      <c r="J13" s="352">
        <v>20584660</v>
      </c>
      <c r="K13" s="2">
        <f t="shared" ref="K13:K48" si="0">J13-E13</f>
        <v>0</v>
      </c>
      <c r="L13" s="2">
        <f>+H13/100-I13</f>
        <v>4.694960616303593E-3</v>
      </c>
    </row>
    <row r="14" spans="1:12" ht="14.1" customHeight="1" x14ac:dyDescent="0.2">
      <c r="A14" s="237" t="s">
        <v>111</v>
      </c>
      <c r="B14" s="151">
        <f>'- 3 -'!B12</f>
        <v>34421580</v>
      </c>
      <c r="C14" s="151">
        <v>1232044</v>
      </c>
      <c r="D14" s="151">
        <v>-535601</v>
      </c>
      <c r="E14" s="151">
        <f>SUM(B14:D14)</f>
        <v>35118023</v>
      </c>
      <c r="F14" s="151">
        <f>'- 62 -'!D14</f>
        <v>1118125</v>
      </c>
      <c r="G14" s="70">
        <f>F14/E14*100</f>
        <v>3.1839064516815196</v>
      </c>
      <c r="H14" s="376">
        <f>+Data!P12</f>
        <v>3.4299999999999997</v>
      </c>
      <c r="I14" s="140">
        <v>3.1839064516815195E-2</v>
      </c>
      <c r="J14" s="151">
        <v>35118023</v>
      </c>
      <c r="K14" s="2">
        <f t="shared" si="0"/>
        <v>0</v>
      </c>
      <c r="L14" s="2">
        <f t="shared" ref="L14:L48" si="1">+H14/100-I14</f>
        <v>2.4609354831848021E-3</v>
      </c>
    </row>
    <row r="15" spans="1:12" ht="14.1" customHeight="1" x14ac:dyDescent="0.2">
      <c r="A15" s="354" t="s">
        <v>112</v>
      </c>
      <c r="B15" s="352">
        <f>'- 3 -'!B13</f>
        <v>100996773</v>
      </c>
      <c r="C15" s="352">
        <v>1066576</v>
      </c>
      <c r="D15" s="352">
        <v>0</v>
      </c>
      <c r="E15" s="352">
        <f>SUM(B15:D15)</f>
        <v>102063349</v>
      </c>
      <c r="F15" s="352">
        <f>'- 62 -'!D15</f>
        <v>3054049</v>
      </c>
      <c r="G15" s="291">
        <f>F15/E15*100</f>
        <v>2.9923072581128021</v>
      </c>
      <c r="H15" s="582">
        <f>+Data!P13</f>
        <v>3</v>
      </c>
      <c r="I15" s="400">
        <v>2.9923072581128019E-2</v>
      </c>
      <c r="J15" s="352">
        <v>102063349</v>
      </c>
      <c r="K15" s="2">
        <f t="shared" si="0"/>
        <v>0</v>
      </c>
      <c r="L15" s="2">
        <f t="shared" si="1"/>
        <v>7.6927418871979708E-5</v>
      </c>
    </row>
    <row r="16" spans="1:12" ht="14.1" customHeight="1" x14ac:dyDescent="0.2">
      <c r="A16" s="237" t="s">
        <v>359</v>
      </c>
      <c r="B16" s="151"/>
      <c r="C16" s="151">
        <v>0</v>
      </c>
      <c r="D16" s="151"/>
      <c r="E16" s="151"/>
      <c r="F16" s="151"/>
      <c r="G16" s="376" t="s">
        <v>95</v>
      </c>
      <c r="H16" s="376" t="s">
        <v>95</v>
      </c>
      <c r="I16" s="140"/>
      <c r="J16" s="151"/>
      <c r="L16" s="2">
        <v>0</v>
      </c>
    </row>
    <row r="17" spans="1:12" ht="14.1" customHeight="1" x14ac:dyDescent="0.2">
      <c r="A17" s="354" t="s">
        <v>113</v>
      </c>
      <c r="B17" s="352">
        <f>'- 3 -'!B15</f>
        <v>20321941</v>
      </c>
      <c r="C17" s="352">
        <v>1265043</v>
      </c>
      <c r="D17" s="352">
        <v>0</v>
      </c>
      <c r="E17" s="352">
        <f>SUM(B17:D17)</f>
        <v>21586984</v>
      </c>
      <c r="F17" s="352">
        <f>'- 62 -'!D17</f>
        <v>783754</v>
      </c>
      <c r="G17" s="291">
        <f>F17/E17*100</f>
        <v>3.630678560747532</v>
      </c>
      <c r="H17" s="582">
        <f>+Data!P15</f>
        <v>3.54</v>
      </c>
      <c r="I17" s="400">
        <v>3.6306785607475321E-2</v>
      </c>
      <c r="J17" s="352">
        <v>21586984</v>
      </c>
      <c r="K17" s="2">
        <f t="shared" si="0"/>
        <v>0</v>
      </c>
      <c r="L17" s="2">
        <f t="shared" si="1"/>
        <v>-9.0678560747532028E-4</v>
      </c>
    </row>
    <row r="18" spans="1:12" ht="14.1" customHeight="1" x14ac:dyDescent="0.2">
      <c r="A18" s="237" t="s">
        <v>114</v>
      </c>
      <c r="B18" s="151">
        <f>'- 3 -'!B16</f>
        <v>15037244</v>
      </c>
      <c r="C18" s="151">
        <v>107157</v>
      </c>
      <c r="D18" s="151">
        <v>-96492</v>
      </c>
      <c r="E18" s="151">
        <f>SUM(B18:D18)</f>
        <v>15047909</v>
      </c>
      <c r="F18" s="151">
        <f>'- 62 -'!D18</f>
        <v>631556</v>
      </c>
      <c r="G18" s="70">
        <f>F18/E18*100</f>
        <v>4.1969684957557885</v>
      </c>
      <c r="H18" s="376">
        <f>+Data!P16</f>
        <v>4.25</v>
      </c>
      <c r="I18" s="140">
        <v>4.1969684957557887E-2</v>
      </c>
      <c r="J18" s="151">
        <v>15047909</v>
      </c>
      <c r="K18" s="2">
        <f t="shared" si="0"/>
        <v>0</v>
      </c>
      <c r="L18" s="2">
        <f t="shared" si="1"/>
        <v>5.3031504244211575E-4</v>
      </c>
    </row>
    <row r="19" spans="1:12" ht="14.1" customHeight="1" x14ac:dyDescent="0.2">
      <c r="A19" s="354" t="s">
        <v>115</v>
      </c>
      <c r="B19" s="352">
        <f>'- 3 -'!B17</f>
        <v>18480570</v>
      </c>
      <c r="C19" s="352">
        <v>440606</v>
      </c>
      <c r="D19" s="352">
        <v>0</v>
      </c>
      <c r="E19" s="352">
        <f>SUM(B19:D19)</f>
        <v>18921176</v>
      </c>
      <c r="F19" s="352">
        <f>'- 62 -'!D19</f>
        <v>664482</v>
      </c>
      <c r="G19" s="291">
        <f>F19/E19*100</f>
        <v>3.5118430270930303</v>
      </c>
      <c r="H19" s="582">
        <f>+Data!P17</f>
        <v>3.54</v>
      </c>
      <c r="I19" s="400">
        <v>3.5118430270930305E-2</v>
      </c>
      <c r="J19" s="352">
        <v>18921176</v>
      </c>
      <c r="K19" s="2">
        <f t="shared" si="0"/>
        <v>0</v>
      </c>
      <c r="L19" s="2">
        <f t="shared" si="1"/>
        <v>2.8156972906969585E-4</v>
      </c>
    </row>
    <row r="20" spans="1:12" ht="14.1" customHeight="1" x14ac:dyDescent="0.2">
      <c r="A20" s="237" t="s">
        <v>116</v>
      </c>
      <c r="B20" s="151"/>
      <c r="C20" s="151">
        <v>0</v>
      </c>
      <c r="D20" s="151"/>
      <c r="E20" s="151"/>
      <c r="F20" s="151"/>
      <c r="G20" s="376" t="s">
        <v>95</v>
      </c>
      <c r="H20" s="376" t="s">
        <v>95</v>
      </c>
      <c r="I20" s="140"/>
      <c r="J20" s="151"/>
      <c r="K20" s="2">
        <f t="shared" si="0"/>
        <v>0</v>
      </c>
      <c r="L20" s="2">
        <v>0</v>
      </c>
    </row>
    <row r="21" spans="1:12" ht="14.1" customHeight="1" x14ac:dyDescent="0.2">
      <c r="A21" s="354" t="s">
        <v>117</v>
      </c>
      <c r="B21" s="352">
        <f>'- 3 -'!B19</f>
        <v>50661051</v>
      </c>
      <c r="C21" s="352">
        <v>1062415</v>
      </c>
      <c r="D21" s="352">
        <v>0</v>
      </c>
      <c r="E21" s="352">
        <f t="shared" ref="E21:E48" si="2">SUM(B21:D21)</f>
        <v>51723466</v>
      </c>
      <c r="F21" s="352">
        <f>'- 62 -'!D21</f>
        <v>1360662</v>
      </c>
      <c r="G21" s="291">
        <f t="shared" ref="G21:G48" si="3">F21/E21*100</f>
        <v>2.6306473738631513</v>
      </c>
      <c r="H21" s="582">
        <f>+Data!P19</f>
        <v>3.09</v>
      </c>
      <c r="I21" s="400">
        <v>2.6306473738631514E-2</v>
      </c>
      <c r="J21" s="352">
        <v>51723466</v>
      </c>
      <c r="K21" s="2">
        <f t="shared" si="0"/>
        <v>0</v>
      </c>
      <c r="L21" s="2">
        <f t="shared" si="1"/>
        <v>4.593526261368483E-3</v>
      </c>
    </row>
    <row r="22" spans="1:12" ht="14.1" customHeight="1" x14ac:dyDescent="0.2">
      <c r="A22" s="237" t="s">
        <v>118</v>
      </c>
      <c r="B22" s="151">
        <f>'- 3 -'!B20</f>
        <v>89539584</v>
      </c>
      <c r="C22" s="151">
        <v>1070243</v>
      </c>
      <c r="D22" s="151">
        <v>0</v>
      </c>
      <c r="E22" s="151">
        <f t="shared" si="2"/>
        <v>90609827</v>
      </c>
      <c r="F22" s="151">
        <f>'- 62 -'!D22</f>
        <v>2261917</v>
      </c>
      <c r="G22" s="70">
        <f t="shared" si="3"/>
        <v>2.4963263642474454</v>
      </c>
      <c r="H22" s="376">
        <f>+Data!P20</f>
        <v>3</v>
      </c>
      <c r="I22" s="140">
        <v>2.4963263642474452E-2</v>
      </c>
      <c r="J22" s="151">
        <v>90609827</v>
      </c>
      <c r="K22" s="2">
        <f t="shared" si="0"/>
        <v>0</v>
      </c>
      <c r="L22" s="2">
        <f t="shared" si="1"/>
        <v>5.0367363575255474E-3</v>
      </c>
    </row>
    <row r="23" spans="1:12" ht="14.1" customHeight="1" x14ac:dyDescent="0.2">
      <c r="A23" s="354" t="s">
        <v>119</v>
      </c>
      <c r="B23" s="352">
        <f>'- 3 -'!B21</f>
        <v>37658204</v>
      </c>
      <c r="C23" s="352">
        <v>1232427</v>
      </c>
      <c r="D23" s="352">
        <v>0</v>
      </c>
      <c r="E23" s="352">
        <f t="shared" si="2"/>
        <v>38890631</v>
      </c>
      <c r="F23" s="352">
        <f>'- 62 -'!D23</f>
        <v>1228395</v>
      </c>
      <c r="G23" s="291">
        <f t="shared" si="3"/>
        <v>3.1585885042595478</v>
      </c>
      <c r="H23" s="582">
        <f>+Data!P21</f>
        <v>3.32</v>
      </c>
      <c r="I23" s="400">
        <v>3.1585885042595477E-2</v>
      </c>
      <c r="J23" s="352">
        <v>38890631</v>
      </c>
      <c r="K23" s="2">
        <f t="shared" si="0"/>
        <v>0</v>
      </c>
      <c r="L23" s="2">
        <f t="shared" si="1"/>
        <v>1.6141149574045235E-3</v>
      </c>
    </row>
    <row r="24" spans="1:12" ht="14.1" customHeight="1" x14ac:dyDescent="0.2">
      <c r="A24" s="237" t="s">
        <v>120</v>
      </c>
      <c r="B24" s="151">
        <f>'- 3 -'!B22</f>
        <v>20994891</v>
      </c>
      <c r="C24" s="151">
        <v>167711</v>
      </c>
      <c r="D24" s="151">
        <v>-621930</v>
      </c>
      <c r="E24" s="151">
        <f t="shared" si="2"/>
        <v>20540672</v>
      </c>
      <c r="F24" s="151">
        <f>'- 62 -'!D24</f>
        <v>761366</v>
      </c>
      <c r="G24" s="70">
        <f t="shared" si="3"/>
        <v>3.7066265407480343</v>
      </c>
      <c r="H24" s="376">
        <f>+Data!P22</f>
        <v>4.25</v>
      </c>
      <c r="I24" s="140">
        <v>3.7066265407480342E-2</v>
      </c>
      <c r="J24" s="151">
        <v>20540672</v>
      </c>
      <c r="K24" s="2">
        <f t="shared" si="0"/>
        <v>0</v>
      </c>
      <c r="L24" s="2">
        <f t="shared" si="1"/>
        <v>5.4337345925196609E-3</v>
      </c>
    </row>
    <row r="25" spans="1:12" ht="14.1" customHeight="1" x14ac:dyDescent="0.2">
      <c r="A25" s="354" t="s">
        <v>121</v>
      </c>
      <c r="B25" s="352">
        <f>'- 3 -'!B23</f>
        <v>16048315</v>
      </c>
      <c r="C25" s="352">
        <v>409837</v>
      </c>
      <c r="D25" s="352">
        <v>-267944</v>
      </c>
      <c r="E25" s="352">
        <f t="shared" si="2"/>
        <v>16190208</v>
      </c>
      <c r="F25" s="352">
        <f>'- 62 -'!D25</f>
        <v>633562</v>
      </c>
      <c r="G25" s="291">
        <f t="shared" si="3"/>
        <v>3.913241880524327</v>
      </c>
      <c r="H25" s="582">
        <f>+Data!P23</f>
        <v>3.5999999999999996</v>
      </c>
      <c r="I25" s="400">
        <v>3.913241880524327E-2</v>
      </c>
      <c r="J25" s="352">
        <v>16190208</v>
      </c>
      <c r="K25" s="2">
        <f t="shared" si="0"/>
        <v>0</v>
      </c>
      <c r="L25" s="2">
        <f t="shared" si="1"/>
        <v>-3.1324188052432728E-3</v>
      </c>
    </row>
    <row r="26" spans="1:12" ht="14.1" customHeight="1" x14ac:dyDescent="0.2">
      <c r="A26" s="237" t="s">
        <v>122</v>
      </c>
      <c r="B26" s="151">
        <f>'- 3 -'!B24</f>
        <v>58343946</v>
      </c>
      <c r="C26" s="151">
        <v>1865859</v>
      </c>
      <c r="D26" s="151">
        <v>-331693</v>
      </c>
      <c r="E26" s="151">
        <f t="shared" si="2"/>
        <v>59878112</v>
      </c>
      <c r="F26" s="151">
        <f>'- 62 -'!D26</f>
        <v>1873740</v>
      </c>
      <c r="G26" s="70">
        <f t="shared" si="3"/>
        <v>3.1292569812488411</v>
      </c>
      <c r="H26" s="376">
        <f>+Data!P24</f>
        <v>3.18</v>
      </c>
      <c r="I26" s="140">
        <v>3.1292569812488409E-2</v>
      </c>
      <c r="J26" s="151">
        <v>59878112</v>
      </c>
      <c r="K26" s="2">
        <f t="shared" si="0"/>
        <v>0</v>
      </c>
      <c r="L26" s="2">
        <f t="shared" si="1"/>
        <v>5.0743018751159275E-4</v>
      </c>
    </row>
    <row r="27" spans="1:12" ht="14.1" customHeight="1" x14ac:dyDescent="0.2">
      <c r="A27" s="354" t="s">
        <v>123</v>
      </c>
      <c r="B27" s="352">
        <f>'- 3 -'!B25</f>
        <v>195405998</v>
      </c>
      <c r="C27" s="352">
        <v>1597631</v>
      </c>
      <c r="D27" s="352">
        <v>-1096052</v>
      </c>
      <c r="E27" s="352">
        <f t="shared" si="2"/>
        <v>195907577</v>
      </c>
      <c r="F27" s="352">
        <f>'- 62 -'!D27</f>
        <v>5822381</v>
      </c>
      <c r="G27" s="291">
        <f t="shared" si="3"/>
        <v>2.9720039873700239</v>
      </c>
      <c r="H27" s="582">
        <f>+Data!P25</f>
        <v>3</v>
      </c>
      <c r="I27" s="400">
        <v>2.9720039873700241E-2</v>
      </c>
      <c r="J27" s="352">
        <v>195907577</v>
      </c>
      <c r="K27" s="2">
        <f t="shared" si="0"/>
        <v>0</v>
      </c>
      <c r="L27" s="2">
        <f t="shared" si="1"/>
        <v>2.7996012629975808E-4</v>
      </c>
    </row>
    <row r="28" spans="1:12" ht="14.1" customHeight="1" x14ac:dyDescent="0.2">
      <c r="A28" s="237" t="s">
        <v>124</v>
      </c>
      <c r="B28" s="151">
        <f>'- 3 -'!B26</f>
        <v>40945539</v>
      </c>
      <c r="C28" s="151">
        <v>1380240</v>
      </c>
      <c r="D28" s="151">
        <v>0</v>
      </c>
      <c r="E28" s="151">
        <f t="shared" si="2"/>
        <v>42325779</v>
      </c>
      <c r="F28" s="151">
        <f>'- 62 -'!D28</f>
        <v>1375813</v>
      </c>
      <c r="G28" s="70">
        <f t="shared" si="3"/>
        <v>3.2505320221040703</v>
      </c>
      <c r="H28" s="376">
        <f>+Data!P26</f>
        <v>3.3000000000000003</v>
      </c>
      <c r="I28" s="140">
        <v>3.2505320221040704E-2</v>
      </c>
      <c r="J28" s="151">
        <v>42325779</v>
      </c>
      <c r="K28" s="2">
        <f t="shared" si="0"/>
        <v>0</v>
      </c>
      <c r="L28" s="2">
        <f t="shared" si="1"/>
        <v>4.9467977895929771E-4</v>
      </c>
    </row>
    <row r="29" spans="1:12" ht="14.1" customHeight="1" x14ac:dyDescent="0.2">
      <c r="A29" s="354" t="s">
        <v>125</v>
      </c>
      <c r="B29" s="352">
        <f>'- 3 -'!B27</f>
        <v>41237204</v>
      </c>
      <c r="C29" s="352">
        <v>557311</v>
      </c>
      <c r="D29" s="352">
        <v>0</v>
      </c>
      <c r="E29" s="352">
        <f t="shared" si="2"/>
        <v>41794515</v>
      </c>
      <c r="F29" s="352">
        <f>'- 62 -'!D29</f>
        <v>1655832</v>
      </c>
      <c r="G29" s="291">
        <f t="shared" si="3"/>
        <v>3.9618404472452906</v>
      </c>
      <c r="H29" s="582">
        <f>+Data!P27</f>
        <v>4.25</v>
      </c>
      <c r="I29" s="400">
        <v>3.9618404472452906E-2</v>
      </c>
      <c r="J29" s="352">
        <v>41794515</v>
      </c>
      <c r="K29" s="2">
        <f t="shared" si="0"/>
        <v>0</v>
      </c>
      <c r="L29" s="2">
        <f t="shared" si="1"/>
        <v>2.881595527547097E-3</v>
      </c>
    </row>
    <row r="30" spans="1:12" ht="14.1" customHeight="1" x14ac:dyDescent="0.2">
      <c r="A30" s="237" t="s">
        <v>126</v>
      </c>
      <c r="B30" s="151">
        <f>'- 3 -'!B28</f>
        <v>29201311</v>
      </c>
      <c r="C30" s="151">
        <v>26676</v>
      </c>
      <c r="D30" s="151">
        <v>-130729</v>
      </c>
      <c r="E30" s="151">
        <f t="shared" si="2"/>
        <v>29097258</v>
      </c>
      <c r="F30" s="151">
        <f>'- 62 -'!D30</f>
        <v>871447</v>
      </c>
      <c r="G30" s="70">
        <f t="shared" si="3"/>
        <v>2.9949454343773563</v>
      </c>
      <c r="H30" s="376">
        <f>+Data!P28</f>
        <v>3.45</v>
      </c>
      <c r="I30" s="140">
        <v>2.9949454343773562E-2</v>
      </c>
      <c r="J30" s="151">
        <v>29097258</v>
      </c>
      <c r="K30" s="2">
        <f t="shared" si="0"/>
        <v>0</v>
      </c>
      <c r="L30" s="2">
        <f t="shared" si="1"/>
        <v>4.5505456562264408E-3</v>
      </c>
    </row>
    <row r="31" spans="1:12" ht="14.1" customHeight="1" x14ac:dyDescent="0.2">
      <c r="A31" s="354" t="s">
        <v>127</v>
      </c>
      <c r="B31" s="352">
        <f>'- 3 -'!B29</f>
        <v>168610545</v>
      </c>
      <c r="C31" s="352">
        <v>6817722</v>
      </c>
      <c r="D31" s="352">
        <v>0</v>
      </c>
      <c r="E31" s="352">
        <f t="shared" si="2"/>
        <v>175428267</v>
      </c>
      <c r="F31" s="352">
        <f>'- 62 -'!D31</f>
        <v>5088502</v>
      </c>
      <c r="G31" s="291">
        <f t="shared" si="3"/>
        <v>2.900616922813243</v>
      </c>
      <c r="H31" s="582">
        <f>+Data!P29</f>
        <v>3</v>
      </c>
      <c r="I31" s="400">
        <v>2.9006169228132431E-2</v>
      </c>
      <c r="J31" s="352">
        <v>175428267</v>
      </c>
      <c r="K31" s="2">
        <f t="shared" si="0"/>
        <v>0</v>
      </c>
      <c r="L31" s="2">
        <f t="shared" si="1"/>
        <v>9.9383077186756749E-4</v>
      </c>
    </row>
    <row r="32" spans="1:12" ht="14.1" customHeight="1" x14ac:dyDescent="0.2">
      <c r="A32" s="237" t="s">
        <v>128</v>
      </c>
      <c r="B32" s="151">
        <f>'- 3 -'!B30</f>
        <v>15449026</v>
      </c>
      <c r="C32" s="151">
        <v>125706</v>
      </c>
      <c r="D32" s="151">
        <v>0</v>
      </c>
      <c r="E32" s="151">
        <f t="shared" si="2"/>
        <v>15574732</v>
      </c>
      <c r="F32" s="151">
        <f>'- 62 -'!D32</f>
        <v>548631</v>
      </c>
      <c r="G32" s="70">
        <f t="shared" si="3"/>
        <v>3.5225710464873488</v>
      </c>
      <c r="H32" s="376">
        <f>+Data!P30</f>
        <v>3.5999999999999996</v>
      </c>
      <c r="I32" s="140">
        <v>3.5225710464873487E-2</v>
      </c>
      <c r="J32" s="151">
        <v>15574732</v>
      </c>
      <c r="K32" s="2">
        <f t="shared" si="0"/>
        <v>0</v>
      </c>
      <c r="L32" s="2">
        <f t="shared" si="1"/>
        <v>7.7428953512651E-4</v>
      </c>
    </row>
    <row r="33" spans="1:12" ht="14.1" customHeight="1" x14ac:dyDescent="0.2">
      <c r="A33" s="354" t="s">
        <v>129</v>
      </c>
      <c r="B33" s="352">
        <f>'- 3 -'!B31</f>
        <v>38799902</v>
      </c>
      <c r="C33" s="352">
        <v>3127101</v>
      </c>
      <c r="D33" s="352">
        <v>0</v>
      </c>
      <c r="E33" s="352">
        <f t="shared" si="2"/>
        <v>41927003</v>
      </c>
      <c r="F33" s="352">
        <f>'- 62 -'!D33</f>
        <v>1285906</v>
      </c>
      <c r="G33" s="291">
        <f t="shared" si="3"/>
        <v>3.0670114913770488</v>
      </c>
      <c r="H33" s="582">
        <f>+Data!P31</f>
        <v>3.25</v>
      </c>
      <c r="I33" s="400">
        <v>3.0670114913770488E-2</v>
      </c>
      <c r="J33" s="352">
        <v>41927003</v>
      </c>
      <c r="K33" s="2">
        <f t="shared" si="0"/>
        <v>0</v>
      </c>
      <c r="L33" s="2">
        <f t="shared" si="1"/>
        <v>1.829885086229513E-3</v>
      </c>
    </row>
    <row r="34" spans="1:12" ht="14.1" customHeight="1" x14ac:dyDescent="0.2">
      <c r="A34" s="237" t="s">
        <v>130</v>
      </c>
      <c r="B34" s="151">
        <f>'- 3 -'!B32</f>
        <v>30333850</v>
      </c>
      <c r="C34" s="151">
        <v>828428</v>
      </c>
      <c r="D34" s="151">
        <v>-279575</v>
      </c>
      <c r="E34" s="151">
        <f t="shared" si="2"/>
        <v>30882703</v>
      </c>
      <c r="F34" s="151">
        <f>'- 62 -'!D34</f>
        <v>1088886</v>
      </c>
      <c r="G34" s="70">
        <f t="shared" si="3"/>
        <v>3.5258766047777619</v>
      </c>
      <c r="H34" s="376">
        <f>+Data!P32</f>
        <v>3.42</v>
      </c>
      <c r="I34" s="140">
        <v>3.5258766047777619E-2</v>
      </c>
      <c r="J34" s="151">
        <v>30882703</v>
      </c>
      <c r="K34" s="2">
        <f t="shared" si="0"/>
        <v>0</v>
      </c>
      <c r="L34" s="2">
        <f t="shared" si="1"/>
        <v>-1.0587660477776178E-3</v>
      </c>
    </row>
    <row r="35" spans="1:12" ht="14.1" customHeight="1" x14ac:dyDescent="0.2">
      <c r="A35" s="354" t="s">
        <v>131</v>
      </c>
      <c r="B35" s="352">
        <f>'- 3 -'!B33</f>
        <v>28117459</v>
      </c>
      <c r="C35" s="352">
        <v>1015839</v>
      </c>
      <c r="D35" s="352">
        <v>0</v>
      </c>
      <c r="E35" s="352">
        <f t="shared" si="2"/>
        <v>29133298</v>
      </c>
      <c r="F35" s="352">
        <f>'- 62 -'!D35</f>
        <v>798612</v>
      </c>
      <c r="G35" s="291">
        <f t="shared" si="3"/>
        <v>2.7412344458907465</v>
      </c>
      <c r="H35" s="582">
        <f>+Data!P33</f>
        <v>3.44</v>
      </c>
      <c r="I35" s="400">
        <v>2.7412344458907466E-2</v>
      </c>
      <c r="J35" s="352">
        <v>29133298</v>
      </c>
      <c r="K35" s="2">
        <f t="shared" si="0"/>
        <v>0</v>
      </c>
      <c r="L35" s="2">
        <f t="shared" si="1"/>
        <v>6.9876555410925342E-3</v>
      </c>
    </row>
    <row r="36" spans="1:12" ht="14.1" customHeight="1" x14ac:dyDescent="0.2">
      <c r="A36" s="237" t="s">
        <v>132</v>
      </c>
      <c r="B36" s="151">
        <f>'- 3 -'!B34</f>
        <v>31148185</v>
      </c>
      <c r="C36" s="151">
        <v>916044</v>
      </c>
      <c r="D36" s="151">
        <v>0</v>
      </c>
      <c r="E36" s="151">
        <f t="shared" si="2"/>
        <v>32064229</v>
      </c>
      <c r="F36" s="151">
        <f>'- 62 -'!D36</f>
        <v>1077038</v>
      </c>
      <c r="G36" s="70">
        <f t="shared" si="3"/>
        <v>3.3590017087265687</v>
      </c>
      <c r="H36" s="376">
        <f>+Data!P34</f>
        <v>3.42</v>
      </c>
      <c r="I36" s="140">
        <v>3.3590017087265688E-2</v>
      </c>
      <c r="J36" s="151">
        <v>32064229</v>
      </c>
      <c r="K36" s="2">
        <f t="shared" si="0"/>
        <v>0</v>
      </c>
      <c r="L36" s="2">
        <f t="shared" si="1"/>
        <v>6.0998291273431371E-4</v>
      </c>
    </row>
    <row r="37" spans="1:12" ht="14.1" customHeight="1" x14ac:dyDescent="0.2">
      <c r="A37" s="354" t="s">
        <v>133</v>
      </c>
      <c r="B37" s="352">
        <f>'- 3 -'!B35</f>
        <v>193487847</v>
      </c>
      <c r="C37" s="352">
        <v>3854422</v>
      </c>
      <c r="D37" s="352">
        <v>-1527358</v>
      </c>
      <c r="E37" s="352">
        <f t="shared" si="2"/>
        <v>195814911</v>
      </c>
      <c r="F37" s="352">
        <f>'- 62 -'!D37</f>
        <v>5352832</v>
      </c>
      <c r="G37" s="291">
        <f t="shared" si="3"/>
        <v>2.7336181768098342</v>
      </c>
      <c r="H37" s="582">
        <f>+Data!P35</f>
        <v>3</v>
      </c>
      <c r="I37" s="400">
        <v>2.7336181768098343E-2</v>
      </c>
      <c r="J37" s="352">
        <v>195814911</v>
      </c>
      <c r="K37" s="2">
        <f t="shared" si="0"/>
        <v>0</v>
      </c>
      <c r="L37" s="2">
        <f t="shared" si="1"/>
        <v>2.663818231901656E-3</v>
      </c>
    </row>
    <row r="38" spans="1:12" ht="14.1" customHeight="1" x14ac:dyDescent="0.2">
      <c r="A38" s="237" t="s">
        <v>134</v>
      </c>
      <c r="B38" s="151">
        <f>'- 3 -'!B36</f>
        <v>24359002</v>
      </c>
      <c r="C38" s="151">
        <v>666056</v>
      </c>
      <c r="D38" s="151">
        <v>-121499</v>
      </c>
      <c r="E38" s="151">
        <f t="shared" si="2"/>
        <v>24903559</v>
      </c>
      <c r="F38" s="151">
        <f>'- 62 -'!D38</f>
        <v>817894</v>
      </c>
      <c r="G38" s="70">
        <f t="shared" si="3"/>
        <v>3.2842454365659144</v>
      </c>
      <c r="H38" s="376">
        <f>+Data!P36</f>
        <v>3.5000000000000004</v>
      </c>
      <c r="I38" s="140">
        <v>3.2842454365659142E-2</v>
      </c>
      <c r="J38" s="151">
        <v>24903559</v>
      </c>
      <c r="K38" s="2">
        <f t="shared" si="0"/>
        <v>0</v>
      </c>
      <c r="L38" s="2">
        <f t="shared" si="1"/>
        <v>2.1575456343408614E-3</v>
      </c>
    </row>
    <row r="39" spans="1:12" ht="14.1" customHeight="1" x14ac:dyDescent="0.2">
      <c r="A39" s="354" t="s">
        <v>135</v>
      </c>
      <c r="B39" s="352">
        <f>'- 3 -'!B37</f>
        <v>54289010</v>
      </c>
      <c r="C39" s="352">
        <v>1018385</v>
      </c>
      <c r="D39" s="352">
        <v>-324789</v>
      </c>
      <c r="E39" s="352">
        <f t="shared" si="2"/>
        <v>54982606</v>
      </c>
      <c r="F39" s="352">
        <f>'- 62 -'!D39</f>
        <v>1483191</v>
      </c>
      <c r="G39" s="291">
        <f t="shared" si="3"/>
        <v>2.6975640259757787</v>
      </c>
      <c r="H39" s="582">
        <f>+Data!P37</f>
        <v>3.1</v>
      </c>
      <c r="I39" s="400">
        <v>2.6975640259757787E-2</v>
      </c>
      <c r="J39" s="352">
        <v>54982606</v>
      </c>
      <c r="K39" s="2">
        <f t="shared" si="0"/>
        <v>0</v>
      </c>
      <c r="L39" s="2">
        <f t="shared" si="1"/>
        <v>4.0243597402422129E-3</v>
      </c>
    </row>
    <row r="40" spans="1:12" ht="14.1" customHeight="1" x14ac:dyDescent="0.2">
      <c r="A40" s="237" t="s">
        <v>136</v>
      </c>
      <c r="B40" s="151">
        <f>'- 3 -'!B38</f>
        <v>145291779</v>
      </c>
      <c r="C40" s="151">
        <v>4993796</v>
      </c>
      <c r="D40" s="151">
        <v>-2103790</v>
      </c>
      <c r="E40" s="151">
        <f t="shared" si="2"/>
        <v>148181785</v>
      </c>
      <c r="F40" s="151">
        <f>'- 62 -'!D40</f>
        <v>4255700</v>
      </c>
      <c r="G40" s="70">
        <f t="shared" si="3"/>
        <v>2.871945428380418</v>
      </c>
      <c r="H40" s="376">
        <f>+Data!P38</f>
        <v>3</v>
      </c>
      <c r="I40" s="140">
        <v>2.871945428380418E-2</v>
      </c>
      <c r="J40" s="151">
        <v>148181785</v>
      </c>
      <c r="K40" s="2">
        <f t="shared" si="0"/>
        <v>0</v>
      </c>
      <c r="L40" s="2">
        <f t="shared" si="1"/>
        <v>1.2805457161958189E-3</v>
      </c>
    </row>
    <row r="41" spans="1:12" ht="14.1" customHeight="1" x14ac:dyDescent="0.2">
      <c r="A41" s="354" t="s">
        <v>137</v>
      </c>
      <c r="B41" s="352">
        <f>'- 3 -'!B39</f>
        <v>22587054</v>
      </c>
      <c r="C41" s="352">
        <v>1070752</v>
      </c>
      <c r="D41" s="352">
        <v>0</v>
      </c>
      <c r="E41" s="352">
        <f t="shared" si="2"/>
        <v>23657806</v>
      </c>
      <c r="F41" s="352">
        <f>'- 62 -'!D41</f>
        <v>815985</v>
      </c>
      <c r="G41" s="291">
        <f t="shared" si="3"/>
        <v>3.4491152729885433</v>
      </c>
      <c r="H41" s="582">
        <f>+Data!P39</f>
        <v>3.52</v>
      </c>
      <c r="I41" s="400">
        <v>3.4491152729885434E-2</v>
      </c>
      <c r="J41" s="352">
        <v>23657806</v>
      </c>
      <c r="K41" s="2">
        <f t="shared" si="0"/>
        <v>0</v>
      </c>
      <c r="L41" s="2">
        <f t="shared" si="1"/>
        <v>7.0884727011456816E-4</v>
      </c>
    </row>
    <row r="42" spans="1:12" ht="14.1" customHeight="1" x14ac:dyDescent="0.2">
      <c r="A42" s="237" t="s">
        <v>138</v>
      </c>
      <c r="B42" s="151">
        <f>'- 3 -'!B40</f>
        <v>107072120</v>
      </c>
      <c r="C42" s="151">
        <v>3444595</v>
      </c>
      <c r="D42" s="151">
        <v>0</v>
      </c>
      <c r="E42" s="151">
        <f t="shared" si="2"/>
        <v>110516715</v>
      </c>
      <c r="F42" s="151">
        <f>'- 62 -'!D42</f>
        <v>3056706</v>
      </c>
      <c r="G42" s="70">
        <f t="shared" si="3"/>
        <v>2.7658313948256605</v>
      </c>
      <c r="H42" s="376">
        <f>+Data!P40</f>
        <v>3</v>
      </c>
      <c r="I42" s="140">
        <v>2.7658313948256606E-2</v>
      </c>
      <c r="J42" s="151">
        <v>110516715</v>
      </c>
      <c r="K42" s="2">
        <f t="shared" si="0"/>
        <v>0</v>
      </c>
      <c r="L42" s="2">
        <f t="shared" si="1"/>
        <v>2.3416860517433934E-3</v>
      </c>
    </row>
    <row r="43" spans="1:12" ht="14.1" customHeight="1" x14ac:dyDescent="0.2">
      <c r="A43" s="354" t="s">
        <v>139</v>
      </c>
      <c r="B43" s="352">
        <f>'- 3 -'!B41</f>
        <v>66290398</v>
      </c>
      <c r="C43" s="352">
        <v>1439479</v>
      </c>
      <c r="D43" s="352">
        <v>-960232</v>
      </c>
      <c r="E43" s="352">
        <f t="shared" si="2"/>
        <v>66769645</v>
      </c>
      <c r="F43" s="352">
        <f>'- 62 -'!D43</f>
        <v>2096871</v>
      </c>
      <c r="G43" s="291">
        <f t="shared" si="3"/>
        <v>3.1404555168744719</v>
      </c>
      <c r="H43" s="582">
        <f>+Data!P41</f>
        <v>3.08</v>
      </c>
      <c r="I43" s="400">
        <v>3.140455516874472E-2</v>
      </c>
      <c r="J43" s="352">
        <v>66769645</v>
      </c>
      <c r="K43" s="2">
        <f t="shared" si="0"/>
        <v>0</v>
      </c>
      <c r="L43" s="2">
        <f t="shared" si="1"/>
        <v>-6.0455516874471926E-4</v>
      </c>
    </row>
    <row r="44" spans="1:12" ht="14.1" customHeight="1" x14ac:dyDescent="0.2">
      <c r="A44" s="237" t="s">
        <v>140</v>
      </c>
      <c r="B44" s="151">
        <f>'- 3 -'!B42</f>
        <v>20913105</v>
      </c>
      <c r="C44" s="151">
        <v>615635</v>
      </c>
      <c r="D44" s="151">
        <v>0</v>
      </c>
      <c r="E44" s="151">
        <f t="shared" si="2"/>
        <v>21528740</v>
      </c>
      <c r="F44" s="151">
        <f>'- 62 -'!D44</f>
        <v>658341</v>
      </c>
      <c r="G44" s="70">
        <f t="shared" si="3"/>
        <v>3.0579634479305335</v>
      </c>
      <c r="H44" s="376">
        <f>+Data!P42</f>
        <v>3.54</v>
      </c>
      <c r="I44" s="140">
        <v>3.0579634479305336E-2</v>
      </c>
      <c r="J44" s="151">
        <v>21528740</v>
      </c>
      <c r="K44" s="2">
        <f t="shared" si="0"/>
        <v>0</v>
      </c>
      <c r="L44" s="2">
        <f t="shared" si="1"/>
        <v>4.8203655206946645E-3</v>
      </c>
    </row>
    <row r="45" spans="1:12" ht="14.1" customHeight="1" x14ac:dyDescent="0.2">
      <c r="A45" s="354" t="s">
        <v>141</v>
      </c>
      <c r="B45" s="352">
        <f>'- 3 -'!B43</f>
        <v>13801301</v>
      </c>
      <c r="C45" s="352">
        <v>60403</v>
      </c>
      <c r="D45" s="352">
        <v>-210420</v>
      </c>
      <c r="E45" s="352">
        <f t="shared" si="2"/>
        <v>13651284</v>
      </c>
      <c r="F45" s="352">
        <f>'- 62 -'!D45</f>
        <v>488362</v>
      </c>
      <c r="G45" s="291">
        <f t="shared" si="3"/>
        <v>3.5774070776053004</v>
      </c>
      <c r="H45" s="582">
        <f>+Data!P43</f>
        <v>3.5999999999999996</v>
      </c>
      <c r="I45" s="400">
        <v>3.5774070776053005E-2</v>
      </c>
      <c r="J45" s="352">
        <v>13651284</v>
      </c>
      <c r="K45" s="2">
        <f t="shared" si="0"/>
        <v>0</v>
      </c>
      <c r="L45" s="2">
        <f t="shared" si="1"/>
        <v>2.2592922394699261E-4</v>
      </c>
    </row>
    <row r="46" spans="1:12" ht="14.1" customHeight="1" x14ac:dyDescent="0.2">
      <c r="A46" s="237" t="s">
        <v>142</v>
      </c>
      <c r="B46" s="151">
        <f>'- 3 -'!B44</f>
        <v>11310238</v>
      </c>
      <c r="C46" s="151">
        <v>247188</v>
      </c>
      <c r="D46" s="151">
        <v>0</v>
      </c>
      <c r="E46" s="151">
        <f t="shared" si="2"/>
        <v>11557426</v>
      </c>
      <c r="F46" s="151">
        <f>'- 62 -'!D46</f>
        <v>361265</v>
      </c>
      <c r="G46" s="70">
        <f t="shared" si="3"/>
        <v>3.1258257677790882</v>
      </c>
      <c r="H46" s="376">
        <f>+Data!P44</f>
        <v>3.5999999999999996</v>
      </c>
      <c r="I46" s="140">
        <v>3.1258257677790884E-2</v>
      </c>
      <c r="J46" s="151">
        <v>11557426</v>
      </c>
      <c r="K46" s="2">
        <f t="shared" si="0"/>
        <v>0</v>
      </c>
      <c r="L46" s="2">
        <f t="shared" si="1"/>
        <v>4.7417423222091137E-3</v>
      </c>
    </row>
    <row r="47" spans="1:12" ht="14.1" customHeight="1" x14ac:dyDescent="0.2">
      <c r="A47" s="354" t="s">
        <v>143</v>
      </c>
      <c r="B47" s="352">
        <f>'- 3 -'!B45</f>
        <v>20637481</v>
      </c>
      <c r="C47" s="352">
        <v>548139</v>
      </c>
      <c r="D47" s="352">
        <v>-388324</v>
      </c>
      <c r="E47" s="352">
        <f t="shared" si="2"/>
        <v>20797296</v>
      </c>
      <c r="F47" s="352">
        <f>'- 62 -'!D47</f>
        <v>714175</v>
      </c>
      <c r="G47" s="291">
        <f t="shared" si="3"/>
        <v>3.4339800712554172</v>
      </c>
      <c r="H47" s="582">
        <f>+Data!P45</f>
        <v>3.4799999999999995</v>
      </c>
      <c r="I47" s="400">
        <v>3.4339800712554172E-2</v>
      </c>
      <c r="J47" s="352">
        <v>20797296</v>
      </c>
      <c r="K47" s="2">
        <f t="shared" si="0"/>
        <v>0</v>
      </c>
      <c r="L47" s="2">
        <f t="shared" si="1"/>
        <v>4.601992874458255E-4</v>
      </c>
    </row>
    <row r="48" spans="1:12" ht="14.1" customHeight="1" x14ac:dyDescent="0.2">
      <c r="A48" s="237" t="s">
        <v>144</v>
      </c>
      <c r="B48" s="151">
        <f>'- 3 -'!B46</f>
        <v>403745185</v>
      </c>
      <c r="C48" s="151">
        <v>11250758</v>
      </c>
      <c r="D48" s="151">
        <v>-807930</v>
      </c>
      <c r="E48" s="151">
        <f t="shared" si="2"/>
        <v>414188013</v>
      </c>
      <c r="F48" s="151">
        <f>'- 62 -'!D48</f>
        <v>10493555</v>
      </c>
      <c r="G48" s="70">
        <f t="shared" si="3"/>
        <v>2.5335245518078287</v>
      </c>
      <c r="H48" s="376">
        <f>+Data!P46</f>
        <v>3</v>
      </c>
      <c r="I48" s="140">
        <v>2.5335245518078284E-2</v>
      </c>
      <c r="J48" s="151">
        <v>414188013</v>
      </c>
      <c r="K48" s="2">
        <f t="shared" si="0"/>
        <v>0</v>
      </c>
      <c r="L48" s="2">
        <f t="shared" si="1"/>
        <v>4.6647544819217145E-3</v>
      </c>
    </row>
    <row r="49" spans="1:11" ht="5.0999999999999996" customHeight="1" x14ac:dyDescent="0.2">
      <c r="A49" s="130"/>
      <c r="B49" s="152"/>
      <c r="C49" s="152"/>
      <c r="D49" s="152"/>
      <c r="E49" s="152"/>
      <c r="F49" s="152"/>
      <c r="G49" s="581"/>
      <c r="H49" s="1"/>
      <c r="I49" s="131"/>
      <c r="J49" s="152"/>
    </row>
    <row r="50" spans="1:11" ht="14.45" customHeight="1" x14ac:dyDescent="0.2">
      <c r="A50" s="355" t="s">
        <v>145</v>
      </c>
      <c r="B50" s="356">
        <f>SUM(B13:B48)</f>
        <v>2185702554</v>
      </c>
      <c r="C50" s="356">
        <f>SUM(C13:C48)</f>
        <v>55941968</v>
      </c>
      <c r="D50" s="356">
        <f>SUM(D13:D48)</f>
        <v>-9804358</v>
      </c>
      <c r="E50" s="356">
        <f>SUM(E13:E48)</f>
        <v>2231840164</v>
      </c>
      <c r="F50" s="356">
        <f>SUM(F13:F48)</f>
        <v>65199235</v>
      </c>
      <c r="G50" s="294">
        <f>F50/E50*100</f>
        <v>2.9213218783170891</v>
      </c>
      <c r="H50" s="583" t="s">
        <v>95</v>
      </c>
      <c r="I50" s="401"/>
      <c r="J50" s="356">
        <f>SUM(J13:J48)</f>
        <v>2231840164</v>
      </c>
      <c r="K50" s="2">
        <f>J50-E50</f>
        <v>0</v>
      </c>
    </row>
    <row r="51" spans="1:11" ht="5.0999999999999996" customHeight="1" x14ac:dyDescent="0.2">
      <c r="A51" s="130" t="s">
        <v>7</v>
      </c>
      <c r="B51" s="152"/>
      <c r="C51" s="152"/>
      <c r="D51" s="152"/>
      <c r="E51" s="152"/>
      <c r="F51" s="152"/>
      <c r="G51" s="581"/>
      <c r="H51"/>
      <c r="I51" s="131"/>
      <c r="J51" s="152"/>
    </row>
    <row r="52" spans="1:11" ht="14.45" customHeight="1" x14ac:dyDescent="0.2">
      <c r="A52" s="237" t="s">
        <v>146</v>
      </c>
      <c r="B52" s="151"/>
      <c r="C52" s="151"/>
      <c r="D52" s="151"/>
      <c r="E52" s="151"/>
      <c r="F52" s="151"/>
      <c r="G52" s="580" t="s">
        <v>617</v>
      </c>
      <c r="H52" s="580" t="s">
        <v>617</v>
      </c>
      <c r="I52" s="140">
        <v>5.915649206667134E-2</v>
      </c>
      <c r="J52" s="151">
        <v>3549771</v>
      </c>
    </row>
    <row r="53" spans="1:11" ht="50.1" customHeight="1" x14ac:dyDescent="0.2">
      <c r="A53" s="23"/>
      <c r="B53" s="23"/>
      <c r="C53" s="23"/>
      <c r="D53" s="23"/>
      <c r="E53" s="23"/>
      <c r="F53" s="23"/>
      <c r="G53" s="23"/>
      <c r="H53" s="23"/>
    </row>
    <row r="54" spans="1:11" ht="14.45" customHeight="1" x14ac:dyDescent="0.2">
      <c r="A54" s="613" t="s">
        <v>587</v>
      </c>
      <c r="B54" s="613"/>
      <c r="C54" s="613"/>
      <c r="D54" s="613"/>
      <c r="E54" s="613"/>
      <c r="F54" s="613"/>
      <c r="G54" s="613"/>
      <c r="H54" s="613"/>
    </row>
    <row r="55" spans="1:11" ht="12" customHeight="1" x14ac:dyDescent="0.2">
      <c r="A55" s="834"/>
      <c r="B55" s="834"/>
      <c r="C55" s="834"/>
      <c r="D55" s="834"/>
      <c r="E55" s="834"/>
      <c r="F55" s="834"/>
      <c r="G55" s="834"/>
      <c r="H55" s="834"/>
    </row>
    <row r="56" spans="1:11" ht="14.45" customHeight="1" x14ac:dyDescent="0.2">
      <c r="A56" s="38"/>
      <c r="B56" s="38"/>
      <c r="C56" s="38"/>
      <c r="D56" s="38"/>
    </row>
    <row r="57" spans="1:11" ht="14.45" customHeight="1" x14ac:dyDescent="0.2">
      <c r="A57" s="38"/>
      <c r="B57" s="38"/>
      <c r="C57" s="38"/>
      <c r="D57" s="38"/>
    </row>
    <row r="58" spans="1:11" ht="14.45" customHeight="1" x14ac:dyDescent="0.2">
      <c r="A58" s="38"/>
      <c r="B58" s="38"/>
      <c r="C58" s="38"/>
      <c r="D58" s="38"/>
    </row>
    <row r="59" spans="1:11" x14ac:dyDescent="0.2">
      <c r="A59" s="38"/>
    </row>
  </sheetData>
  <mergeCells count="9">
    <mergeCell ref="B4:H4"/>
    <mergeCell ref="A54:H55"/>
    <mergeCell ref="B8:B11"/>
    <mergeCell ref="C8:C11"/>
    <mergeCell ref="D8:D11"/>
    <mergeCell ref="E9:E11"/>
    <mergeCell ref="F8:F11"/>
    <mergeCell ref="H6:H11"/>
    <mergeCell ref="G6:G11"/>
  </mergeCells>
  <phoneticPr fontId="0" type="noConversion"/>
  <pageMargins left="0.5" right="0.5" top="0.6" bottom="0.2" header="0.3" footer="0.5"/>
  <pageSetup scale="84"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x14ac:dyDescent="0.2"/>
  <cols>
    <col min="1" max="1" width="28.1640625" style="477" customWidth="1"/>
    <col min="2" max="2" width="16.83203125" style="481" bestFit="1" customWidth="1"/>
    <col min="3" max="3" width="13" style="477" customWidth="1"/>
    <col min="4" max="4" width="11.83203125" style="477" customWidth="1"/>
    <col min="5" max="5" width="15.1640625" style="477" customWidth="1"/>
    <col min="6" max="6" width="16.6640625" style="477" customWidth="1"/>
    <col min="7" max="7" width="14.33203125" style="477" customWidth="1"/>
    <col min="8" max="8" width="8.5" style="477" customWidth="1"/>
    <col min="9" max="9" width="11.83203125" style="477" customWidth="1"/>
    <col min="10" max="16384" width="15.83203125" style="477"/>
  </cols>
  <sheetData>
    <row r="1" spans="1:9" x14ac:dyDescent="0.2">
      <c r="A1" s="511"/>
      <c r="B1" s="512"/>
      <c r="C1" s="513"/>
      <c r="D1" s="513"/>
      <c r="E1" s="513"/>
      <c r="F1" s="513"/>
      <c r="G1" s="513"/>
      <c r="H1" s="513"/>
      <c r="I1" s="513"/>
    </row>
    <row r="2" spans="1:9" s="478" customFormat="1" ht="15.95" customHeight="1" x14ac:dyDescent="0.2">
      <c r="A2" s="835" t="s">
        <v>379</v>
      </c>
      <c r="B2" s="835"/>
      <c r="C2" s="835"/>
      <c r="D2" s="835"/>
      <c r="E2" s="835"/>
      <c r="F2" s="835"/>
      <c r="G2" s="835"/>
      <c r="H2" s="835"/>
      <c r="I2" s="514"/>
    </row>
    <row r="3" spans="1:9" s="478" customFormat="1" ht="16.5" customHeight="1" x14ac:dyDescent="0.2">
      <c r="A3" s="836" t="str">
        <f>Data!B5&amp;" "&amp;"ACTUAL"</f>
        <v>2018/19 ACTUAL</v>
      </c>
      <c r="B3" s="836"/>
      <c r="C3" s="836"/>
      <c r="D3" s="836"/>
      <c r="E3" s="836"/>
      <c r="F3" s="836"/>
      <c r="G3" s="836"/>
      <c r="H3" s="836"/>
      <c r="I3" s="515"/>
    </row>
    <row r="4" spans="1:9" x14ac:dyDescent="0.2">
      <c r="A4" s="513"/>
      <c r="B4" s="516"/>
      <c r="C4" s="513"/>
      <c r="D4" s="513"/>
      <c r="E4" s="513"/>
      <c r="F4" s="513"/>
      <c r="G4" s="513"/>
      <c r="H4" s="513"/>
      <c r="I4" s="513"/>
    </row>
    <row r="5" spans="1:9" x14ac:dyDescent="0.2">
      <c r="A5" s="513"/>
      <c r="B5" s="516"/>
      <c r="C5" s="513"/>
      <c r="D5" s="513"/>
      <c r="E5" s="513"/>
      <c r="F5" s="513"/>
      <c r="G5" s="513"/>
      <c r="H5" s="513"/>
      <c r="I5" s="513"/>
    </row>
    <row r="6" spans="1:9" x14ac:dyDescent="0.2">
      <c r="A6" s="513"/>
      <c r="B6" s="513"/>
      <c r="C6" s="513"/>
      <c r="D6" s="513"/>
      <c r="E6" s="513"/>
      <c r="F6" s="513"/>
      <c r="G6" s="513"/>
      <c r="H6" s="513"/>
      <c r="I6" s="513"/>
    </row>
    <row r="7" spans="1:9" x14ac:dyDescent="0.2">
      <c r="A7" s="513"/>
      <c r="B7" s="845"/>
      <c r="C7" s="845"/>
      <c r="D7" s="845"/>
      <c r="E7" s="845"/>
      <c r="F7" s="845"/>
      <c r="G7" s="845"/>
      <c r="H7" s="845"/>
      <c r="I7" s="513"/>
    </row>
    <row r="8" spans="1:9" ht="39" customHeight="1" x14ac:dyDescent="0.2">
      <c r="A8" s="517"/>
      <c r="B8" s="837" t="s">
        <v>285</v>
      </c>
      <c r="C8" s="843" t="s">
        <v>368</v>
      </c>
      <c r="D8" s="844"/>
      <c r="E8" s="839" t="s">
        <v>286</v>
      </c>
      <c r="F8" s="840" t="s">
        <v>287</v>
      </c>
      <c r="G8" s="840" t="s">
        <v>369</v>
      </c>
      <c r="H8" s="840" t="s">
        <v>370</v>
      </c>
      <c r="I8" s="840" t="s">
        <v>288</v>
      </c>
    </row>
    <row r="9" spans="1:9" ht="19.5" customHeight="1" x14ac:dyDescent="0.2">
      <c r="A9" s="518" t="s">
        <v>289</v>
      </c>
      <c r="B9" s="838"/>
      <c r="C9" s="507" t="s">
        <v>367</v>
      </c>
      <c r="D9" s="506" t="s">
        <v>24</v>
      </c>
      <c r="E9" s="838"/>
      <c r="F9" s="838"/>
      <c r="G9" s="838"/>
      <c r="H9" s="838"/>
      <c r="I9" s="838"/>
    </row>
    <row r="10" spans="1:9" ht="3.95" customHeight="1" x14ac:dyDescent="0.2">
      <c r="A10" s="519"/>
      <c r="B10" s="516"/>
      <c r="C10" s="513"/>
      <c r="D10" s="513"/>
      <c r="E10" s="513"/>
      <c r="F10" s="513"/>
      <c r="G10" s="513"/>
      <c r="H10" s="513"/>
      <c r="I10" s="513"/>
    </row>
    <row r="11" spans="1:9" x14ac:dyDescent="0.2">
      <c r="A11" s="354" t="s">
        <v>290</v>
      </c>
      <c r="B11" s="520">
        <v>11.65</v>
      </c>
      <c r="C11" s="520">
        <v>121.67</v>
      </c>
      <c r="D11" s="520">
        <v>55.85</v>
      </c>
      <c r="E11" s="520">
        <v>41.099999999999994</v>
      </c>
      <c r="F11" s="520">
        <v>9.49</v>
      </c>
      <c r="G11" s="520">
        <v>2</v>
      </c>
      <c r="H11" s="520">
        <v>2.25</v>
      </c>
      <c r="I11" s="520">
        <f t="shared" ref="I11:I46" si="0">SUM(B11:H11)</f>
        <v>244.01</v>
      </c>
    </row>
    <row r="12" spans="1:9" x14ac:dyDescent="0.2">
      <c r="A12" s="237" t="s">
        <v>291</v>
      </c>
      <c r="B12" s="521">
        <v>21.878</v>
      </c>
      <c r="C12" s="521">
        <v>177.74999999999997</v>
      </c>
      <c r="D12" s="521">
        <v>111.852</v>
      </c>
      <c r="E12" s="521">
        <v>82.003</v>
      </c>
      <c r="F12" s="521">
        <v>25.157</v>
      </c>
      <c r="G12" s="521">
        <v>6.2</v>
      </c>
      <c r="H12" s="521">
        <v>5</v>
      </c>
      <c r="I12" s="521">
        <f t="shared" si="0"/>
        <v>429.84</v>
      </c>
    </row>
    <row r="13" spans="1:9" x14ac:dyDescent="0.2">
      <c r="A13" s="354" t="s">
        <v>292</v>
      </c>
      <c r="B13" s="520">
        <v>48.75</v>
      </c>
      <c r="C13" s="520">
        <v>630.39</v>
      </c>
      <c r="D13" s="520">
        <v>302.41999999999996</v>
      </c>
      <c r="E13" s="520">
        <v>137.47</v>
      </c>
      <c r="F13" s="520">
        <v>49.6</v>
      </c>
      <c r="G13" s="520">
        <v>27.25</v>
      </c>
      <c r="H13" s="520">
        <v>8</v>
      </c>
      <c r="I13" s="520">
        <f t="shared" si="0"/>
        <v>1203.8799999999999</v>
      </c>
    </row>
    <row r="14" spans="1:9" x14ac:dyDescent="0.2">
      <c r="A14" s="237" t="s">
        <v>360</v>
      </c>
      <c r="B14" s="521">
        <v>59.370000000000005</v>
      </c>
      <c r="C14" s="521">
        <v>437.49</v>
      </c>
      <c r="D14" s="521">
        <v>244.2</v>
      </c>
      <c r="E14" s="521">
        <v>75.64</v>
      </c>
      <c r="F14" s="521">
        <v>57.330000000000005</v>
      </c>
      <c r="G14" s="521">
        <v>11.83</v>
      </c>
      <c r="H14" s="521">
        <v>8.7799999999999994</v>
      </c>
      <c r="I14" s="521">
        <f t="shared" si="0"/>
        <v>894.64</v>
      </c>
    </row>
    <row r="15" spans="1:9" x14ac:dyDescent="0.2">
      <c r="A15" s="354" t="s">
        <v>293</v>
      </c>
      <c r="B15" s="520">
        <v>14.100000000000001</v>
      </c>
      <c r="C15" s="520">
        <v>101.95</v>
      </c>
      <c r="D15" s="520">
        <v>59.190000000000005</v>
      </c>
      <c r="E15" s="520">
        <v>48.45</v>
      </c>
      <c r="F15" s="520">
        <v>14.35</v>
      </c>
      <c r="G15" s="520">
        <v>2.4000000000000004</v>
      </c>
      <c r="H15" s="520">
        <v>2</v>
      </c>
      <c r="I15" s="520">
        <f t="shared" si="0"/>
        <v>242.44</v>
      </c>
    </row>
    <row r="16" spans="1:9" x14ac:dyDescent="0.2">
      <c r="A16" s="237" t="s">
        <v>294</v>
      </c>
      <c r="B16" s="521">
        <v>12.17</v>
      </c>
      <c r="C16" s="521">
        <v>74</v>
      </c>
      <c r="D16" s="521">
        <v>34</v>
      </c>
      <c r="E16" s="521">
        <v>23.3</v>
      </c>
      <c r="F16" s="521">
        <v>8.1</v>
      </c>
      <c r="G16" s="521">
        <v>2.7</v>
      </c>
      <c r="H16" s="521">
        <v>0</v>
      </c>
      <c r="I16" s="521">
        <f t="shared" si="0"/>
        <v>154.26999999999998</v>
      </c>
    </row>
    <row r="17" spans="1:9" x14ac:dyDescent="0.2">
      <c r="A17" s="354" t="s">
        <v>295</v>
      </c>
      <c r="B17" s="520">
        <v>10.96</v>
      </c>
      <c r="C17" s="520">
        <v>104.08000000000001</v>
      </c>
      <c r="D17" s="520">
        <v>43.6</v>
      </c>
      <c r="E17" s="520">
        <v>50.67</v>
      </c>
      <c r="F17" s="520">
        <v>13.78</v>
      </c>
      <c r="G17" s="520">
        <v>3.0000000000000004</v>
      </c>
      <c r="H17" s="520">
        <v>2</v>
      </c>
      <c r="I17" s="520">
        <f t="shared" si="0"/>
        <v>228.09</v>
      </c>
    </row>
    <row r="18" spans="1:9" x14ac:dyDescent="0.2">
      <c r="A18" s="237" t="s">
        <v>296</v>
      </c>
      <c r="B18" s="521">
        <v>72.617823025924537</v>
      </c>
      <c r="C18" s="521">
        <v>465.53688079914099</v>
      </c>
      <c r="D18" s="521">
        <v>401.04724733603581</v>
      </c>
      <c r="E18" s="521">
        <v>300.45547567874394</v>
      </c>
      <c r="F18" s="521">
        <v>72.195156167664777</v>
      </c>
      <c r="G18" s="521">
        <v>21.783394178697872</v>
      </c>
      <c r="H18" s="521">
        <v>10</v>
      </c>
      <c r="I18" s="521">
        <f t="shared" si="0"/>
        <v>1343.6359771862078</v>
      </c>
    </row>
    <row r="19" spans="1:9" x14ac:dyDescent="0.2">
      <c r="A19" s="354" t="s">
        <v>297</v>
      </c>
      <c r="B19" s="520">
        <v>21.500000000000004</v>
      </c>
      <c r="C19" s="520">
        <v>286.79000000000002</v>
      </c>
      <c r="D19" s="520">
        <v>175.32</v>
      </c>
      <c r="E19" s="520">
        <v>101.52999999999999</v>
      </c>
      <c r="F19" s="520">
        <v>19.399999999999999</v>
      </c>
      <c r="G19" s="520">
        <v>12.5</v>
      </c>
      <c r="H19" s="520">
        <v>8</v>
      </c>
      <c r="I19" s="520">
        <f t="shared" si="0"/>
        <v>625.04</v>
      </c>
    </row>
    <row r="20" spans="1:9" x14ac:dyDescent="0.2">
      <c r="A20" s="237" t="s">
        <v>298</v>
      </c>
      <c r="B20" s="521">
        <v>43.550000000000004</v>
      </c>
      <c r="C20" s="521">
        <v>519.54000000000008</v>
      </c>
      <c r="D20" s="521">
        <v>163.28</v>
      </c>
      <c r="E20" s="521">
        <v>204.14999999999998</v>
      </c>
      <c r="F20" s="521">
        <v>70.789999999999992</v>
      </c>
      <c r="G20" s="521">
        <v>19.100000000000001</v>
      </c>
      <c r="H20" s="521">
        <v>11.33</v>
      </c>
      <c r="I20" s="521">
        <f t="shared" si="0"/>
        <v>1031.74</v>
      </c>
    </row>
    <row r="21" spans="1:9" x14ac:dyDescent="0.2">
      <c r="A21" s="354" t="s">
        <v>299</v>
      </c>
      <c r="B21" s="520">
        <v>22.75</v>
      </c>
      <c r="C21" s="520">
        <v>218.75</v>
      </c>
      <c r="D21" s="520">
        <v>115.9</v>
      </c>
      <c r="E21" s="520">
        <v>70.13</v>
      </c>
      <c r="F21" s="520">
        <v>23.75</v>
      </c>
      <c r="G21" s="520">
        <v>7.34</v>
      </c>
      <c r="H21" s="520">
        <v>6</v>
      </c>
      <c r="I21" s="520">
        <f t="shared" si="0"/>
        <v>464.61999999999995</v>
      </c>
    </row>
    <row r="22" spans="1:9" x14ac:dyDescent="0.2">
      <c r="A22" s="237" t="s">
        <v>300</v>
      </c>
      <c r="B22" s="521">
        <v>10.549999999999999</v>
      </c>
      <c r="C22" s="521">
        <v>116.45</v>
      </c>
      <c r="D22" s="521">
        <v>62</v>
      </c>
      <c r="E22" s="521">
        <v>31</v>
      </c>
      <c r="F22" s="521">
        <v>17.75</v>
      </c>
      <c r="G22" s="521">
        <v>3</v>
      </c>
      <c r="H22" s="521">
        <v>2</v>
      </c>
      <c r="I22" s="521">
        <f t="shared" si="0"/>
        <v>242.75</v>
      </c>
    </row>
    <row r="23" spans="1:9" x14ac:dyDescent="0.2">
      <c r="A23" s="354" t="s">
        <v>301</v>
      </c>
      <c r="B23" s="520">
        <v>10.050000000000001</v>
      </c>
      <c r="C23" s="520">
        <v>76.45</v>
      </c>
      <c r="D23" s="520">
        <v>55.45</v>
      </c>
      <c r="E23" s="520">
        <v>35.5</v>
      </c>
      <c r="F23" s="520">
        <v>9.5</v>
      </c>
      <c r="G23" s="520">
        <v>4.25</v>
      </c>
      <c r="H23" s="520">
        <v>2</v>
      </c>
      <c r="I23" s="520">
        <f t="shared" si="0"/>
        <v>193.2</v>
      </c>
    </row>
    <row r="24" spans="1:9" x14ac:dyDescent="0.2">
      <c r="A24" s="237" t="s">
        <v>302</v>
      </c>
      <c r="B24" s="521">
        <v>30.5</v>
      </c>
      <c r="C24" s="521">
        <v>296</v>
      </c>
      <c r="D24" s="521">
        <v>156.90999999999997</v>
      </c>
      <c r="E24" s="521">
        <v>121.63</v>
      </c>
      <c r="F24" s="521">
        <v>33.79</v>
      </c>
      <c r="G24" s="521">
        <v>11.5</v>
      </c>
      <c r="H24" s="521">
        <v>8</v>
      </c>
      <c r="I24" s="521">
        <f t="shared" si="0"/>
        <v>658.32999999999993</v>
      </c>
    </row>
    <row r="25" spans="1:9" x14ac:dyDescent="0.2">
      <c r="A25" s="354" t="s">
        <v>303</v>
      </c>
      <c r="B25" s="520">
        <v>85</v>
      </c>
      <c r="C25" s="520">
        <v>1021.5</v>
      </c>
      <c r="D25" s="520">
        <v>591.91</v>
      </c>
      <c r="E25" s="520">
        <v>182.95</v>
      </c>
      <c r="F25" s="520">
        <v>120.4</v>
      </c>
      <c r="G25" s="520">
        <v>43.08</v>
      </c>
      <c r="H25" s="520">
        <v>19</v>
      </c>
      <c r="I25" s="520">
        <f t="shared" si="0"/>
        <v>2063.84</v>
      </c>
    </row>
    <row r="26" spans="1:9" x14ac:dyDescent="0.2">
      <c r="A26" s="237" t="s">
        <v>304</v>
      </c>
      <c r="B26" s="521">
        <v>30.2</v>
      </c>
      <c r="C26" s="521">
        <v>211.24799999999999</v>
      </c>
      <c r="D26" s="521">
        <v>122.28999999999999</v>
      </c>
      <c r="E26" s="521">
        <v>107.49000000000001</v>
      </c>
      <c r="F26" s="521">
        <v>24.54</v>
      </c>
      <c r="G26" s="521">
        <v>8.1</v>
      </c>
      <c r="H26" s="521">
        <v>7</v>
      </c>
      <c r="I26" s="521">
        <f t="shared" si="0"/>
        <v>510.86799999999999</v>
      </c>
    </row>
    <row r="27" spans="1:9" x14ac:dyDescent="0.2">
      <c r="A27" s="354" t="s">
        <v>305</v>
      </c>
      <c r="B27" s="520">
        <v>19</v>
      </c>
      <c r="C27" s="520">
        <v>225.79</v>
      </c>
      <c r="D27" s="520">
        <v>101.5</v>
      </c>
      <c r="E27" s="520">
        <v>42.337499999999999</v>
      </c>
      <c r="F27" s="520">
        <v>21</v>
      </c>
      <c r="G27" s="520">
        <v>10.88</v>
      </c>
      <c r="H27" s="520">
        <v>5</v>
      </c>
      <c r="I27" s="520">
        <f t="shared" si="0"/>
        <v>425.50749999999994</v>
      </c>
    </row>
    <row r="28" spans="1:9" x14ac:dyDescent="0.2">
      <c r="A28" s="237" t="s">
        <v>306</v>
      </c>
      <c r="B28" s="521">
        <v>16.600000000000001</v>
      </c>
      <c r="C28" s="521">
        <v>161.46</v>
      </c>
      <c r="D28" s="521">
        <v>86.41</v>
      </c>
      <c r="E28" s="521">
        <v>56.28</v>
      </c>
      <c r="F28" s="521">
        <v>17.329999999999998</v>
      </c>
      <c r="G28" s="521">
        <v>3.8</v>
      </c>
      <c r="H28" s="521">
        <v>4</v>
      </c>
      <c r="I28" s="521">
        <f t="shared" si="0"/>
        <v>345.88</v>
      </c>
    </row>
    <row r="29" spans="1:9" x14ac:dyDescent="0.2">
      <c r="A29" s="354" t="s">
        <v>307</v>
      </c>
      <c r="B29" s="520">
        <v>77.02</v>
      </c>
      <c r="C29" s="520">
        <v>910.68</v>
      </c>
      <c r="D29" s="520">
        <v>457.74</v>
      </c>
      <c r="E29" s="520">
        <v>164.85</v>
      </c>
      <c r="F29" s="520">
        <v>106.42000000000002</v>
      </c>
      <c r="G29" s="520">
        <v>28.48</v>
      </c>
      <c r="H29" s="520">
        <v>21.24</v>
      </c>
      <c r="I29" s="520">
        <f t="shared" si="0"/>
        <v>1766.43</v>
      </c>
    </row>
    <row r="30" spans="1:9" x14ac:dyDescent="0.2">
      <c r="A30" s="237" t="s">
        <v>308</v>
      </c>
      <c r="B30" s="521">
        <v>11.899999999999999</v>
      </c>
      <c r="C30" s="521">
        <v>92.149999999999991</v>
      </c>
      <c r="D30" s="521">
        <v>39.089999999999996</v>
      </c>
      <c r="E30" s="521">
        <v>40.299999999999997</v>
      </c>
      <c r="F30" s="521">
        <v>10.450000000000001</v>
      </c>
      <c r="G30" s="521">
        <v>3.5</v>
      </c>
      <c r="H30" s="521">
        <v>2.25</v>
      </c>
      <c r="I30" s="521">
        <f t="shared" si="0"/>
        <v>199.64</v>
      </c>
    </row>
    <row r="31" spans="1:9" x14ac:dyDescent="0.2">
      <c r="A31" s="354" t="s">
        <v>309</v>
      </c>
      <c r="B31" s="520">
        <v>21</v>
      </c>
      <c r="C31" s="520">
        <v>242.59600000000003</v>
      </c>
      <c r="D31" s="520">
        <v>131.63000000000002</v>
      </c>
      <c r="E31" s="520">
        <v>72.97999999999999</v>
      </c>
      <c r="F31" s="520">
        <v>21.49</v>
      </c>
      <c r="G31" s="520">
        <v>7</v>
      </c>
      <c r="H31" s="520">
        <v>5.24</v>
      </c>
      <c r="I31" s="520">
        <f t="shared" si="0"/>
        <v>501.93600000000004</v>
      </c>
    </row>
    <row r="32" spans="1:9" x14ac:dyDescent="0.2">
      <c r="A32" s="237" t="s">
        <v>310</v>
      </c>
      <c r="B32" s="521">
        <v>17.600000000000001</v>
      </c>
      <c r="C32" s="521">
        <v>176.65</v>
      </c>
      <c r="D32" s="521">
        <v>78.510000000000005</v>
      </c>
      <c r="E32" s="521">
        <v>70.95</v>
      </c>
      <c r="F32" s="521">
        <v>19.490000000000002</v>
      </c>
      <c r="G32" s="521">
        <v>4.3</v>
      </c>
      <c r="H32" s="521">
        <v>4</v>
      </c>
      <c r="I32" s="521">
        <f t="shared" si="0"/>
        <v>371.5</v>
      </c>
    </row>
    <row r="33" spans="1:9" x14ac:dyDescent="0.2">
      <c r="A33" s="354" t="s">
        <v>311</v>
      </c>
      <c r="B33" s="520">
        <v>19.009999999999998</v>
      </c>
      <c r="C33" s="520">
        <v>150.39499999999998</v>
      </c>
      <c r="D33" s="520">
        <v>92.75</v>
      </c>
      <c r="E33" s="520">
        <v>79.275000000000006</v>
      </c>
      <c r="F33" s="520">
        <v>19.709999999999997</v>
      </c>
      <c r="G33" s="520">
        <v>3.7</v>
      </c>
      <c r="H33" s="520">
        <v>5</v>
      </c>
      <c r="I33" s="520">
        <f t="shared" si="0"/>
        <v>369.83999999999992</v>
      </c>
    </row>
    <row r="34" spans="1:9" x14ac:dyDescent="0.2">
      <c r="A34" s="237" t="s">
        <v>312</v>
      </c>
      <c r="B34" s="521">
        <v>16.75</v>
      </c>
      <c r="C34" s="521">
        <v>163.29</v>
      </c>
      <c r="D34" s="521">
        <v>84.23</v>
      </c>
      <c r="E34" s="521">
        <v>79.800000000000011</v>
      </c>
      <c r="F34" s="521">
        <v>20.68</v>
      </c>
      <c r="G34" s="521">
        <v>5.15</v>
      </c>
      <c r="H34" s="521">
        <v>5</v>
      </c>
      <c r="I34" s="521">
        <f t="shared" si="0"/>
        <v>374.9</v>
      </c>
    </row>
    <row r="35" spans="1:9" x14ac:dyDescent="0.2">
      <c r="A35" s="354" t="s">
        <v>313</v>
      </c>
      <c r="B35" s="520">
        <v>94.15</v>
      </c>
      <c r="C35" s="520">
        <v>1076.6599999999999</v>
      </c>
      <c r="D35" s="520">
        <v>469.85</v>
      </c>
      <c r="E35" s="520">
        <v>287.55</v>
      </c>
      <c r="F35" s="520">
        <v>125.07000000000001</v>
      </c>
      <c r="G35" s="520">
        <v>29.5</v>
      </c>
      <c r="H35" s="520">
        <v>17</v>
      </c>
      <c r="I35" s="520">
        <f t="shared" si="0"/>
        <v>2099.7799999999997</v>
      </c>
    </row>
    <row r="36" spans="1:9" x14ac:dyDescent="0.2">
      <c r="A36" s="237" t="s">
        <v>314</v>
      </c>
      <c r="B36" s="521">
        <v>14.53</v>
      </c>
      <c r="C36" s="521">
        <v>124.03999999999999</v>
      </c>
      <c r="D36" s="521">
        <v>69.5</v>
      </c>
      <c r="E36" s="521">
        <v>60.099999999999994</v>
      </c>
      <c r="F36" s="521">
        <v>15.360000000000001</v>
      </c>
      <c r="G36" s="521">
        <v>4</v>
      </c>
      <c r="H36" s="521">
        <v>3</v>
      </c>
      <c r="I36" s="521">
        <f t="shared" si="0"/>
        <v>290.52999999999997</v>
      </c>
    </row>
    <row r="37" spans="1:9" x14ac:dyDescent="0.2">
      <c r="A37" s="354" t="s">
        <v>315</v>
      </c>
      <c r="B37" s="520">
        <v>28.1</v>
      </c>
      <c r="C37" s="520">
        <v>283.60000000000002</v>
      </c>
      <c r="D37" s="520">
        <v>148.94</v>
      </c>
      <c r="E37" s="520">
        <v>121.7</v>
      </c>
      <c r="F37" s="520">
        <v>31.5</v>
      </c>
      <c r="G37" s="520">
        <v>14.2</v>
      </c>
      <c r="H37" s="520">
        <v>5</v>
      </c>
      <c r="I37" s="520">
        <f t="shared" si="0"/>
        <v>633.04000000000008</v>
      </c>
    </row>
    <row r="38" spans="1:9" x14ac:dyDescent="0.2">
      <c r="A38" s="237" t="s">
        <v>316</v>
      </c>
      <c r="B38" s="521">
        <v>70.399999999999991</v>
      </c>
      <c r="C38" s="521">
        <v>765.62</v>
      </c>
      <c r="D38" s="521">
        <v>327.54999999999995</v>
      </c>
      <c r="E38" s="521">
        <v>155.70000000000002</v>
      </c>
      <c r="F38" s="521">
        <v>78.350000000000009</v>
      </c>
      <c r="G38" s="521">
        <v>21.3</v>
      </c>
      <c r="H38" s="521">
        <v>10</v>
      </c>
      <c r="I38" s="521">
        <f t="shared" si="0"/>
        <v>1428.9199999999998</v>
      </c>
    </row>
    <row r="39" spans="1:9" x14ac:dyDescent="0.2">
      <c r="A39" s="354" t="s">
        <v>317</v>
      </c>
      <c r="B39" s="520">
        <v>12.73</v>
      </c>
      <c r="C39" s="520">
        <v>122.45</v>
      </c>
      <c r="D39" s="520">
        <v>53.62</v>
      </c>
      <c r="E39" s="520">
        <v>53.989999999999995</v>
      </c>
      <c r="F39" s="520">
        <v>13.12</v>
      </c>
      <c r="G39" s="520">
        <v>2.6800000000000006</v>
      </c>
      <c r="H39" s="520">
        <v>2.5</v>
      </c>
      <c r="I39" s="520">
        <f t="shared" si="0"/>
        <v>261.09000000000003</v>
      </c>
    </row>
    <row r="40" spans="1:9" x14ac:dyDescent="0.2">
      <c r="A40" s="237" t="s">
        <v>318</v>
      </c>
      <c r="B40" s="521">
        <v>57.100000000000009</v>
      </c>
      <c r="C40" s="521">
        <v>578.15</v>
      </c>
      <c r="D40" s="521">
        <v>333.58</v>
      </c>
      <c r="E40" s="521">
        <v>97.87</v>
      </c>
      <c r="F40" s="521">
        <v>70.52000000000001</v>
      </c>
      <c r="G40" s="521">
        <v>26.8</v>
      </c>
      <c r="H40" s="521">
        <v>12</v>
      </c>
      <c r="I40" s="521">
        <f t="shared" si="0"/>
        <v>1176.0199999999998</v>
      </c>
    </row>
    <row r="41" spans="1:9" x14ac:dyDescent="0.2">
      <c r="A41" s="354" t="s">
        <v>319</v>
      </c>
      <c r="B41" s="520">
        <v>33.700000000000003</v>
      </c>
      <c r="C41" s="520">
        <v>354.47</v>
      </c>
      <c r="D41" s="520">
        <v>135.81</v>
      </c>
      <c r="E41" s="520">
        <v>156.57</v>
      </c>
      <c r="F41" s="520">
        <v>41.399999999999991</v>
      </c>
      <c r="G41" s="520">
        <v>16</v>
      </c>
      <c r="H41" s="520">
        <v>6</v>
      </c>
      <c r="I41" s="520">
        <f t="shared" si="0"/>
        <v>743.94999999999993</v>
      </c>
    </row>
    <row r="42" spans="1:9" x14ac:dyDescent="0.2">
      <c r="A42" s="237" t="s">
        <v>320</v>
      </c>
      <c r="B42" s="521">
        <v>11.759999999999998</v>
      </c>
      <c r="C42" s="521">
        <v>102.57</v>
      </c>
      <c r="D42" s="521">
        <v>65.900000000000006</v>
      </c>
      <c r="E42" s="521">
        <v>54.800000000000004</v>
      </c>
      <c r="F42" s="521">
        <v>15.08</v>
      </c>
      <c r="G42" s="521">
        <v>3</v>
      </c>
      <c r="H42" s="521">
        <v>3</v>
      </c>
      <c r="I42" s="521">
        <f t="shared" si="0"/>
        <v>256.11</v>
      </c>
    </row>
    <row r="43" spans="1:9" x14ac:dyDescent="0.2">
      <c r="A43" s="354" t="s">
        <v>321</v>
      </c>
      <c r="B43" s="520">
        <v>7.6099999999999994</v>
      </c>
      <c r="C43" s="520">
        <v>76.585000000000008</v>
      </c>
      <c r="D43" s="520">
        <v>37.770000000000003</v>
      </c>
      <c r="E43" s="520">
        <v>31.99</v>
      </c>
      <c r="F43" s="520">
        <v>7.1700000000000008</v>
      </c>
      <c r="G43" s="520">
        <v>5</v>
      </c>
      <c r="H43" s="520">
        <v>1.27</v>
      </c>
      <c r="I43" s="520">
        <f t="shared" si="0"/>
        <v>167.39500000000001</v>
      </c>
    </row>
    <row r="44" spans="1:9" x14ac:dyDescent="0.2">
      <c r="A44" s="237" t="s">
        <v>322</v>
      </c>
      <c r="B44" s="521">
        <v>5.4</v>
      </c>
      <c r="C44" s="521">
        <v>62.2</v>
      </c>
      <c r="D44" s="521">
        <v>36.5</v>
      </c>
      <c r="E44" s="521">
        <v>34.1</v>
      </c>
      <c r="F44" s="521">
        <v>7.089999999999999</v>
      </c>
      <c r="G44" s="521">
        <v>1.45</v>
      </c>
      <c r="H44" s="521">
        <v>2</v>
      </c>
      <c r="I44" s="521">
        <f t="shared" si="0"/>
        <v>148.74</v>
      </c>
    </row>
    <row r="45" spans="1:9" x14ac:dyDescent="0.2">
      <c r="A45" s="354" t="s">
        <v>323</v>
      </c>
      <c r="B45" s="520">
        <v>10.5</v>
      </c>
      <c r="C45" s="520">
        <v>122.93</v>
      </c>
      <c r="D45" s="520">
        <v>56.46</v>
      </c>
      <c r="E45" s="520">
        <v>34.599999999999994</v>
      </c>
      <c r="F45" s="520">
        <v>11.6</v>
      </c>
      <c r="G45" s="520">
        <v>2.8</v>
      </c>
      <c r="H45" s="520">
        <v>4</v>
      </c>
      <c r="I45" s="520">
        <f t="shared" si="0"/>
        <v>242.89000000000001</v>
      </c>
    </row>
    <row r="46" spans="1:9" x14ac:dyDescent="0.2">
      <c r="A46" s="237" t="s">
        <v>324</v>
      </c>
      <c r="B46" s="521">
        <v>141.9</v>
      </c>
      <c r="C46" s="521">
        <v>2038.58</v>
      </c>
      <c r="D46" s="521">
        <v>1103.9099999999999</v>
      </c>
      <c r="E46" s="521">
        <v>683.18000000000006</v>
      </c>
      <c r="F46" s="521">
        <v>276.92</v>
      </c>
      <c r="G46" s="521">
        <v>106.15</v>
      </c>
      <c r="H46" s="521">
        <v>35.549999999999997</v>
      </c>
      <c r="I46" s="521">
        <f t="shared" si="0"/>
        <v>4386.1899999999996</v>
      </c>
    </row>
    <row r="47" spans="1:9" ht="6" customHeight="1" x14ac:dyDescent="0.2">
      <c r="A47" s="130"/>
      <c r="B47" s="521"/>
      <c r="C47" s="521"/>
      <c r="D47" s="521"/>
      <c r="E47" s="521"/>
      <c r="F47" s="521"/>
      <c r="G47" s="521"/>
      <c r="H47" s="521"/>
      <c r="I47" s="521"/>
    </row>
    <row r="48" spans="1:9" x14ac:dyDescent="0.2">
      <c r="A48" s="355" t="s">
        <v>221</v>
      </c>
      <c r="B48" s="522">
        <f t="shared" ref="B48:I48" si="1">SUM(B11:B46)</f>
        <v>1192.3558230259248</v>
      </c>
      <c r="C48" s="522">
        <f t="shared" si="1"/>
        <v>12690.460880799141</v>
      </c>
      <c r="D48" s="522">
        <f t="shared" si="1"/>
        <v>6606.4692473360356</v>
      </c>
      <c r="E48" s="522">
        <f t="shared" si="1"/>
        <v>3992.3909756787434</v>
      </c>
      <c r="F48" s="522">
        <f t="shared" si="1"/>
        <v>1499.6721561676648</v>
      </c>
      <c r="G48" s="522">
        <f t="shared" si="1"/>
        <v>485.72339417869784</v>
      </c>
      <c r="H48" s="522">
        <f t="shared" si="1"/>
        <v>254.41000000000003</v>
      </c>
      <c r="I48" s="522">
        <f t="shared" si="1"/>
        <v>26721.482477186204</v>
      </c>
    </row>
    <row r="49" spans="1:9" ht="6" customHeight="1" x14ac:dyDescent="0.2">
      <c r="A49" s="513"/>
      <c r="B49" s="523"/>
      <c r="C49" s="523"/>
      <c r="D49" s="523"/>
      <c r="E49" s="523"/>
      <c r="F49" s="523"/>
      <c r="G49" s="523"/>
      <c r="H49" s="523"/>
      <c r="I49" s="523"/>
    </row>
    <row r="50" spans="1:9" x14ac:dyDescent="0.2">
      <c r="A50" s="524" t="s">
        <v>325</v>
      </c>
      <c r="B50" s="521">
        <v>1.88</v>
      </c>
      <c r="C50" s="521">
        <v>17.87</v>
      </c>
      <c r="D50" s="521">
        <v>5.13</v>
      </c>
      <c r="E50" s="521">
        <v>2.62</v>
      </c>
      <c r="F50" s="521">
        <v>2.98</v>
      </c>
      <c r="G50" s="521">
        <v>0.32</v>
      </c>
      <c r="H50" s="521">
        <v>0</v>
      </c>
      <c r="I50" s="521">
        <f>SUM(B50:H50)</f>
        <v>30.8</v>
      </c>
    </row>
    <row r="51" spans="1:9" x14ac:dyDescent="0.2">
      <c r="A51" s="576" t="s">
        <v>608</v>
      </c>
      <c r="B51" s="520">
        <v>22.33</v>
      </c>
      <c r="C51" s="520">
        <v>33.850000000000009</v>
      </c>
      <c r="D51" s="520">
        <v>9.7099999999999973</v>
      </c>
      <c r="E51" s="520">
        <v>63.990000000000009</v>
      </c>
      <c r="F51" s="520">
        <v>24.599999999999998</v>
      </c>
      <c r="G51" s="520">
        <v>0</v>
      </c>
      <c r="H51" s="520">
        <v>4</v>
      </c>
      <c r="I51" s="520">
        <f>SUM(B51:H51)</f>
        <v>158.47999999999999</v>
      </c>
    </row>
    <row r="52" spans="1:9" ht="49.5" customHeight="1" x14ac:dyDescent="0.2">
      <c r="A52" s="479"/>
      <c r="B52" s="479"/>
      <c r="C52" s="480">
        <v>0</v>
      </c>
      <c r="D52" s="479"/>
      <c r="E52" s="479"/>
      <c r="F52" s="479"/>
      <c r="G52" s="479"/>
      <c r="H52" s="479"/>
      <c r="I52" s="479"/>
    </row>
    <row r="53" spans="1:9" x14ac:dyDescent="0.2">
      <c r="A53" s="841" t="s">
        <v>394</v>
      </c>
      <c r="B53" s="841"/>
      <c r="C53" s="841"/>
      <c r="D53" s="841"/>
      <c r="E53" s="841"/>
      <c r="F53" s="841"/>
      <c r="G53" s="841"/>
      <c r="H53" s="841"/>
      <c r="I53" s="841"/>
    </row>
    <row r="54" spans="1:9" ht="11.25" customHeight="1" x14ac:dyDescent="0.2">
      <c r="A54" s="842"/>
      <c r="B54" s="842"/>
      <c r="C54" s="842"/>
      <c r="D54" s="842"/>
      <c r="E54" s="842"/>
      <c r="F54" s="842"/>
      <c r="G54" s="842"/>
      <c r="H54" s="842"/>
      <c r="I54" s="842"/>
    </row>
    <row r="55" spans="1:9" x14ac:dyDescent="0.2">
      <c r="A55" s="133" t="s">
        <v>376</v>
      </c>
      <c r="B55" s="477"/>
      <c r="C55" s="481"/>
    </row>
    <row r="56" spans="1:9" x14ac:dyDescent="0.2">
      <c r="A56" s="133" t="s">
        <v>395</v>
      </c>
      <c r="B56" s="477"/>
      <c r="C56" s="481"/>
    </row>
  </sheetData>
  <mergeCells count="11">
    <mergeCell ref="A53:I54"/>
    <mergeCell ref="H8:H9"/>
    <mergeCell ref="C8:D8"/>
    <mergeCell ref="I8:I9"/>
    <mergeCell ref="B7:H7"/>
    <mergeCell ref="A2:H2"/>
    <mergeCell ref="A3:H3"/>
    <mergeCell ref="B8:B9"/>
    <mergeCell ref="E8:E9"/>
    <mergeCell ref="F8:F9"/>
    <mergeCell ref="G8:G9"/>
  </mergeCells>
  <phoneticPr fontId="6" type="noConversion"/>
  <pageMargins left="0.51181102362204722" right="0.51181102362204722" top="0.59055118110236227" bottom="0.19685039370078741" header="0.31496062992125984" footer="0.51181102362204722"/>
  <pageSetup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M57"/>
  <sheetViews>
    <sheetView showGridLines="0" workbookViewId="0"/>
  </sheetViews>
  <sheetFormatPr defaultColWidth="19.83203125" defaultRowHeight="12" x14ac:dyDescent="0.2"/>
  <cols>
    <col min="1" max="1" width="30.83203125" style="455" customWidth="1"/>
    <col min="2" max="2" width="17" style="455" customWidth="1"/>
    <col min="3" max="3" width="12" style="455" customWidth="1"/>
    <col min="4" max="4" width="16.83203125" style="455" customWidth="1"/>
    <col min="5" max="5" width="13" style="455" customWidth="1"/>
    <col min="6" max="6" width="13.33203125" style="455" customWidth="1"/>
    <col min="7" max="7" width="12.5" style="455" customWidth="1"/>
    <col min="8" max="9" width="19.83203125" style="455"/>
    <col min="10" max="10" width="25.5" style="455" bestFit="1" customWidth="1"/>
    <col min="11" max="11" width="21.1640625" style="455" bestFit="1" customWidth="1"/>
    <col min="12" max="16384" width="19.83203125" style="455"/>
  </cols>
  <sheetData>
    <row r="1" spans="1:13" ht="6.95" customHeight="1" x14ac:dyDescent="0.2">
      <c r="A1" s="453"/>
      <c r="B1" s="454"/>
      <c r="C1" s="454"/>
    </row>
    <row r="2" spans="1:13" ht="15.95" customHeight="1" x14ac:dyDescent="0.2">
      <c r="A2" s="456" t="s">
        <v>326</v>
      </c>
      <c r="B2" s="457"/>
      <c r="C2" s="457"/>
      <c r="D2" s="457"/>
      <c r="E2" s="457"/>
      <c r="F2" s="457"/>
      <c r="G2" s="457"/>
    </row>
    <row r="3" spans="1:13" ht="15.95" customHeight="1" x14ac:dyDescent="0.2">
      <c r="A3" s="543" t="str">
        <f>+'- 66 -'!A3</f>
        <v>2017/18 AND 2018/19 ACTUAL</v>
      </c>
      <c r="B3" s="458"/>
      <c r="C3" s="458"/>
      <c r="D3" s="458"/>
      <c r="E3" s="458"/>
      <c r="F3" s="458"/>
      <c r="G3" s="458"/>
    </row>
    <row r="4" spans="1:13" ht="15.95" customHeight="1" x14ac:dyDescent="0.2">
      <c r="B4" s="454"/>
      <c r="C4" s="454"/>
      <c r="J4" s="498"/>
      <c r="K4" s="498"/>
      <c r="L4" s="498"/>
      <c r="M4" s="498"/>
    </row>
    <row r="5" spans="1:13" ht="12" customHeight="1" x14ac:dyDescent="0.2">
      <c r="B5" s="454"/>
      <c r="C5" s="454"/>
      <c r="J5" s="498"/>
      <c r="K5" s="498"/>
      <c r="L5" s="498"/>
      <c r="M5" s="498"/>
    </row>
    <row r="6" spans="1:13" ht="15.75" customHeight="1" x14ac:dyDescent="0.2">
      <c r="B6" s="852" t="s">
        <v>594</v>
      </c>
      <c r="C6" s="853"/>
      <c r="D6" s="853"/>
      <c r="E6" s="854"/>
      <c r="F6" s="846" t="s">
        <v>593</v>
      </c>
      <c r="G6" s="847"/>
      <c r="J6" s="499"/>
      <c r="K6" s="498" t="str">
        <f>+'- 15 -'!E6</f>
        <v>STUDENT SUPPORT
 SERVICES</v>
      </c>
      <c r="L6" s="498" t="str">
        <f>+'- 16 -'!G6</f>
        <v>INSTRUCTIONAL &amp; OTHER 
SUPPORT SERVICES</v>
      </c>
      <c r="M6" s="498"/>
    </row>
    <row r="7" spans="1:13" x14ac:dyDescent="0.2">
      <c r="B7" s="855"/>
      <c r="C7" s="848"/>
      <c r="D7" s="848"/>
      <c r="E7" s="856"/>
      <c r="F7" s="848"/>
      <c r="G7" s="849"/>
      <c r="J7" s="499" t="str">
        <f>+'- 15 -'!B7</f>
        <v>REGULAR INSTRUCTION</v>
      </c>
      <c r="K7" s="498">
        <f>+'- 15 -'!E7</f>
        <v>0</v>
      </c>
      <c r="L7" s="498">
        <f>+'- 16 -'!G7</f>
        <v>0</v>
      </c>
      <c r="M7" s="498"/>
    </row>
    <row r="8" spans="1:13" x14ac:dyDescent="0.2">
      <c r="A8" s="568"/>
      <c r="B8" s="857"/>
      <c r="C8" s="858"/>
      <c r="D8" s="858"/>
      <c r="E8" s="859"/>
      <c r="F8" s="850"/>
      <c r="G8" s="851"/>
      <c r="J8" s="499"/>
      <c r="K8" s="498"/>
      <c r="L8" s="498"/>
      <c r="M8" s="498"/>
    </row>
    <row r="9" spans="1:13" ht="30.6" customHeight="1" x14ac:dyDescent="0.2">
      <c r="A9" s="459" t="s">
        <v>42</v>
      </c>
      <c r="B9" s="569" t="str">
        <f>+'- 66 -'!B9</f>
        <v>2017/18</v>
      </c>
      <c r="C9" s="570" t="s">
        <v>377</v>
      </c>
      <c r="D9" s="569" t="str">
        <f>+'- 66 -'!C9</f>
        <v>2018/19</v>
      </c>
      <c r="E9" s="570" t="s">
        <v>377</v>
      </c>
      <c r="F9" s="476" t="str">
        <f>+B9</f>
        <v>2017/18</v>
      </c>
      <c r="G9" s="476" t="str">
        <f>+D9</f>
        <v>2018/19</v>
      </c>
      <c r="J9" s="498"/>
      <c r="K9" s="498"/>
      <c r="L9" s="498"/>
      <c r="M9" s="498"/>
    </row>
    <row r="10" spans="1:13" ht="5.0999999999999996" customHeight="1" x14ac:dyDescent="0.2">
      <c r="A10" s="460"/>
      <c r="B10" s="461"/>
      <c r="C10" s="461"/>
      <c r="D10" s="453"/>
      <c r="E10" s="453"/>
      <c r="F10" s="453"/>
      <c r="J10" s="498"/>
      <c r="K10" s="498"/>
      <c r="L10" s="498"/>
      <c r="M10" s="498"/>
    </row>
    <row r="11" spans="1:13" ht="14.1" customHeight="1" x14ac:dyDescent="0.2">
      <c r="A11" s="470" t="s">
        <v>110</v>
      </c>
      <c r="B11" s="471">
        <v>14976675</v>
      </c>
      <c r="C11" s="472">
        <v>78.429563806010577</v>
      </c>
      <c r="D11" s="471">
        <v>15861234</v>
      </c>
      <c r="E11" s="472">
        <f>+D11/'- 3 -'!F11*100</f>
        <v>79.012886019030262</v>
      </c>
      <c r="F11" s="471">
        <v>8480.5634201585508</v>
      </c>
      <c r="G11" s="471">
        <f>+D11/'- 7 -'!E11</f>
        <v>8748.6122448979586</v>
      </c>
      <c r="I11" s="462" t="str">
        <f>IF(D11=M11,"",M11-D11)</f>
        <v/>
      </c>
      <c r="J11" s="499">
        <f>+'- 15 -'!B11</f>
        <v>12653415</v>
      </c>
      <c r="K11" s="498">
        <f>+'- 15 -'!E11</f>
        <v>2640269</v>
      </c>
      <c r="L11" s="498">
        <f>+'- 16 -'!G11</f>
        <v>567550</v>
      </c>
      <c r="M11" s="499">
        <f>+J11+K11+L11</f>
        <v>15861234</v>
      </c>
    </row>
    <row r="12" spans="1:13" ht="14.1" customHeight="1" x14ac:dyDescent="0.2">
      <c r="A12" s="463" t="s">
        <v>111</v>
      </c>
      <c r="B12" s="464">
        <v>25074202</v>
      </c>
      <c r="C12" s="465">
        <v>76.447189835343522</v>
      </c>
      <c r="D12" s="464">
        <v>25237933</v>
      </c>
      <c r="E12" s="465">
        <f>+D12/'- 3 -'!F12*100</f>
        <v>75.841990165457261</v>
      </c>
      <c r="F12" s="464">
        <v>11829.964851029699</v>
      </c>
      <c r="G12" s="464">
        <f>+D12/'- 7 -'!E12</f>
        <v>11867.348013561106</v>
      </c>
      <c r="I12" s="462" t="str">
        <f>IF(D12=M12,"",M12-D12)</f>
        <v/>
      </c>
      <c r="J12" s="499">
        <f>+'- 15 -'!B12</f>
        <v>19170856</v>
      </c>
      <c r="K12" s="498">
        <f>+'- 15 -'!E12</f>
        <v>5271697</v>
      </c>
      <c r="L12" s="498">
        <f>+'- 16 -'!G12</f>
        <v>795380</v>
      </c>
      <c r="M12" s="499">
        <f t="shared" ref="M12:M48" si="0">+J12+K12+L12</f>
        <v>25237933</v>
      </c>
    </row>
    <row r="13" spans="1:13" ht="14.1" customHeight="1" x14ac:dyDescent="0.2">
      <c r="A13" s="470" t="s">
        <v>112</v>
      </c>
      <c r="B13" s="471">
        <v>80227841</v>
      </c>
      <c r="C13" s="472">
        <v>83.901849282915322</v>
      </c>
      <c r="D13" s="471">
        <v>84686728</v>
      </c>
      <c r="E13" s="472">
        <f>+D13/'- 3 -'!F13*100</f>
        <v>84.183259912104475</v>
      </c>
      <c r="F13" s="471">
        <v>9581.1597301009133</v>
      </c>
      <c r="G13" s="471">
        <f>+D13/'- 7 -'!E13</f>
        <v>9887.5339171044943</v>
      </c>
      <c r="I13" s="462" t="str">
        <f t="shared" ref="I13:I48" si="1">IF(D13=M13,"",M13-D13)</f>
        <v/>
      </c>
      <c r="J13" s="499">
        <f>+'- 15 -'!B13</f>
        <v>60885601</v>
      </c>
      <c r="K13" s="498">
        <f>+'- 15 -'!E13</f>
        <v>20802779</v>
      </c>
      <c r="L13" s="498">
        <f>+'- 16 -'!G13</f>
        <v>2998348</v>
      </c>
      <c r="M13" s="500">
        <f t="shared" si="0"/>
        <v>84686728</v>
      </c>
    </row>
    <row r="14" spans="1:13" ht="14.1" customHeight="1" x14ac:dyDescent="0.2">
      <c r="A14" s="463" t="s">
        <v>359</v>
      </c>
      <c r="B14" s="464">
        <v>59023163</v>
      </c>
      <c r="C14" s="465">
        <v>72.561486294322179</v>
      </c>
      <c r="D14" s="464">
        <v>64646005</v>
      </c>
      <c r="E14" s="465">
        <f>+D14/'- 3 -'!F14*100</f>
        <v>71.990042554924912</v>
      </c>
      <c r="F14" s="464">
        <v>10764.482212746711</v>
      </c>
      <c r="G14" s="464">
        <f>+D14/'- 7 -'!E14</f>
        <v>11951.563135514883</v>
      </c>
      <c r="I14" s="462" t="str">
        <f t="shared" si="1"/>
        <v/>
      </c>
      <c r="J14" s="499">
        <f>+'- 15 -'!B14</f>
        <v>50549128</v>
      </c>
      <c r="K14" s="498">
        <f>+'- 15 -'!E14</f>
        <v>10821587</v>
      </c>
      <c r="L14" s="498">
        <f>+'- 16 -'!G14</f>
        <v>3275290</v>
      </c>
      <c r="M14" s="499">
        <f t="shared" si="0"/>
        <v>64646005</v>
      </c>
    </row>
    <row r="15" spans="1:13" ht="14.1" customHeight="1" x14ac:dyDescent="0.2">
      <c r="A15" s="470" t="s">
        <v>113</v>
      </c>
      <c r="B15" s="471">
        <v>14281257</v>
      </c>
      <c r="C15" s="472">
        <v>73.387675172601305</v>
      </c>
      <c r="D15" s="471">
        <v>14496009</v>
      </c>
      <c r="E15" s="472">
        <f>+D15/'- 3 -'!F15*100</f>
        <v>71.807449750791747</v>
      </c>
      <c r="F15" s="471">
        <v>10206.730274442538</v>
      </c>
      <c r="G15" s="471">
        <f>+D15/'- 7 -'!E15</f>
        <v>10263.387850467288</v>
      </c>
      <c r="I15" s="462" t="str">
        <f t="shared" si="1"/>
        <v/>
      </c>
      <c r="J15" s="499">
        <f>+'- 15 -'!B15</f>
        <v>10829430</v>
      </c>
      <c r="K15" s="498">
        <f>+'- 15 -'!E15</f>
        <v>3116126</v>
      </c>
      <c r="L15" s="498">
        <f>+'- 16 -'!G15</f>
        <v>550453</v>
      </c>
      <c r="M15" s="499">
        <f t="shared" si="0"/>
        <v>14496009</v>
      </c>
    </row>
    <row r="16" spans="1:13" ht="14.1" customHeight="1" x14ac:dyDescent="0.2">
      <c r="A16" s="463" t="s">
        <v>114</v>
      </c>
      <c r="B16" s="464">
        <v>10427309</v>
      </c>
      <c r="C16" s="465">
        <v>72.44393959131213</v>
      </c>
      <c r="D16" s="464">
        <v>11272072</v>
      </c>
      <c r="E16" s="465">
        <f>+D16/'- 3 -'!F16*100</f>
        <v>75.496382867627929</v>
      </c>
      <c r="F16" s="464">
        <v>11537.186324408056</v>
      </c>
      <c r="G16" s="464">
        <f>+D16/'- 7 -'!E16</f>
        <v>12470.485673193938</v>
      </c>
      <c r="I16" s="462" t="str">
        <f t="shared" si="1"/>
        <v/>
      </c>
      <c r="J16" s="499">
        <f>+'- 15 -'!B16</f>
        <v>8201478</v>
      </c>
      <c r="K16" s="498">
        <f>+'- 15 -'!E16</f>
        <v>2722986</v>
      </c>
      <c r="L16" s="498">
        <f>+'- 16 -'!G16</f>
        <v>347608</v>
      </c>
      <c r="M16" s="499">
        <f t="shared" si="0"/>
        <v>11272072</v>
      </c>
    </row>
    <row r="17" spans="1:13" ht="14.1" customHeight="1" x14ac:dyDescent="0.2">
      <c r="A17" s="470" t="s">
        <v>115</v>
      </c>
      <c r="B17" s="471">
        <v>13135973</v>
      </c>
      <c r="C17" s="472">
        <v>74.812193159602316</v>
      </c>
      <c r="D17" s="471">
        <v>13675372</v>
      </c>
      <c r="E17" s="472">
        <f>+D17/'- 3 -'!F17*100</f>
        <v>75.513413744050339</v>
      </c>
      <c r="F17" s="471">
        <v>9399.6228980322012</v>
      </c>
      <c r="G17" s="471">
        <f>+D17/'- 7 -'!E17</f>
        <v>9546.6979146928879</v>
      </c>
      <c r="I17" s="462" t="str">
        <f t="shared" si="1"/>
        <v/>
      </c>
      <c r="J17" s="499">
        <f>+'- 15 -'!B17</f>
        <v>10929465</v>
      </c>
      <c r="K17" s="498">
        <f>+'- 15 -'!E17</f>
        <v>2332742</v>
      </c>
      <c r="L17" s="498">
        <f>+'- 16 -'!G17</f>
        <v>413165</v>
      </c>
      <c r="M17" s="499">
        <f t="shared" si="0"/>
        <v>13675372</v>
      </c>
    </row>
    <row r="18" spans="1:13" ht="14.1" customHeight="1" x14ac:dyDescent="0.2">
      <c r="A18" s="463" t="s">
        <v>116</v>
      </c>
      <c r="B18" s="464">
        <v>81811740</v>
      </c>
      <c r="C18" s="465">
        <v>66.106988357983553</v>
      </c>
      <c r="D18" s="464">
        <v>85777081</v>
      </c>
      <c r="E18" s="465">
        <f>+D18/'- 3 -'!F18*100</f>
        <v>65.97651077833126</v>
      </c>
      <c r="F18" s="464">
        <v>13422.983149846594</v>
      </c>
      <c r="G18" s="464">
        <f>+D18/'- 7 -'!E18</f>
        <v>14303.331832582959</v>
      </c>
      <c r="I18" s="462" t="str">
        <f t="shared" si="1"/>
        <v/>
      </c>
      <c r="J18" s="499">
        <f>+'- 15 -'!B18</f>
        <v>56839558</v>
      </c>
      <c r="K18" s="498">
        <f>+'- 15 -'!E18</f>
        <v>21312857</v>
      </c>
      <c r="L18" s="498">
        <f>+'- 16 -'!G18</f>
        <v>7624666</v>
      </c>
      <c r="M18" s="499">
        <f t="shared" si="0"/>
        <v>85777081</v>
      </c>
    </row>
    <row r="19" spans="1:13" ht="14.1" customHeight="1" x14ac:dyDescent="0.2">
      <c r="A19" s="470" t="s">
        <v>117</v>
      </c>
      <c r="B19" s="471">
        <v>36672327.510000005</v>
      </c>
      <c r="C19" s="472">
        <v>79.572495858034401</v>
      </c>
      <c r="D19" s="471">
        <v>40388357</v>
      </c>
      <c r="E19" s="472">
        <f>+D19/'- 3 -'!F19*100</f>
        <v>80.735369417321394</v>
      </c>
      <c r="F19" s="471">
        <v>8370.7663798219601</v>
      </c>
      <c r="G19" s="471">
        <f>+D19/'- 7 -'!E19</f>
        <v>9149.0218597802705</v>
      </c>
      <c r="I19" s="462" t="str">
        <f t="shared" si="1"/>
        <v/>
      </c>
      <c r="J19" s="499">
        <f>+'- 15 -'!B19</f>
        <v>29437722</v>
      </c>
      <c r="K19" s="498">
        <f>+'- 15 -'!E19</f>
        <v>9277267</v>
      </c>
      <c r="L19" s="498">
        <f>+'- 16 -'!G19</f>
        <v>1673368</v>
      </c>
      <c r="M19" s="499">
        <f t="shared" si="0"/>
        <v>40388357</v>
      </c>
    </row>
    <row r="20" spans="1:13" ht="14.1" customHeight="1" x14ac:dyDescent="0.2">
      <c r="A20" s="463" t="s">
        <v>118</v>
      </c>
      <c r="B20" s="464">
        <v>65338963</v>
      </c>
      <c r="C20" s="465">
        <v>79.603394584329664</v>
      </c>
      <c r="D20" s="464">
        <v>70167080</v>
      </c>
      <c r="E20" s="465">
        <f>+D20/'- 3 -'!F20*100</f>
        <v>80.441114000681566</v>
      </c>
      <c r="F20" s="464">
        <v>8557.2605592299133</v>
      </c>
      <c r="G20" s="464">
        <f>+D20/'- 7 -'!E20</f>
        <v>8902.7570893865377</v>
      </c>
      <c r="I20" s="462" t="str">
        <f t="shared" si="1"/>
        <v/>
      </c>
      <c r="J20" s="499">
        <f>+'- 15 -'!B20</f>
        <v>55004677</v>
      </c>
      <c r="K20" s="498">
        <f>+'- 15 -'!E20</f>
        <v>12539740</v>
      </c>
      <c r="L20" s="498">
        <f>+'- 16 -'!G20</f>
        <v>2622663</v>
      </c>
      <c r="M20" s="499">
        <f t="shared" si="0"/>
        <v>70167080</v>
      </c>
    </row>
    <row r="21" spans="1:13" ht="14.1" customHeight="1" x14ac:dyDescent="0.2">
      <c r="A21" s="470" t="s">
        <v>119</v>
      </c>
      <c r="B21" s="471">
        <v>27928741</v>
      </c>
      <c r="C21" s="472">
        <v>78.140649381146005</v>
      </c>
      <c r="D21" s="471">
        <v>29108652</v>
      </c>
      <c r="E21" s="472">
        <f>+D21/'- 3 -'!F21*100</f>
        <v>78.74655860114963</v>
      </c>
      <c r="F21" s="471">
        <v>10185.165019510594</v>
      </c>
      <c r="G21" s="471">
        <f>+D21/'- 7 -'!E21</f>
        <v>10243.033288760644</v>
      </c>
      <c r="I21" s="462" t="str">
        <f t="shared" si="1"/>
        <v/>
      </c>
      <c r="J21" s="499">
        <f>+'- 15 -'!B21</f>
        <v>21466847</v>
      </c>
      <c r="K21" s="498">
        <f>+'- 15 -'!E21</f>
        <v>6549227</v>
      </c>
      <c r="L21" s="498">
        <f>+'- 16 -'!G21</f>
        <v>1092578</v>
      </c>
      <c r="M21" s="499">
        <f t="shared" si="0"/>
        <v>29108652</v>
      </c>
    </row>
    <row r="22" spans="1:13" ht="14.1" customHeight="1" x14ac:dyDescent="0.2">
      <c r="A22" s="463" t="s">
        <v>120</v>
      </c>
      <c r="B22" s="464">
        <v>15283612</v>
      </c>
      <c r="C22" s="465">
        <v>78.816066406026593</v>
      </c>
      <c r="D22" s="464">
        <v>15809193</v>
      </c>
      <c r="E22" s="465">
        <f>+D22/'- 3 -'!F22*100</f>
        <v>77.917608937926317</v>
      </c>
      <c r="F22" s="464">
        <v>10031.249671829877</v>
      </c>
      <c r="G22" s="464">
        <f>+D22/'- 7 -'!E22</f>
        <v>10764.805256707068</v>
      </c>
      <c r="I22" s="462" t="str">
        <f t="shared" si="1"/>
        <v/>
      </c>
      <c r="J22" s="499">
        <f>+'- 15 -'!B22</f>
        <v>10917453</v>
      </c>
      <c r="K22" s="498">
        <f>+'- 15 -'!E22</f>
        <v>4460205</v>
      </c>
      <c r="L22" s="498">
        <f>+'- 16 -'!G22</f>
        <v>431535</v>
      </c>
      <c r="M22" s="499">
        <f t="shared" si="0"/>
        <v>15809193</v>
      </c>
    </row>
    <row r="23" spans="1:13" ht="14.1" customHeight="1" x14ac:dyDescent="0.2">
      <c r="A23" s="470" t="s">
        <v>121</v>
      </c>
      <c r="B23" s="471">
        <v>12435371</v>
      </c>
      <c r="C23" s="472">
        <v>74.747860477708429</v>
      </c>
      <c r="D23" s="471">
        <v>11295008</v>
      </c>
      <c r="E23" s="472">
        <f>+D23/'- 3 -'!F23*100</f>
        <v>73.323372527390916</v>
      </c>
      <c r="F23" s="471">
        <v>11157.802602063706</v>
      </c>
      <c r="G23" s="471">
        <f>+D23/'- 7 -'!E23</f>
        <v>11747.278211128445</v>
      </c>
      <c r="I23" s="462" t="str">
        <f t="shared" si="1"/>
        <v/>
      </c>
      <c r="J23" s="499">
        <f>+'- 15 -'!B23</f>
        <v>8049684</v>
      </c>
      <c r="K23" s="498">
        <f>+'- 15 -'!E23</f>
        <v>2805460</v>
      </c>
      <c r="L23" s="498">
        <f>+'- 16 -'!G23</f>
        <v>439864</v>
      </c>
      <c r="M23" s="499">
        <f t="shared" si="0"/>
        <v>11295008</v>
      </c>
    </row>
    <row r="24" spans="1:13" ht="14.1" customHeight="1" x14ac:dyDescent="0.2">
      <c r="A24" s="463" t="s">
        <v>122</v>
      </c>
      <c r="B24" s="464">
        <v>44537332</v>
      </c>
      <c r="C24" s="465">
        <v>78.888929353229315</v>
      </c>
      <c r="D24" s="464">
        <v>45245526</v>
      </c>
      <c r="E24" s="465">
        <f>+D24/'- 3 -'!F24*100</f>
        <v>79.29812901880814</v>
      </c>
      <c r="F24" s="464">
        <v>11280.128662968873</v>
      </c>
      <c r="G24" s="464">
        <f>+D24/'- 7 -'!E24</f>
        <v>11814.687173595154</v>
      </c>
      <c r="I24" s="462" t="str">
        <f t="shared" si="1"/>
        <v/>
      </c>
      <c r="J24" s="499">
        <f>+'- 15 -'!B24</f>
        <v>34018153</v>
      </c>
      <c r="K24" s="498">
        <f>+'- 15 -'!E24</f>
        <v>9781230</v>
      </c>
      <c r="L24" s="498">
        <f>+'- 16 -'!G24</f>
        <v>1446143</v>
      </c>
      <c r="M24" s="499">
        <f t="shared" si="0"/>
        <v>45245526</v>
      </c>
    </row>
    <row r="25" spans="1:13" ht="14.1" customHeight="1" x14ac:dyDescent="0.2">
      <c r="A25" s="470" t="s">
        <v>123</v>
      </c>
      <c r="B25" s="471">
        <v>142304384</v>
      </c>
      <c r="C25" s="472">
        <v>81.510239341057385</v>
      </c>
      <c r="D25" s="471">
        <v>153671608</v>
      </c>
      <c r="E25" s="472">
        <f>+D25/'- 3 -'!F25*100</f>
        <v>80.597947751320859</v>
      </c>
      <c r="F25" s="471">
        <v>9926.4353127463219</v>
      </c>
      <c r="G25" s="471">
        <f>+D25/'- 7 -'!E25</f>
        <v>10326.213268645382</v>
      </c>
      <c r="I25" s="462" t="str">
        <f t="shared" si="1"/>
        <v/>
      </c>
      <c r="J25" s="499">
        <f>+'- 15 -'!B25</f>
        <v>104681699</v>
      </c>
      <c r="K25" s="498">
        <f>+'- 15 -'!E25</f>
        <v>39760706</v>
      </c>
      <c r="L25" s="498">
        <f>+'- 16 -'!G25</f>
        <v>9229203</v>
      </c>
      <c r="M25" s="499">
        <f t="shared" si="0"/>
        <v>153671608</v>
      </c>
    </row>
    <row r="26" spans="1:13" ht="14.1" customHeight="1" x14ac:dyDescent="0.2">
      <c r="A26" s="463" t="s">
        <v>124</v>
      </c>
      <c r="B26" s="464">
        <v>30319415</v>
      </c>
      <c r="C26" s="465">
        <v>74.161440389720994</v>
      </c>
      <c r="D26" s="464">
        <v>30570201</v>
      </c>
      <c r="E26" s="465">
        <f>+D26/'- 3 -'!F26*100</f>
        <v>74.85126622314624</v>
      </c>
      <c r="F26" s="464">
        <v>9921.2745418848172</v>
      </c>
      <c r="G26" s="464">
        <f>+D26/'- 7 -'!E26</f>
        <v>10186.671442852383</v>
      </c>
      <c r="I26" s="462" t="str">
        <f t="shared" si="1"/>
        <v/>
      </c>
      <c r="J26" s="499">
        <f>+'- 15 -'!B26</f>
        <v>22790929</v>
      </c>
      <c r="K26" s="498">
        <f>+'- 15 -'!E26</f>
        <v>6228496</v>
      </c>
      <c r="L26" s="498">
        <f>+'- 16 -'!G26</f>
        <v>1550776</v>
      </c>
      <c r="M26" s="499">
        <f t="shared" si="0"/>
        <v>30570201</v>
      </c>
    </row>
    <row r="27" spans="1:13" ht="14.1" customHeight="1" x14ac:dyDescent="0.2">
      <c r="A27" s="470" t="s">
        <v>125</v>
      </c>
      <c r="B27" s="471">
        <v>33880377</v>
      </c>
      <c r="C27" s="472">
        <v>81.753332237670705</v>
      </c>
      <c r="D27" s="471">
        <v>33799517</v>
      </c>
      <c r="E27" s="472">
        <f>+D27/'- 3 -'!F27*100</f>
        <v>81.980025887624734</v>
      </c>
      <c r="F27" s="471">
        <v>11339.763032382225</v>
      </c>
      <c r="G27" s="471">
        <f>+D27/'- 7 -'!E27</f>
        <v>11375.099954229712</v>
      </c>
      <c r="I27" s="462" t="str">
        <f t="shared" si="1"/>
        <v/>
      </c>
      <c r="J27" s="499">
        <f>+'- 15 -'!B27</f>
        <v>23918403</v>
      </c>
      <c r="K27" s="498">
        <f>+'- 15 -'!E27</f>
        <v>8431016</v>
      </c>
      <c r="L27" s="498">
        <f>+'- 16 -'!G27</f>
        <v>1450098</v>
      </c>
      <c r="M27" s="499">
        <f t="shared" si="0"/>
        <v>33799517</v>
      </c>
    </row>
    <row r="28" spans="1:13" ht="14.1" customHeight="1" x14ac:dyDescent="0.2">
      <c r="A28" s="463" t="s">
        <v>126</v>
      </c>
      <c r="B28" s="464">
        <v>21092881</v>
      </c>
      <c r="C28" s="465">
        <v>75.310472234993426</v>
      </c>
      <c r="D28" s="464">
        <v>21657240</v>
      </c>
      <c r="E28" s="465">
        <f>+D28/'- 3 -'!F28*100</f>
        <v>75.094085011581598</v>
      </c>
      <c r="F28" s="464">
        <v>10745.227203260316</v>
      </c>
      <c r="G28" s="464">
        <f>+D28/'- 7 -'!E28</f>
        <v>10993.522842639593</v>
      </c>
      <c r="I28" s="462" t="str">
        <f t="shared" si="1"/>
        <v/>
      </c>
      <c r="J28" s="499">
        <f>+'- 15 -'!B28</f>
        <v>17375937</v>
      </c>
      <c r="K28" s="498">
        <f>+'- 15 -'!E28</f>
        <v>3495008</v>
      </c>
      <c r="L28" s="498">
        <f>+'- 16 -'!G28</f>
        <v>786295</v>
      </c>
      <c r="M28" s="499">
        <f t="shared" si="0"/>
        <v>21657240</v>
      </c>
    </row>
    <row r="29" spans="1:13" ht="14.1" customHeight="1" x14ac:dyDescent="0.2">
      <c r="A29" s="470" t="s">
        <v>127</v>
      </c>
      <c r="B29" s="471">
        <v>127932131</v>
      </c>
      <c r="C29" s="472">
        <v>80.78091203786532</v>
      </c>
      <c r="D29" s="471">
        <v>133203275</v>
      </c>
      <c r="E29" s="472">
        <f>+D29/'- 3 -'!F29*100</f>
        <v>80.433325820972939</v>
      </c>
      <c r="F29" s="471">
        <v>9778.9496575551893</v>
      </c>
      <c r="G29" s="471">
        <f>+D29/'- 7 -'!E29</f>
        <v>9601.9661200216251</v>
      </c>
      <c r="I29" s="462" t="str">
        <f t="shared" si="1"/>
        <v/>
      </c>
      <c r="J29" s="499">
        <f>+'- 15 -'!B29</f>
        <v>95012249</v>
      </c>
      <c r="K29" s="498">
        <f>+'- 15 -'!E29</f>
        <v>31592701</v>
      </c>
      <c r="L29" s="498">
        <f>+'- 16 -'!G29</f>
        <v>6598325</v>
      </c>
      <c r="M29" s="499">
        <f t="shared" si="0"/>
        <v>133203275</v>
      </c>
    </row>
    <row r="30" spans="1:13" ht="14.1" customHeight="1" x14ac:dyDescent="0.2">
      <c r="A30" s="463" t="s">
        <v>128</v>
      </c>
      <c r="B30" s="464">
        <v>10610973</v>
      </c>
      <c r="C30" s="465">
        <v>75.305288458808874</v>
      </c>
      <c r="D30" s="464">
        <v>11707616</v>
      </c>
      <c r="E30" s="465">
        <f>+D30/'- 3 -'!F30*100</f>
        <v>76.033409297798556</v>
      </c>
      <c r="F30" s="464">
        <v>10620.075922219045</v>
      </c>
      <c r="G30" s="464">
        <f>+D30/'- 7 -'!E30</f>
        <v>11438.804103566194</v>
      </c>
      <c r="I30" s="462" t="str">
        <f t="shared" si="1"/>
        <v/>
      </c>
      <c r="J30" s="499">
        <f>+'- 15 -'!B30</f>
        <v>9175807</v>
      </c>
      <c r="K30" s="498">
        <f>+'- 15 -'!E30</f>
        <v>1940163</v>
      </c>
      <c r="L30" s="498">
        <f>+'- 16 -'!G30</f>
        <v>591646</v>
      </c>
      <c r="M30" s="499">
        <f t="shared" si="0"/>
        <v>11707616</v>
      </c>
    </row>
    <row r="31" spans="1:13" ht="14.1" customHeight="1" x14ac:dyDescent="0.2">
      <c r="A31" s="470" t="s">
        <v>129</v>
      </c>
      <c r="B31" s="471">
        <v>30347999</v>
      </c>
      <c r="C31" s="472">
        <v>81.00597044024029</v>
      </c>
      <c r="D31" s="471">
        <v>31568019</v>
      </c>
      <c r="E31" s="472">
        <f>+D31/'- 3 -'!F31*100</f>
        <v>81.597415786996748</v>
      </c>
      <c r="F31" s="471">
        <v>9329.23424531202</v>
      </c>
      <c r="G31" s="471">
        <f>+D31/'- 7 -'!E31</f>
        <v>9444.4335078534023</v>
      </c>
      <c r="I31" s="462" t="str">
        <f t="shared" si="1"/>
        <v/>
      </c>
      <c r="J31" s="499">
        <f>+'- 15 -'!B31</f>
        <v>23139920</v>
      </c>
      <c r="K31" s="498">
        <f>+'- 15 -'!E31</f>
        <v>7166756</v>
      </c>
      <c r="L31" s="498">
        <f>+'- 16 -'!G31</f>
        <v>1261343</v>
      </c>
      <c r="M31" s="499">
        <f t="shared" si="0"/>
        <v>31568019</v>
      </c>
    </row>
    <row r="32" spans="1:13" ht="14.1" customHeight="1" x14ac:dyDescent="0.2">
      <c r="A32" s="463" t="s">
        <v>130</v>
      </c>
      <c r="B32" s="464">
        <v>22173773</v>
      </c>
      <c r="C32" s="465">
        <v>76.490030632890935</v>
      </c>
      <c r="D32" s="464">
        <v>22606202</v>
      </c>
      <c r="E32" s="465">
        <f>+D32/'- 3 -'!F32*100</f>
        <v>75.942928891635518</v>
      </c>
      <c r="F32" s="464">
        <v>10298.055452349992</v>
      </c>
      <c r="G32" s="464">
        <f>+D32/'- 7 -'!E32</f>
        <v>10153.245901639344</v>
      </c>
      <c r="I32" s="462" t="str">
        <f t="shared" si="1"/>
        <v/>
      </c>
      <c r="J32" s="499">
        <f>+'- 15 -'!B32</f>
        <v>17405126</v>
      </c>
      <c r="K32" s="498">
        <f>+'- 15 -'!E32</f>
        <v>4188558</v>
      </c>
      <c r="L32" s="498">
        <f>+'- 16 -'!G32</f>
        <v>1012518</v>
      </c>
      <c r="M32" s="499">
        <f t="shared" si="0"/>
        <v>22606202</v>
      </c>
    </row>
    <row r="33" spans="1:13" ht="14.1" customHeight="1" x14ac:dyDescent="0.2">
      <c r="A33" s="470" t="s">
        <v>131</v>
      </c>
      <c r="B33" s="471">
        <v>20731098</v>
      </c>
      <c r="C33" s="472">
        <v>74.639080832219477</v>
      </c>
      <c r="D33" s="471">
        <v>20831360</v>
      </c>
      <c r="E33" s="472">
        <f>+D33/'- 3 -'!F33*100</f>
        <v>74.40760518237461</v>
      </c>
      <c r="F33" s="471">
        <v>10265.460757613271</v>
      </c>
      <c r="G33" s="471">
        <f>+D33/'- 7 -'!E33</f>
        <v>10170.569280343718</v>
      </c>
      <c r="I33" s="462" t="str">
        <f t="shared" si="1"/>
        <v/>
      </c>
      <c r="J33" s="499">
        <f>+'- 15 -'!B33</f>
        <v>16438611</v>
      </c>
      <c r="K33" s="498">
        <f>+'- 15 -'!E33</f>
        <v>3670621</v>
      </c>
      <c r="L33" s="498">
        <f>+'- 16 -'!G33</f>
        <v>722128</v>
      </c>
      <c r="M33" s="499">
        <f t="shared" si="0"/>
        <v>20831360</v>
      </c>
    </row>
    <row r="34" spans="1:13" ht="14.1" customHeight="1" x14ac:dyDescent="0.2">
      <c r="A34" s="463" t="s">
        <v>132</v>
      </c>
      <c r="B34" s="464">
        <v>21788760</v>
      </c>
      <c r="C34" s="465">
        <v>75.076033022654542</v>
      </c>
      <c r="D34" s="464">
        <v>23320814</v>
      </c>
      <c r="E34" s="465">
        <f>+D34/'- 3 -'!F34*100</f>
        <v>75.949135656053869</v>
      </c>
      <c r="F34" s="464">
        <v>10707.533539731681</v>
      </c>
      <c r="G34" s="464">
        <f>+D34/'- 7 -'!E34</f>
        <v>10687.913729731712</v>
      </c>
      <c r="I34" s="462" t="str">
        <f t="shared" si="1"/>
        <v/>
      </c>
      <c r="J34" s="499">
        <f>+'- 15 -'!B34</f>
        <v>17082622</v>
      </c>
      <c r="K34" s="498">
        <f>+'- 15 -'!E34</f>
        <v>5422276</v>
      </c>
      <c r="L34" s="498">
        <f>+'- 16 -'!G34</f>
        <v>815916</v>
      </c>
      <c r="M34" s="499">
        <f t="shared" si="0"/>
        <v>23320814</v>
      </c>
    </row>
    <row r="35" spans="1:13" ht="14.1" customHeight="1" x14ac:dyDescent="0.2">
      <c r="A35" s="470" t="s">
        <v>133</v>
      </c>
      <c r="B35" s="471">
        <v>147262457</v>
      </c>
      <c r="C35" s="472">
        <v>81.224812785611377</v>
      </c>
      <c r="D35" s="471">
        <v>153719677</v>
      </c>
      <c r="E35" s="472">
        <f>+D35/'- 3 -'!F35*100</f>
        <v>80.962162534031691</v>
      </c>
      <c r="F35" s="471">
        <v>9435.0625961045625</v>
      </c>
      <c r="G35" s="471">
        <f>+D35/'- 7 -'!E35</f>
        <v>9568.6073451602861</v>
      </c>
      <c r="I35" s="462" t="str">
        <f t="shared" si="1"/>
        <v/>
      </c>
      <c r="J35" s="499">
        <f>+'- 15 -'!B35</f>
        <v>108526991</v>
      </c>
      <c r="K35" s="498">
        <f>+'- 15 -'!E35</f>
        <v>37452026</v>
      </c>
      <c r="L35" s="498">
        <f>+'- 16 -'!G35</f>
        <v>7740660</v>
      </c>
      <c r="M35" s="499">
        <f t="shared" si="0"/>
        <v>153719677</v>
      </c>
    </row>
    <row r="36" spans="1:13" ht="14.1" customHeight="1" x14ac:dyDescent="0.2">
      <c r="A36" s="463" t="s">
        <v>134</v>
      </c>
      <c r="B36" s="464">
        <v>17298678</v>
      </c>
      <c r="C36" s="465">
        <v>74.365583007102842</v>
      </c>
      <c r="D36" s="464">
        <v>17847739</v>
      </c>
      <c r="E36" s="465">
        <f>+D36/'- 3 -'!F36*100</f>
        <v>74.77903557012705</v>
      </c>
      <c r="F36" s="464">
        <v>10374.019790104947</v>
      </c>
      <c r="G36" s="464">
        <f>+D36/'- 7 -'!E36</f>
        <v>10629.981536628946</v>
      </c>
      <c r="I36" s="462" t="str">
        <f t="shared" si="1"/>
        <v/>
      </c>
      <c r="J36" s="499">
        <f>+'- 15 -'!B36</f>
        <v>14301518</v>
      </c>
      <c r="K36" s="498">
        <f>+'- 15 -'!E36</f>
        <v>3020729</v>
      </c>
      <c r="L36" s="498">
        <f>+'- 16 -'!G36</f>
        <v>525492</v>
      </c>
      <c r="M36" s="499">
        <f t="shared" si="0"/>
        <v>17847739</v>
      </c>
    </row>
    <row r="37" spans="1:13" ht="14.1" customHeight="1" x14ac:dyDescent="0.2">
      <c r="A37" s="470" t="s">
        <v>135</v>
      </c>
      <c r="B37" s="471">
        <v>38611512</v>
      </c>
      <c r="C37" s="472">
        <v>78.113652430921647</v>
      </c>
      <c r="D37" s="471">
        <v>41880062</v>
      </c>
      <c r="E37" s="472">
        <f>+D37/'- 3 -'!F37*100</f>
        <v>79.209814800237424</v>
      </c>
      <c r="F37" s="471">
        <v>9230.5790102797037</v>
      </c>
      <c r="G37" s="471">
        <f>+D37/'- 7 -'!E37</f>
        <v>9656.4588425178699</v>
      </c>
      <c r="I37" s="462" t="str">
        <f t="shared" si="1"/>
        <v/>
      </c>
      <c r="J37" s="499">
        <f>+'- 15 -'!B37</f>
        <v>30587793</v>
      </c>
      <c r="K37" s="498">
        <f>+'- 15 -'!E37</f>
        <v>9258180</v>
      </c>
      <c r="L37" s="498">
        <f>+'- 16 -'!G37</f>
        <v>2034089</v>
      </c>
      <c r="M37" s="499">
        <f t="shared" si="0"/>
        <v>41880062</v>
      </c>
    </row>
    <row r="38" spans="1:13" ht="14.1" customHeight="1" x14ac:dyDescent="0.2">
      <c r="A38" s="463" t="s">
        <v>136</v>
      </c>
      <c r="B38" s="464">
        <v>109962514</v>
      </c>
      <c r="C38" s="465">
        <v>82.840015344790174</v>
      </c>
      <c r="D38" s="464">
        <v>114732059</v>
      </c>
      <c r="E38" s="465">
        <f>+D38/'- 3 -'!F38*100</f>
        <v>82.038436144509532</v>
      </c>
      <c r="F38" s="464">
        <v>10002.229802252179</v>
      </c>
      <c r="G38" s="464">
        <f>+D38/'- 7 -'!E38</f>
        <v>10147.622033733405</v>
      </c>
      <c r="I38" s="462" t="str">
        <f t="shared" si="1"/>
        <v/>
      </c>
      <c r="J38" s="499">
        <f>+'- 15 -'!B38</f>
        <v>82855657</v>
      </c>
      <c r="K38" s="498">
        <f>+'- 15 -'!E38</f>
        <v>26510514</v>
      </c>
      <c r="L38" s="498">
        <f>+'- 16 -'!G38</f>
        <v>5365888</v>
      </c>
      <c r="M38" s="499">
        <f t="shared" si="0"/>
        <v>114732059</v>
      </c>
    </row>
    <row r="39" spans="1:13" ht="14.1" customHeight="1" x14ac:dyDescent="0.2">
      <c r="A39" s="470" t="s">
        <v>137</v>
      </c>
      <c r="B39" s="471">
        <v>15749413</v>
      </c>
      <c r="C39" s="472">
        <v>73.948957165805979</v>
      </c>
      <c r="D39" s="471">
        <v>16492269</v>
      </c>
      <c r="E39" s="472">
        <f>+D39/'- 3 -'!F39*100</f>
        <v>74.423421930598352</v>
      </c>
      <c r="F39" s="471">
        <v>10499.608666666667</v>
      </c>
      <c r="G39" s="471">
        <f>+D39/'- 7 -'!E39</f>
        <v>10972.900199600799</v>
      </c>
      <c r="I39" s="462" t="str">
        <f t="shared" si="1"/>
        <v/>
      </c>
      <c r="J39" s="499">
        <f>+'- 15 -'!B39</f>
        <v>13101359</v>
      </c>
      <c r="K39" s="498">
        <f>+'- 15 -'!E39</f>
        <v>2946329</v>
      </c>
      <c r="L39" s="498">
        <f>+'- 16 -'!G39</f>
        <v>444581</v>
      </c>
      <c r="M39" s="499">
        <f t="shared" si="0"/>
        <v>16492269</v>
      </c>
    </row>
    <row r="40" spans="1:13" ht="14.1" customHeight="1" x14ac:dyDescent="0.2">
      <c r="A40" s="463" t="s">
        <v>138</v>
      </c>
      <c r="B40" s="464">
        <v>84906607</v>
      </c>
      <c r="C40" s="465">
        <v>82.154791986562032</v>
      </c>
      <c r="D40" s="464">
        <v>86819176</v>
      </c>
      <c r="E40" s="465">
        <f>+D40/'- 3 -'!F40*100</f>
        <v>82.145561765258833</v>
      </c>
      <c r="F40" s="464">
        <v>10278.752481720014</v>
      </c>
      <c r="G40" s="464">
        <f>+D40/'- 7 -'!E40</f>
        <v>10586.736091211169</v>
      </c>
      <c r="I40" s="462" t="str">
        <f t="shared" si="1"/>
        <v/>
      </c>
      <c r="J40" s="499">
        <f>+'- 15 -'!B40</f>
        <v>59208534</v>
      </c>
      <c r="K40" s="498">
        <f>+'- 15 -'!E40</f>
        <v>23746971</v>
      </c>
      <c r="L40" s="498">
        <f>+'- 16 -'!G40</f>
        <v>3863671</v>
      </c>
      <c r="M40" s="499">
        <f t="shared" si="0"/>
        <v>86819176</v>
      </c>
    </row>
    <row r="41" spans="1:13" ht="14.1" customHeight="1" x14ac:dyDescent="0.2">
      <c r="A41" s="470" t="s">
        <v>139</v>
      </c>
      <c r="B41" s="471">
        <v>46529944</v>
      </c>
      <c r="C41" s="472">
        <v>75.818574357498321</v>
      </c>
      <c r="D41" s="471">
        <v>49077711</v>
      </c>
      <c r="E41" s="472">
        <f>+D41/'- 3 -'!F41*100</f>
        <v>76.387856043079523</v>
      </c>
      <c r="F41" s="471">
        <v>10436.23281372659</v>
      </c>
      <c r="G41" s="471">
        <f>+D41/'- 7 -'!E41</f>
        <v>11022.506681639528</v>
      </c>
      <c r="I41" s="462" t="str">
        <f t="shared" si="1"/>
        <v/>
      </c>
      <c r="J41" s="499">
        <f>+'- 15 -'!B41</f>
        <v>34762566</v>
      </c>
      <c r="K41" s="498">
        <f>+'- 15 -'!E41</f>
        <v>12708507</v>
      </c>
      <c r="L41" s="498">
        <f>+'- 16 -'!G41</f>
        <v>1606638</v>
      </c>
      <c r="M41" s="499">
        <f t="shared" si="0"/>
        <v>49077711</v>
      </c>
    </row>
    <row r="42" spans="1:13" ht="14.1" customHeight="1" x14ac:dyDescent="0.2">
      <c r="A42" s="463" t="s">
        <v>140</v>
      </c>
      <c r="B42" s="464">
        <v>14677941</v>
      </c>
      <c r="C42" s="465">
        <v>73.132691126938042</v>
      </c>
      <c r="D42" s="464">
        <v>15546310</v>
      </c>
      <c r="E42" s="465">
        <f>+D42/'- 3 -'!F42*100</f>
        <v>74.688598330123853</v>
      </c>
      <c r="F42" s="464">
        <v>10646.990425068911</v>
      </c>
      <c r="G42" s="464">
        <f>+D42/'- 7 -'!E42</f>
        <v>11245.070524412296</v>
      </c>
      <c r="I42" s="462" t="str">
        <f t="shared" si="1"/>
        <v/>
      </c>
      <c r="J42" s="499">
        <f>+'- 15 -'!B42</f>
        <v>12054750</v>
      </c>
      <c r="K42" s="498">
        <f>+'- 15 -'!E42</f>
        <v>3106834</v>
      </c>
      <c r="L42" s="498">
        <f>+'- 16 -'!G42</f>
        <v>384726</v>
      </c>
      <c r="M42" s="499">
        <f t="shared" si="0"/>
        <v>15546310</v>
      </c>
    </row>
    <row r="43" spans="1:13" ht="14.1" customHeight="1" x14ac:dyDescent="0.2">
      <c r="A43" s="470" t="s">
        <v>141</v>
      </c>
      <c r="B43" s="471">
        <v>9960999</v>
      </c>
      <c r="C43" s="472">
        <v>76.526822035363224</v>
      </c>
      <c r="D43" s="471">
        <v>10277828</v>
      </c>
      <c r="E43" s="472">
        <f>+D43/'- 3 -'!F43*100</f>
        <v>75.856509085256903</v>
      </c>
      <c r="F43" s="471">
        <v>10346.939856653162</v>
      </c>
      <c r="G43" s="471">
        <f>+D43/'- 7 -'!E43</f>
        <v>10365.938477054968</v>
      </c>
      <c r="I43" s="462" t="str">
        <f t="shared" si="1"/>
        <v/>
      </c>
      <c r="J43" s="499">
        <f>+'- 15 -'!B43</f>
        <v>7508803</v>
      </c>
      <c r="K43" s="498">
        <f>+'- 15 -'!E43</f>
        <v>2316162</v>
      </c>
      <c r="L43" s="498">
        <f>+'- 16 -'!G43</f>
        <v>452863</v>
      </c>
      <c r="M43" s="499">
        <f t="shared" si="0"/>
        <v>10277828</v>
      </c>
    </row>
    <row r="44" spans="1:13" ht="14.1" customHeight="1" x14ac:dyDescent="0.2">
      <c r="A44" s="463" t="s">
        <v>142</v>
      </c>
      <c r="B44" s="464">
        <v>8020370</v>
      </c>
      <c r="C44" s="465">
        <v>74.436922722817854</v>
      </c>
      <c r="D44" s="464">
        <v>8244617</v>
      </c>
      <c r="E44" s="465">
        <f>+D44/'- 3 -'!F44*100</f>
        <v>74.138298944723346</v>
      </c>
      <c r="F44" s="464">
        <v>11565.061283345349</v>
      </c>
      <c r="G44" s="464">
        <f>+D44/'- 7 -'!E44</f>
        <v>11612.136619718311</v>
      </c>
      <c r="I44" s="462" t="str">
        <f t="shared" si="1"/>
        <v/>
      </c>
      <c r="J44" s="499">
        <f>+'- 15 -'!B44</f>
        <v>6348512</v>
      </c>
      <c r="K44" s="498">
        <f>+'- 15 -'!E44</f>
        <v>1652257</v>
      </c>
      <c r="L44" s="498">
        <f>+'- 16 -'!G44</f>
        <v>243848</v>
      </c>
      <c r="M44" s="499">
        <f t="shared" si="0"/>
        <v>8244617</v>
      </c>
    </row>
    <row r="45" spans="1:13" ht="14.1" customHeight="1" x14ac:dyDescent="0.2">
      <c r="A45" s="470" t="s">
        <v>143</v>
      </c>
      <c r="B45" s="471">
        <v>14992496</v>
      </c>
      <c r="C45" s="472">
        <v>79.676195430228191</v>
      </c>
      <c r="D45" s="471">
        <v>16030875</v>
      </c>
      <c r="E45" s="472">
        <f>+D45/'- 3 -'!F45*100</f>
        <v>79.86872052759702</v>
      </c>
      <c r="F45" s="471">
        <v>8897.6237388724039</v>
      </c>
      <c r="G45" s="471">
        <f>+D45/'- 7 -'!E45</f>
        <v>8820.2888583218701</v>
      </c>
      <c r="I45" s="462" t="str">
        <f t="shared" si="1"/>
        <v/>
      </c>
      <c r="J45" s="499">
        <f>+'- 15 -'!B45</f>
        <v>12821000</v>
      </c>
      <c r="K45" s="498">
        <f>+'- 15 -'!E45</f>
        <v>2728087</v>
      </c>
      <c r="L45" s="498">
        <f>+'- 16 -'!G45</f>
        <v>481788</v>
      </c>
      <c r="M45" s="499">
        <f t="shared" si="0"/>
        <v>16030875</v>
      </c>
    </row>
    <row r="46" spans="1:13" ht="14.1" customHeight="1" x14ac:dyDescent="0.2">
      <c r="A46" s="463" t="s">
        <v>144</v>
      </c>
      <c r="B46" s="464">
        <v>309129513</v>
      </c>
      <c r="C46" s="465">
        <v>81.27983600194267</v>
      </c>
      <c r="D46" s="464">
        <v>317322752</v>
      </c>
      <c r="E46" s="465">
        <f>+D46/'- 3 -'!F46*100</f>
        <v>81.13208332049517</v>
      </c>
      <c r="F46" s="464">
        <v>10346.04615281636</v>
      </c>
      <c r="G46" s="464">
        <f>+D46/'- 7 -'!E46</f>
        <v>10652.882987830466</v>
      </c>
      <c r="I46" s="462" t="str">
        <f t="shared" si="1"/>
        <v/>
      </c>
      <c r="J46" s="499">
        <f>+'- 15 -'!B46</f>
        <v>215239881</v>
      </c>
      <c r="K46" s="498">
        <f>+'- 15 -'!E46</f>
        <v>93284955</v>
      </c>
      <c r="L46" s="498">
        <f>+'- 16 -'!G46</f>
        <v>8797916</v>
      </c>
      <c r="M46" s="499">
        <f t="shared" si="0"/>
        <v>317322752</v>
      </c>
    </row>
    <row r="47" spans="1:13" ht="5.0999999999999996" customHeight="1" x14ac:dyDescent="0.2">
      <c r="B47" s="462"/>
      <c r="C47" s="462"/>
      <c r="D47" s="462"/>
      <c r="E47" s="462"/>
      <c r="F47" s="462"/>
      <c r="G47" s="462"/>
      <c r="I47" s="462" t="str">
        <f t="shared" si="1"/>
        <v/>
      </c>
      <c r="J47" s="499">
        <f>+'- 15 -'!B47</f>
        <v>0</v>
      </c>
      <c r="K47" s="498">
        <f>+'- 15 -'!E47</f>
        <v>0</v>
      </c>
      <c r="L47" s="498">
        <f>+'- 16 -'!G47</f>
        <v>0</v>
      </c>
      <c r="M47" s="499">
        <f t="shared" si="0"/>
        <v>0</v>
      </c>
    </row>
    <row r="48" spans="1:13" ht="14.1" customHeight="1" x14ac:dyDescent="0.2">
      <c r="A48" s="473" t="s">
        <v>145</v>
      </c>
      <c r="B48" s="474">
        <v>1779438741.51</v>
      </c>
      <c r="C48" s="475">
        <v>78.847679514964298</v>
      </c>
      <c r="D48" s="474">
        <f>SUM(D11:D46)</f>
        <v>1858593177</v>
      </c>
      <c r="E48" s="475">
        <f>+D48/'- 3 -'!F48*100</f>
        <v>78.789887818053302</v>
      </c>
      <c r="F48" s="474">
        <v>10108.300365690184</v>
      </c>
      <c r="G48" s="474">
        <f>+D48/'- 7 -'!E48</f>
        <v>10394.308835765387</v>
      </c>
      <c r="I48" s="462" t="str">
        <f t="shared" si="1"/>
        <v/>
      </c>
      <c r="J48" s="499">
        <f>+'- 15 -'!B48</f>
        <v>1333292134</v>
      </c>
      <c r="K48" s="498">
        <f>+'- 15 -'!E48</f>
        <v>445062024</v>
      </c>
      <c r="L48" s="498">
        <f>+'- 16 -'!G48</f>
        <v>80239019</v>
      </c>
      <c r="M48" s="499">
        <f t="shared" si="0"/>
        <v>1858593177</v>
      </c>
    </row>
    <row r="49" spans="1:7" ht="5.0999999999999996" customHeight="1" x14ac:dyDescent="0.2">
      <c r="B49" s="462"/>
      <c r="C49" s="462"/>
      <c r="D49" s="462"/>
      <c r="E49" s="462"/>
      <c r="F49" s="462"/>
      <c r="G49" s="462"/>
    </row>
    <row r="50" spans="1:7" ht="49.5" customHeight="1" x14ac:dyDescent="0.2">
      <c r="A50" s="466"/>
      <c r="B50" s="467"/>
      <c r="C50" s="467"/>
      <c r="D50" s="467"/>
      <c r="E50" s="467"/>
      <c r="F50" s="467"/>
      <c r="G50" s="467"/>
    </row>
    <row r="51" spans="1:7" ht="12" customHeight="1" x14ac:dyDescent="0.2">
      <c r="A51" s="860" t="s">
        <v>595</v>
      </c>
      <c r="B51" s="861"/>
      <c r="C51" s="861"/>
      <c r="D51" s="861"/>
      <c r="E51" s="861"/>
      <c r="F51" s="861"/>
      <c r="G51" s="861"/>
    </row>
    <row r="52" spans="1:7" x14ac:dyDescent="0.2">
      <c r="A52" s="862"/>
      <c r="B52" s="862"/>
      <c r="C52" s="862"/>
      <c r="D52" s="862"/>
      <c r="E52" s="862"/>
      <c r="F52" s="862"/>
      <c r="G52" s="862"/>
    </row>
    <row r="53" spans="1:7" ht="10.5" customHeight="1" x14ac:dyDescent="0.2">
      <c r="A53" s="468" t="s">
        <v>378</v>
      </c>
      <c r="B53" s="468"/>
      <c r="C53" s="468"/>
    </row>
    <row r="54" spans="1:7" ht="12" customHeight="1" x14ac:dyDescent="0.2">
      <c r="B54" s="468"/>
      <c r="C54" s="468"/>
    </row>
    <row r="55" spans="1:7" ht="12" customHeight="1" x14ac:dyDescent="0.2">
      <c r="A55" s="469"/>
      <c r="B55" s="468"/>
      <c r="C55" s="468"/>
    </row>
    <row r="56" spans="1:7" ht="12" customHeight="1" x14ac:dyDescent="0.2">
      <c r="A56" s="469"/>
      <c r="B56" s="468"/>
      <c r="C56" s="468"/>
    </row>
    <row r="57" spans="1:7" ht="14.45" customHeight="1" x14ac:dyDescent="0.2">
      <c r="A57" s="468"/>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I58"/>
  <sheetViews>
    <sheetView showGridLines="0" showZeros="0" workbookViewId="0"/>
  </sheetViews>
  <sheetFormatPr defaultColWidth="12.83203125" defaultRowHeight="12" x14ac:dyDescent="0.2"/>
  <cols>
    <col min="1" max="1" width="30.83203125" style="2" customWidth="1"/>
    <col min="2" max="8" width="12.83203125" style="2" customWidth="1"/>
    <col min="9" max="16384" width="12.83203125" style="2"/>
  </cols>
  <sheetData>
    <row r="1" spans="1:9" ht="6.95" customHeight="1" x14ac:dyDescent="0.2">
      <c r="A1" s="7"/>
      <c r="B1" s="8"/>
      <c r="C1" s="8"/>
    </row>
    <row r="2" spans="1:9" ht="15.95" customHeight="1" x14ac:dyDescent="0.2">
      <c r="A2" s="245" t="s">
        <v>231</v>
      </c>
      <c r="B2" s="246"/>
      <c r="C2" s="246"/>
      <c r="D2" s="246"/>
      <c r="E2" s="246"/>
      <c r="F2" s="142"/>
      <c r="G2" s="142"/>
      <c r="H2" s="142"/>
      <c r="I2" s="142"/>
    </row>
    <row r="3" spans="1:9" ht="15.95" customHeight="1" x14ac:dyDescent="0.2">
      <c r="A3" s="544" t="str">
        <f>B9&amp;" AND "&amp;C9&amp;" ACTUAL"</f>
        <v>2017/18 AND 2018/19 ACTUAL</v>
      </c>
      <c r="B3" s="247"/>
      <c r="C3" s="248"/>
      <c r="D3" s="248"/>
      <c r="E3" s="248"/>
      <c r="F3" s="249"/>
      <c r="G3" s="249"/>
      <c r="H3" s="249"/>
      <c r="I3" s="249"/>
    </row>
    <row r="4" spans="1:9" ht="15.95" customHeight="1" x14ac:dyDescent="0.2">
      <c r="B4" s="31"/>
      <c r="C4" s="8"/>
    </row>
    <row r="5" spans="1:9" ht="15.95" customHeight="1" x14ac:dyDescent="0.2">
      <c r="B5" s="227"/>
      <c r="C5" s="8"/>
    </row>
    <row r="6" spans="1:9" ht="15.95" customHeight="1" x14ac:dyDescent="0.2">
      <c r="B6" s="872" t="s">
        <v>599</v>
      </c>
      <c r="C6" s="873"/>
      <c r="D6" s="571"/>
      <c r="E6" s="377"/>
      <c r="F6" s="867" t="s">
        <v>597</v>
      </c>
      <c r="G6" s="868"/>
      <c r="H6" s="380"/>
      <c r="I6" s="381"/>
    </row>
    <row r="7" spans="1:9" ht="15.95" customHeight="1" x14ac:dyDescent="0.2">
      <c r="B7" s="874"/>
      <c r="C7" s="875"/>
      <c r="D7" s="870" t="s">
        <v>598</v>
      </c>
      <c r="E7" s="864"/>
      <c r="F7" s="869"/>
      <c r="G7" s="864"/>
      <c r="H7" s="863" t="s">
        <v>596</v>
      </c>
      <c r="I7" s="864"/>
    </row>
    <row r="8" spans="1:9" ht="15.95" customHeight="1" x14ac:dyDescent="0.2">
      <c r="A8" s="403"/>
      <c r="B8" s="876"/>
      <c r="C8" s="877"/>
      <c r="D8" s="871"/>
      <c r="E8" s="866"/>
      <c r="F8" s="865"/>
      <c r="G8" s="866"/>
      <c r="H8" s="865"/>
      <c r="I8" s="866"/>
    </row>
    <row r="9" spans="1:9" ht="15.95" customHeight="1" x14ac:dyDescent="0.2">
      <c r="A9" s="35" t="s">
        <v>42</v>
      </c>
      <c r="B9" s="572" t="str">
        <f>PrevY</f>
        <v>2017/18</v>
      </c>
      <c r="C9" s="573" t="str">
        <f>+CurrY</f>
        <v>2018/19</v>
      </c>
      <c r="D9" s="490" t="str">
        <f>+B9</f>
        <v>2017/18</v>
      </c>
      <c r="E9" s="491" t="s">
        <v>640</v>
      </c>
      <c r="F9" s="491">
        <v>2017</v>
      </c>
      <c r="G9" s="491" t="s">
        <v>641</v>
      </c>
      <c r="H9" s="491">
        <f>+F9</f>
        <v>2017</v>
      </c>
      <c r="I9" s="491" t="s">
        <v>642</v>
      </c>
    </row>
    <row r="10" spans="1:9" ht="5.0999999999999996" customHeight="1" x14ac:dyDescent="0.2">
      <c r="A10" s="6"/>
      <c r="C10" s="250"/>
    </row>
    <row r="11" spans="1:9" ht="14.1" customHeight="1" x14ac:dyDescent="0.2">
      <c r="A11" s="352" t="s">
        <v>110</v>
      </c>
      <c r="B11" s="352">
        <v>10991</v>
      </c>
      <c r="C11" s="352">
        <f>'- 4 -'!E11</f>
        <v>11072</v>
      </c>
      <c r="D11" s="353">
        <v>13.967686810626068</v>
      </c>
      <c r="E11" s="353">
        <f>'- 9 -'!C11</f>
        <v>13.933292345527205</v>
      </c>
      <c r="F11" s="352">
        <v>412611</v>
      </c>
      <c r="G11" s="352">
        <f>'- 55 -'!F11</f>
        <v>443871</v>
      </c>
      <c r="H11" s="353">
        <v>11.888023994984442</v>
      </c>
      <c r="I11" s="353">
        <f>'- 53 -'!G11</f>
        <v>11.271041117372127</v>
      </c>
    </row>
    <row r="12" spans="1:9" ht="14.1" customHeight="1" x14ac:dyDescent="0.2">
      <c r="A12" s="151" t="s">
        <v>111</v>
      </c>
      <c r="B12" s="151">
        <v>16148</v>
      </c>
      <c r="C12" s="151">
        <f>'- 4 -'!E12</f>
        <v>15647</v>
      </c>
      <c r="D12" s="238">
        <v>11.63686680803638</v>
      </c>
      <c r="E12" s="238">
        <f>'- 9 -'!C12</f>
        <v>10.904434235084196</v>
      </c>
      <c r="F12" s="151">
        <v>440677</v>
      </c>
      <c r="G12" s="151">
        <f>'- 55 -'!F12</f>
        <v>488493</v>
      </c>
      <c r="H12" s="238">
        <v>16.89729453848889</v>
      </c>
      <c r="I12" s="238">
        <f>'- 53 -'!G12</f>
        <v>14.405126590347793</v>
      </c>
    </row>
    <row r="13" spans="1:9" ht="14.1" customHeight="1" x14ac:dyDescent="0.2">
      <c r="A13" s="352" t="s">
        <v>112</v>
      </c>
      <c r="B13" s="352">
        <v>11698</v>
      </c>
      <c r="C13" s="352">
        <f>'- 4 -'!E13</f>
        <v>11745</v>
      </c>
      <c r="D13" s="353">
        <v>12.733149975732081</v>
      </c>
      <c r="E13" s="353">
        <f>'- 9 -'!C13</f>
        <v>12.819169635106416</v>
      </c>
      <c r="F13" s="352">
        <v>368527</v>
      </c>
      <c r="G13" s="352">
        <f>'- 55 -'!F13</f>
        <v>373897</v>
      </c>
      <c r="H13" s="353">
        <v>14.909560390442531</v>
      </c>
      <c r="I13" s="353">
        <f>'- 53 -'!G13</f>
        <v>15.047634195746236</v>
      </c>
    </row>
    <row r="14" spans="1:9" ht="14.1" customHeight="1" x14ac:dyDescent="0.2">
      <c r="A14" s="151" t="s">
        <v>359</v>
      </c>
      <c r="B14" s="151">
        <v>15441</v>
      </c>
      <c r="C14" s="151">
        <f>'- 4 -'!E14</f>
        <v>16602</v>
      </c>
      <c r="D14" s="238">
        <v>11.926031475967672</v>
      </c>
      <c r="E14" s="238">
        <f>'- 9 -'!C14</f>
        <v>11.748758363091573</v>
      </c>
      <c r="F14" s="151">
        <v>448183</v>
      </c>
      <c r="G14" s="151">
        <f>'- 55 -'!F14</f>
        <v>470417</v>
      </c>
      <c r="H14" s="238">
        <v>0</v>
      </c>
      <c r="I14" s="238">
        <f>'- 53 -'!G14</f>
        <v>0</v>
      </c>
    </row>
    <row r="15" spans="1:9" ht="14.1" customHeight="1" x14ac:dyDescent="0.2">
      <c r="A15" s="352" t="s">
        <v>113</v>
      </c>
      <c r="B15" s="352">
        <v>14444</v>
      </c>
      <c r="C15" s="352">
        <f>'- 4 -'!E15</f>
        <v>14293</v>
      </c>
      <c r="D15" s="353">
        <v>12.681985294117647</v>
      </c>
      <c r="E15" s="353">
        <f>'- 9 -'!C15</f>
        <v>12.627626285203398</v>
      </c>
      <c r="F15" s="352">
        <v>678168</v>
      </c>
      <c r="G15" s="352">
        <f>'- 55 -'!F15</f>
        <v>716133</v>
      </c>
      <c r="H15" s="353">
        <v>10.944426401436637</v>
      </c>
      <c r="I15" s="353">
        <f>'- 53 -'!G15</f>
        <v>10.984411245544862</v>
      </c>
    </row>
    <row r="16" spans="1:9" ht="14.1" customHeight="1" x14ac:dyDescent="0.2">
      <c r="A16" s="151" t="s">
        <v>114</v>
      </c>
      <c r="B16" s="151">
        <v>15728</v>
      </c>
      <c r="C16" s="151">
        <f>'- 4 -'!E16</f>
        <v>16518</v>
      </c>
      <c r="D16" s="238">
        <v>11.305263157894737</v>
      </c>
      <c r="E16" s="238">
        <f>'- 9 -'!C16</f>
        <v>10.956363636363637</v>
      </c>
      <c r="F16" s="151">
        <v>207103</v>
      </c>
      <c r="G16" s="151">
        <f>'- 55 -'!F16</f>
        <v>212509</v>
      </c>
      <c r="H16" s="238">
        <v>20.706451376073211</v>
      </c>
      <c r="I16" s="238">
        <f>'- 53 -'!G16</f>
        <v>21.435859804311313</v>
      </c>
    </row>
    <row r="17" spans="1:9" ht="14.1" customHeight="1" x14ac:dyDescent="0.2">
      <c r="A17" s="352" t="s">
        <v>115</v>
      </c>
      <c r="B17" s="352">
        <v>12937</v>
      </c>
      <c r="C17" s="352">
        <f>'- 4 -'!E17</f>
        <v>12642</v>
      </c>
      <c r="D17" s="353">
        <v>12.54860941771372</v>
      </c>
      <c r="E17" s="353">
        <f>'- 9 -'!C17</f>
        <v>12.785357270362626</v>
      </c>
      <c r="F17" s="352">
        <v>868924</v>
      </c>
      <c r="G17" s="352">
        <f>'- 55 -'!F17</f>
        <v>911122</v>
      </c>
      <c r="H17" s="353">
        <v>7.8996980158645282</v>
      </c>
      <c r="I17" s="353">
        <f>'- 53 -'!G17</f>
        <v>7.7231349411031802</v>
      </c>
    </row>
    <row r="18" spans="1:9" ht="14.1" customHeight="1" x14ac:dyDescent="0.2">
      <c r="A18" s="151" t="s">
        <v>116</v>
      </c>
      <c r="B18" s="151">
        <v>21056</v>
      </c>
      <c r="C18" s="151">
        <f>'- 4 -'!E18</f>
        <v>21679</v>
      </c>
      <c r="D18" s="238">
        <v>12.190295147573787</v>
      </c>
      <c r="E18" s="238">
        <f>'- 9 -'!C18</f>
        <v>11.763800127020628</v>
      </c>
      <c r="F18" s="151">
        <v>105285</v>
      </c>
      <c r="G18" s="151">
        <f>'- 55 -'!F18</f>
        <v>110861</v>
      </c>
      <c r="H18" s="238">
        <v>13.499995315651919</v>
      </c>
      <c r="I18" s="238">
        <f>'- 53 -'!G18</f>
        <v>12.864999489105124</v>
      </c>
    </row>
    <row r="19" spans="1:9" ht="14.1" customHeight="1" x14ac:dyDescent="0.2">
      <c r="A19" s="352" t="s">
        <v>117</v>
      </c>
      <c r="B19" s="352">
        <v>11090</v>
      </c>
      <c r="C19" s="352">
        <f>'- 4 -'!E19</f>
        <v>11332</v>
      </c>
      <c r="D19" s="353">
        <v>14.794447410571276</v>
      </c>
      <c r="E19" s="353">
        <f>'- 9 -'!C19</f>
        <v>14.531419730735045</v>
      </c>
      <c r="F19" s="352">
        <v>272222</v>
      </c>
      <c r="G19" s="352">
        <f>'- 55 -'!F19</f>
        <v>292500</v>
      </c>
      <c r="H19" s="353">
        <v>15.990820281699635</v>
      </c>
      <c r="I19" s="353">
        <f>'- 53 -'!G19</f>
        <v>15.080288048099247</v>
      </c>
    </row>
    <row r="20" spans="1:9" ht="14.1" customHeight="1" x14ac:dyDescent="0.2">
      <c r="A20" s="151" t="s">
        <v>118</v>
      </c>
      <c r="B20" s="151">
        <v>10859</v>
      </c>
      <c r="C20" s="151">
        <f>'- 4 -'!E20</f>
        <v>11067</v>
      </c>
      <c r="D20" s="238">
        <v>14.324051098244645</v>
      </c>
      <c r="E20" s="238">
        <f>'- 9 -'!C20</f>
        <v>14.299580891557957</v>
      </c>
      <c r="F20" s="151">
        <v>266510</v>
      </c>
      <c r="G20" s="151">
        <f>'- 55 -'!F20</f>
        <v>270044</v>
      </c>
      <c r="H20" s="238">
        <v>15.294547408361383</v>
      </c>
      <c r="I20" s="238">
        <f>'- 53 -'!G20</f>
        <v>15.142682992713993</v>
      </c>
    </row>
    <row r="21" spans="1:9" ht="14.1" customHeight="1" x14ac:dyDescent="0.2">
      <c r="A21" s="352" t="s">
        <v>119</v>
      </c>
      <c r="B21" s="352">
        <v>13147</v>
      </c>
      <c r="C21" s="352">
        <f>'- 4 -'!E21</f>
        <v>13008</v>
      </c>
      <c r="D21" s="353">
        <v>11.96593694894843</v>
      </c>
      <c r="E21" s="353">
        <f>'- 9 -'!C21</f>
        <v>12.067091295116773</v>
      </c>
      <c r="F21" s="352">
        <v>467949</v>
      </c>
      <c r="G21" s="352">
        <f>'- 55 -'!F21</f>
        <v>491479</v>
      </c>
      <c r="H21" s="353">
        <v>13.732616919080982</v>
      </c>
      <c r="I21" s="353">
        <f>'- 53 -'!G21</f>
        <v>13.587764129088127</v>
      </c>
    </row>
    <row r="22" spans="1:9" ht="14.1" customHeight="1" x14ac:dyDescent="0.2">
      <c r="A22" s="151" t="s">
        <v>120</v>
      </c>
      <c r="B22" s="151">
        <v>13372</v>
      </c>
      <c r="C22" s="151">
        <f>'- 4 -'!E22</f>
        <v>13816</v>
      </c>
      <c r="D22" s="238">
        <v>12.570707070707071</v>
      </c>
      <c r="E22" s="238">
        <f>'- 9 -'!C22</f>
        <v>11.829238824003221</v>
      </c>
      <c r="F22" s="151">
        <v>172842</v>
      </c>
      <c r="G22" s="151">
        <f>'- 55 -'!F22</f>
        <v>172077</v>
      </c>
      <c r="H22" s="238">
        <v>17.321164680864037</v>
      </c>
      <c r="I22" s="238">
        <f>'- 53 -'!G22</f>
        <v>17.534076892125718</v>
      </c>
    </row>
    <row r="23" spans="1:9" ht="14.1" customHeight="1" x14ac:dyDescent="0.2">
      <c r="A23" s="352" t="s">
        <v>121</v>
      </c>
      <c r="B23" s="352">
        <v>15349</v>
      </c>
      <c r="C23" s="352">
        <f>'- 4 -'!E23</f>
        <v>16021</v>
      </c>
      <c r="D23" s="353">
        <v>11.245954692556634</v>
      </c>
      <c r="E23" s="353">
        <f>'- 9 -'!C23</f>
        <v>11.514970059880239</v>
      </c>
      <c r="F23" s="352">
        <v>289162</v>
      </c>
      <c r="G23" s="352">
        <f>'- 55 -'!F23</f>
        <v>329425</v>
      </c>
      <c r="H23" s="353">
        <v>16.195092096437396</v>
      </c>
      <c r="I23" s="353">
        <f>'- 53 -'!G23</f>
        <v>14.84507254638002</v>
      </c>
    </row>
    <row r="24" spans="1:9" ht="14.1" customHeight="1" x14ac:dyDescent="0.2">
      <c r="A24" s="151" t="s">
        <v>122</v>
      </c>
      <c r="B24" s="151">
        <v>14655</v>
      </c>
      <c r="C24" s="151">
        <f>'- 4 -'!E24</f>
        <v>14899</v>
      </c>
      <c r="D24" s="238">
        <v>11.806128640776699</v>
      </c>
      <c r="E24" s="238">
        <f>'- 9 -'!C24</f>
        <v>11.948829953198128</v>
      </c>
      <c r="F24" s="151">
        <v>524987</v>
      </c>
      <c r="G24" s="151">
        <f>'- 55 -'!F24</f>
        <v>525879</v>
      </c>
      <c r="H24" s="238">
        <v>14.306008715611425</v>
      </c>
      <c r="I24" s="238">
        <f>'- 53 -'!G24</f>
        <v>14.823461615655591</v>
      </c>
    </row>
    <row r="25" spans="1:9" ht="14.1" customHeight="1" x14ac:dyDescent="0.2">
      <c r="A25" s="352" t="s">
        <v>123</v>
      </c>
      <c r="B25" s="352">
        <v>12523</v>
      </c>
      <c r="C25" s="352">
        <f>'- 4 -'!E25</f>
        <v>12812</v>
      </c>
      <c r="D25" s="353">
        <v>13.730122970055383</v>
      </c>
      <c r="E25" s="353">
        <f>'- 9 -'!C25</f>
        <v>13.665472910927457</v>
      </c>
      <c r="F25" s="352">
        <v>481407</v>
      </c>
      <c r="G25" s="352">
        <f>'- 55 -'!F25</f>
        <v>494126</v>
      </c>
      <c r="H25" s="353">
        <v>13.260228145370151</v>
      </c>
      <c r="I25" s="353">
        <f>'- 53 -'!G25</f>
        <v>13.246291105609478</v>
      </c>
    </row>
    <row r="26" spans="1:9" ht="14.1" customHeight="1" x14ac:dyDescent="0.2">
      <c r="A26" s="151" t="s">
        <v>124</v>
      </c>
      <c r="B26" s="151">
        <v>13773</v>
      </c>
      <c r="C26" s="151">
        <f>'- 4 -'!E26</f>
        <v>13609</v>
      </c>
      <c r="D26" s="238">
        <v>12.565912570164993</v>
      </c>
      <c r="E26" s="238">
        <f>'- 9 -'!C26</f>
        <v>12.811208633584917</v>
      </c>
      <c r="F26" s="151">
        <v>357556</v>
      </c>
      <c r="G26" s="151">
        <f>'- 55 -'!F26</f>
        <v>380734</v>
      </c>
      <c r="H26" s="238">
        <v>15.651645161689501</v>
      </c>
      <c r="I26" s="238">
        <f>'- 53 -'!G26</f>
        <v>15.344073757481109</v>
      </c>
    </row>
    <row r="27" spans="1:9" ht="14.1" customHeight="1" x14ac:dyDescent="0.2">
      <c r="A27" s="352" t="s">
        <v>125</v>
      </c>
      <c r="B27" s="352">
        <v>13509</v>
      </c>
      <c r="C27" s="352">
        <f>'- 4 -'!E27</f>
        <v>13875</v>
      </c>
      <c r="D27" s="353">
        <v>12.193345938769763</v>
      </c>
      <c r="E27" s="353">
        <f>'- 9 -'!C27</f>
        <v>12.340047344158812</v>
      </c>
      <c r="F27" s="352">
        <v>187707</v>
      </c>
      <c r="G27" s="352">
        <f>'- 55 -'!F27</f>
        <v>165950</v>
      </c>
      <c r="H27" s="353">
        <v>18.577838958886439</v>
      </c>
      <c r="I27" s="353">
        <f>'- 53 -'!G27</f>
        <v>18.623440635922936</v>
      </c>
    </row>
    <row r="28" spans="1:9" ht="14.1" customHeight="1" x14ac:dyDescent="0.2">
      <c r="A28" s="151" t="s">
        <v>126</v>
      </c>
      <c r="B28" s="151">
        <v>14714</v>
      </c>
      <c r="C28" s="151">
        <f>'- 4 -'!E28</f>
        <v>14640</v>
      </c>
      <c r="D28" s="238">
        <v>11.161366043569119</v>
      </c>
      <c r="E28" s="238">
        <f>'- 9 -'!C28</f>
        <v>11.330955941562175</v>
      </c>
      <c r="F28" s="151">
        <v>540078</v>
      </c>
      <c r="G28" s="151">
        <f>'- 55 -'!F28</f>
        <v>615280</v>
      </c>
      <c r="H28" s="238">
        <v>11.28979402252317</v>
      </c>
      <c r="I28" s="238">
        <f>'- 53 -'!G28</f>
        <v>10.382553001288626</v>
      </c>
    </row>
    <row r="29" spans="1:9" ht="14.1" customHeight="1" x14ac:dyDescent="0.2">
      <c r="A29" s="352" t="s">
        <v>127</v>
      </c>
      <c r="B29" s="352">
        <v>12089</v>
      </c>
      <c r="C29" s="352">
        <f>'- 4 -'!E29</f>
        <v>11938</v>
      </c>
      <c r="D29" s="353">
        <v>14.085631349782291</v>
      </c>
      <c r="E29" s="353">
        <f>'- 9 -'!C29</f>
        <v>14.326654962305071</v>
      </c>
      <c r="F29" s="352">
        <v>602030</v>
      </c>
      <c r="G29" s="352">
        <f>'- 55 -'!F29</f>
        <v>629714</v>
      </c>
      <c r="H29" s="353">
        <v>12.482952404756249</v>
      </c>
      <c r="I29" s="353">
        <f>'- 53 -'!G29</f>
        <v>12.320643189237414</v>
      </c>
    </row>
    <row r="30" spans="1:9" ht="14.1" customHeight="1" x14ac:dyDescent="0.2">
      <c r="A30" s="151" t="s">
        <v>128</v>
      </c>
      <c r="B30" s="151">
        <v>14577</v>
      </c>
      <c r="C30" s="151">
        <f>'- 4 -'!E30</f>
        <v>15044</v>
      </c>
      <c r="D30" s="238">
        <v>11.389799841682686</v>
      </c>
      <c r="E30" s="238">
        <f>'- 9 -'!C30</f>
        <v>10.158808933002481</v>
      </c>
      <c r="F30" s="151">
        <v>473896</v>
      </c>
      <c r="G30" s="151">
        <f>'- 55 -'!F30</f>
        <v>542101</v>
      </c>
      <c r="H30" s="238">
        <v>14.806834922234753</v>
      </c>
      <c r="I30" s="238">
        <f>'- 53 -'!G30</f>
        <v>13.687465975048767</v>
      </c>
    </row>
    <row r="31" spans="1:9" ht="14.1" customHeight="1" x14ac:dyDescent="0.2">
      <c r="A31" s="352" t="s">
        <v>129</v>
      </c>
      <c r="B31" s="352">
        <v>11471</v>
      </c>
      <c r="C31" s="352">
        <f>'- 4 -'!E31</f>
        <v>11574</v>
      </c>
      <c r="D31" s="353">
        <v>13.37103158575006</v>
      </c>
      <c r="E31" s="353">
        <f>'- 9 -'!C31</f>
        <v>12.87577620610487</v>
      </c>
      <c r="F31" s="352">
        <v>407771</v>
      </c>
      <c r="G31" s="352">
        <f>'- 55 -'!F31</f>
        <v>426810</v>
      </c>
      <c r="H31" s="353">
        <v>13.894999987753902</v>
      </c>
      <c r="I31" s="353">
        <f>'- 53 -'!G31</f>
        <v>13.740876348270882</v>
      </c>
    </row>
    <row r="32" spans="1:9" ht="14.1" customHeight="1" x14ac:dyDescent="0.2">
      <c r="A32" s="151" t="s">
        <v>130</v>
      </c>
      <c r="B32" s="151">
        <v>14214</v>
      </c>
      <c r="C32" s="151">
        <f>'- 4 -'!E32</f>
        <v>13370</v>
      </c>
      <c r="D32" s="238">
        <v>11.829789536330681</v>
      </c>
      <c r="E32" s="238">
        <f>'- 9 -'!C32</f>
        <v>11.740047455839704</v>
      </c>
      <c r="F32" s="151">
        <v>574746</v>
      </c>
      <c r="G32" s="151">
        <f>'- 55 -'!F32</f>
        <v>647758</v>
      </c>
      <c r="H32" s="238">
        <v>12.374335186899202</v>
      </c>
      <c r="I32" s="238">
        <f>'- 53 -'!G32</f>
        <v>11.148902100818832</v>
      </c>
    </row>
    <row r="33" spans="1:9" ht="14.1" customHeight="1" x14ac:dyDescent="0.2">
      <c r="A33" s="352" t="s">
        <v>131</v>
      </c>
      <c r="B33" s="352">
        <v>13518</v>
      </c>
      <c r="C33" s="352">
        <f>'- 4 -'!E33</f>
        <v>13669</v>
      </c>
      <c r="D33" s="353">
        <v>12.801613494682801</v>
      </c>
      <c r="E33" s="353">
        <f>'- 9 -'!C33</f>
        <v>12.382938847072339</v>
      </c>
      <c r="F33" s="352">
        <v>591795</v>
      </c>
      <c r="G33" s="352">
        <f>'- 55 -'!F33</f>
        <v>665633</v>
      </c>
      <c r="H33" s="353">
        <v>10.83516010129939</v>
      </c>
      <c r="I33" s="353">
        <f>'- 53 -'!G33</f>
        <v>9.6027104673578432</v>
      </c>
    </row>
    <row r="34" spans="1:9" ht="14.1" customHeight="1" x14ac:dyDescent="0.2">
      <c r="A34" s="151" t="s">
        <v>132</v>
      </c>
      <c r="B34" s="151">
        <v>14634</v>
      </c>
      <c r="C34" s="151">
        <f>'- 4 -'!E34</f>
        <v>14072</v>
      </c>
      <c r="D34" s="238">
        <v>12.204749156093587</v>
      </c>
      <c r="E34" s="238">
        <f>'- 9 -'!C34</f>
        <v>12.405366990732846</v>
      </c>
      <c r="F34" s="151">
        <v>617094</v>
      </c>
      <c r="G34" s="151">
        <f>'- 55 -'!F34</f>
        <v>669534</v>
      </c>
      <c r="H34" s="238">
        <v>14.065536861120943</v>
      </c>
      <c r="I34" s="238">
        <f>'- 53 -'!G34</f>
        <v>13.845233134698701</v>
      </c>
    </row>
    <row r="35" spans="1:9" ht="14.1" customHeight="1" x14ac:dyDescent="0.2">
      <c r="A35" s="352" t="s">
        <v>133</v>
      </c>
      <c r="B35" s="352">
        <v>11685</v>
      </c>
      <c r="C35" s="352">
        <f>'- 4 -'!E35</f>
        <v>11819</v>
      </c>
      <c r="D35" s="353">
        <v>13.707000864304234</v>
      </c>
      <c r="E35" s="353">
        <f>'- 9 -'!C35</f>
        <v>13.977951988584456</v>
      </c>
      <c r="F35" s="352">
        <v>419815</v>
      </c>
      <c r="G35" s="352">
        <f>'- 55 -'!F35</f>
        <v>428344</v>
      </c>
      <c r="H35" s="353">
        <v>13.359953121750669</v>
      </c>
      <c r="I35" s="353">
        <f>'- 53 -'!G35</f>
        <v>13.349366573748449</v>
      </c>
    </row>
    <row r="36" spans="1:9" ht="14.1" customHeight="1" x14ac:dyDescent="0.2">
      <c r="A36" s="151" t="s">
        <v>134</v>
      </c>
      <c r="B36" s="151">
        <v>13910</v>
      </c>
      <c r="C36" s="151">
        <f>'- 4 -'!E36</f>
        <v>14215</v>
      </c>
      <c r="D36" s="238">
        <v>12.188581314878896</v>
      </c>
      <c r="E36" s="238">
        <f>'- 9 -'!C36</f>
        <v>12.384745887733274</v>
      </c>
      <c r="F36" s="151">
        <v>589649</v>
      </c>
      <c r="G36" s="151">
        <f>'- 55 -'!F36</f>
        <v>645772</v>
      </c>
      <c r="H36" s="238">
        <v>11.969495353960687</v>
      </c>
      <c r="I36" s="238">
        <f>'- 53 -'!G36</f>
        <v>11.374173564208691</v>
      </c>
    </row>
    <row r="37" spans="1:9" ht="14.1" customHeight="1" x14ac:dyDescent="0.2">
      <c r="A37" s="352" t="s">
        <v>135</v>
      </c>
      <c r="B37" s="352">
        <v>12304</v>
      </c>
      <c r="C37" s="352">
        <f>'- 4 -'!E37</f>
        <v>12191</v>
      </c>
      <c r="D37" s="353">
        <v>13.638728135769556</v>
      </c>
      <c r="E37" s="353">
        <f>'- 9 -'!C37</f>
        <v>14.175518875633271</v>
      </c>
      <c r="F37" s="352">
        <v>317664</v>
      </c>
      <c r="G37" s="352">
        <f>'- 55 -'!F37</f>
        <v>337104</v>
      </c>
      <c r="H37" s="353">
        <v>14.453544902793038</v>
      </c>
      <c r="I37" s="353">
        <f>'- 53 -'!G37</f>
        <v>14.647972464335137</v>
      </c>
    </row>
    <row r="38" spans="1:9" ht="14.1" customHeight="1" x14ac:dyDescent="0.2">
      <c r="A38" s="151" t="s">
        <v>136</v>
      </c>
      <c r="B38" s="151">
        <v>12441</v>
      </c>
      <c r="C38" s="151">
        <f>'- 4 -'!E38</f>
        <v>12369</v>
      </c>
      <c r="D38" s="238">
        <v>13.611903590752584</v>
      </c>
      <c r="E38" s="238">
        <f>'- 9 -'!C38</f>
        <v>13.755961650768931</v>
      </c>
      <c r="F38" s="151">
        <v>319411</v>
      </c>
      <c r="G38" s="151">
        <f>'- 55 -'!F38</f>
        <v>327538</v>
      </c>
      <c r="H38" s="238">
        <v>16.163825222442334</v>
      </c>
      <c r="I38" s="238">
        <f>'- 53 -'!G38</f>
        <v>16.456050685732176</v>
      </c>
    </row>
    <row r="39" spans="1:9" ht="14.1" customHeight="1" x14ac:dyDescent="0.2">
      <c r="A39" s="352" t="s">
        <v>137</v>
      </c>
      <c r="B39" s="352">
        <v>14693</v>
      </c>
      <c r="C39" s="352">
        <f>'- 4 -'!E39</f>
        <v>14744</v>
      </c>
      <c r="D39" s="353">
        <v>11.633092418883594</v>
      </c>
      <c r="E39" s="353">
        <f>'- 9 -'!C39</f>
        <v>11.370857921016794</v>
      </c>
      <c r="F39" s="352">
        <v>789792</v>
      </c>
      <c r="G39" s="352">
        <f>'- 55 -'!F39</f>
        <v>816595</v>
      </c>
      <c r="H39" s="353">
        <v>10.552386038590681</v>
      </c>
      <c r="I39" s="353">
        <f>'- 53 -'!G39</f>
        <v>10.40118907652824</v>
      </c>
    </row>
    <row r="40" spans="1:9" ht="14.1" customHeight="1" x14ac:dyDescent="0.2">
      <c r="A40" s="151" t="s">
        <v>138</v>
      </c>
      <c r="B40" s="151">
        <v>12921</v>
      </c>
      <c r="C40" s="151">
        <f>'- 4 -'!E40</f>
        <v>12888</v>
      </c>
      <c r="D40" s="238">
        <v>13.292824547342942</v>
      </c>
      <c r="E40" s="238">
        <f>'- 9 -'!C40</f>
        <v>13.168606985146525</v>
      </c>
      <c r="F40" s="151">
        <v>573170</v>
      </c>
      <c r="G40" s="151">
        <f>'- 55 -'!F40</f>
        <v>611416</v>
      </c>
      <c r="H40" s="238">
        <v>13.098715885464619</v>
      </c>
      <c r="I40" s="238">
        <f>'- 53 -'!G40</f>
        <v>12.768238376888654</v>
      </c>
    </row>
    <row r="41" spans="1:9" ht="14.1" customHeight="1" x14ac:dyDescent="0.2">
      <c r="A41" s="352" t="s">
        <v>139</v>
      </c>
      <c r="B41" s="352">
        <v>14298</v>
      </c>
      <c r="C41" s="352">
        <f>'- 4 -'!E41</f>
        <v>14430</v>
      </c>
      <c r="D41" s="353">
        <v>12.315086708404896</v>
      </c>
      <c r="E41" s="353">
        <f>'- 9 -'!C41</f>
        <v>11.820691852284492</v>
      </c>
      <c r="F41" s="352">
        <v>544768</v>
      </c>
      <c r="G41" s="352">
        <f>'- 55 -'!F41</f>
        <v>555919</v>
      </c>
      <c r="H41" s="353">
        <v>13.718101059710044</v>
      </c>
      <c r="I41" s="353">
        <f>'- 53 -'!G41</f>
        <v>13.844166527257309</v>
      </c>
    </row>
    <row r="42" spans="1:9" ht="14.1" customHeight="1" x14ac:dyDescent="0.2">
      <c r="A42" s="151" t="s">
        <v>140</v>
      </c>
      <c r="B42" s="151">
        <v>14734</v>
      </c>
      <c r="C42" s="151">
        <f>'- 4 -'!E42</f>
        <v>15056</v>
      </c>
      <c r="D42" s="238">
        <v>12.465789706012183</v>
      </c>
      <c r="E42" s="238">
        <f>'- 9 -'!C42</f>
        <v>12.406892219330523</v>
      </c>
      <c r="F42" s="151">
        <v>400267</v>
      </c>
      <c r="G42" s="151">
        <f>'- 55 -'!F42</f>
        <v>421447</v>
      </c>
      <c r="H42" s="238">
        <v>14.03955062695027</v>
      </c>
      <c r="I42" s="238">
        <f>'- 53 -'!G42</f>
        <v>13.706920436023552</v>
      </c>
    </row>
    <row r="43" spans="1:9" ht="14.1" customHeight="1" x14ac:dyDescent="0.2">
      <c r="A43" s="352" t="s">
        <v>141</v>
      </c>
      <c r="B43" s="352">
        <v>13639</v>
      </c>
      <c r="C43" s="352">
        <f>'- 4 -'!E43</f>
        <v>13665</v>
      </c>
      <c r="D43" s="353">
        <v>12.639817381379423</v>
      </c>
      <c r="E43" s="353">
        <f>'- 9 -'!C43</f>
        <v>12.203827927872483</v>
      </c>
      <c r="F43" s="352">
        <v>612522</v>
      </c>
      <c r="G43" s="352">
        <f>'- 55 -'!F43</f>
        <v>645598</v>
      </c>
      <c r="H43" s="353">
        <v>12.025742958250314</v>
      </c>
      <c r="I43" s="353">
        <f>'- 53 -'!G43</f>
        <v>11.680394541064121</v>
      </c>
    </row>
    <row r="44" spans="1:9" ht="14.1" customHeight="1" x14ac:dyDescent="0.2">
      <c r="A44" s="151" t="s">
        <v>142</v>
      </c>
      <c r="B44" s="151">
        <v>15766</v>
      </c>
      <c r="C44" s="151">
        <f>'- 4 -'!E44</f>
        <v>15663</v>
      </c>
      <c r="D44" s="238">
        <v>10.611620795107035</v>
      </c>
      <c r="E44" s="238">
        <f>'- 9 -'!C44</f>
        <v>10.773899848254933</v>
      </c>
      <c r="F44" s="151">
        <v>269085</v>
      </c>
      <c r="G44" s="151">
        <f>'- 55 -'!F44</f>
        <v>312314</v>
      </c>
      <c r="H44" s="238">
        <v>16.431144694325873</v>
      </c>
      <c r="I44" s="238">
        <f>'- 53 -'!G44</f>
        <v>15.233409101015328</v>
      </c>
    </row>
    <row r="45" spans="1:9" ht="14.1" customHeight="1" x14ac:dyDescent="0.2">
      <c r="A45" s="352" t="s">
        <v>143</v>
      </c>
      <c r="B45" s="352">
        <v>11295</v>
      </c>
      <c r="C45" s="352">
        <f>'- 4 -'!E45</f>
        <v>11043</v>
      </c>
      <c r="D45" s="353">
        <v>13.405740884406519</v>
      </c>
      <c r="E45" s="353">
        <f>'- 9 -'!C45</f>
        <v>13.934677604845509</v>
      </c>
      <c r="F45" s="352">
        <v>327895</v>
      </c>
      <c r="G45" s="352">
        <f>'- 55 -'!F45</f>
        <v>354882</v>
      </c>
      <c r="H45" s="353">
        <v>16.605961149875736</v>
      </c>
      <c r="I45" s="353">
        <f>'- 53 -'!G45</f>
        <v>15.38011599528307</v>
      </c>
    </row>
    <row r="46" spans="1:9" ht="14.1" customHeight="1" x14ac:dyDescent="0.2">
      <c r="A46" s="151" t="s">
        <v>144</v>
      </c>
      <c r="B46" s="151">
        <v>12918</v>
      </c>
      <c r="C46" s="151">
        <f>'- 4 -'!E46</f>
        <v>13130</v>
      </c>
      <c r="D46" s="238">
        <v>13.570514333436213</v>
      </c>
      <c r="E46" s="238">
        <f>'- 9 -'!C46</f>
        <v>13.749261474834755</v>
      </c>
      <c r="F46" s="151">
        <v>408977</v>
      </c>
      <c r="G46" s="151">
        <f>'- 55 -'!F46</f>
        <v>438442</v>
      </c>
      <c r="H46" s="238">
        <v>15.031143382924444</v>
      </c>
      <c r="I46" s="238">
        <f>'- 53 -'!G46</f>
        <v>14.600930463851817</v>
      </c>
    </row>
    <row r="47" spans="1:9" ht="5.0999999999999996" customHeight="1" x14ac:dyDescent="0.2">
      <c r="A47"/>
      <c r="B47"/>
      <c r="C47"/>
      <c r="D47" s="378"/>
      <c r="E47" s="378"/>
      <c r="F47"/>
      <c r="G47"/>
      <c r="H47" s="378"/>
      <c r="I47" s="378"/>
    </row>
    <row r="48" spans="1:9" ht="14.1" customHeight="1" x14ac:dyDescent="0.2">
      <c r="A48" s="355" t="s">
        <v>145</v>
      </c>
      <c r="B48" s="356">
        <v>13081</v>
      </c>
      <c r="C48" s="356">
        <f>'- 4 -'!E48</f>
        <v>13192</v>
      </c>
      <c r="D48" s="379">
        <v>13.144760038233306</v>
      </c>
      <c r="E48" s="379">
        <f>'- 9 -'!C48</f>
        <v>13.158668533661633</v>
      </c>
      <c r="F48" s="356">
        <v>433460.34210356022</v>
      </c>
      <c r="G48" s="356">
        <f>'- 55 -'!F48</f>
        <v>455040.37634035602</v>
      </c>
      <c r="H48" s="379">
        <v>13.819810294287814</v>
      </c>
      <c r="I48" s="379">
        <f>'- 53 -'!G48</f>
        <v>13.562356267784009</v>
      </c>
    </row>
    <row r="49" spans="1:9" ht="5.0999999999999996" customHeight="1" x14ac:dyDescent="0.2">
      <c r="A49" s="130"/>
      <c r="B49" s="152"/>
      <c r="C49" s="152"/>
      <c r="D49" s="240"/>
      <c r="E49" s="240"/>
      <c r="F49" s="152"/>
      <c r="G49" s="152"/>
      <c r="H49" s="240"/>
      <c r="I49" s="240"/>
    </row>
    <row r="50" spans="1:9" ht="14.1" customHeight="1" x14ac:dyDescent="0.2">
      <c r="A50" s="151" t="s">
        <v>146</v>
      </c>
      <c r="B50" s="151">
        <v>18972</v>
      </c>
      <c r="C50" s="151">
        <f>'- 4 -'!E50</f>
        <v>18288</v>
      </c>
      <c r="D50" s="238">
        <v>7.9883097905504137</v>
      </c>
      <c r="E50" s="238">
        <f>'- 9 -'!C50</f>
        <v>9.3766233766233764</v>
      </c>
      <c r="F50" s="151"/>
      <c r="G50" s="151"/>
      <c r="H50" s="238">
        <v>0</v>
      </c>
      <c r="I50" s="238">
        <f>'- 53 -'!G50</f>
        <v>0</v>
      </c>
    </row>
    <row r="51" spans="1:9" ht="14.1" customHeight="1" x14ac:dyDescent="0.2">
      <c r="A51" s="352" t="s">
        <v>601</v>
      </c>
      <c r="B51" s="352">
        <v>16738</v>
      </c>
      <c r="C51" s="352">
        <f>'- 4 -'!E51</f>
        <v>16028</v>
      </c>
      <c r="D51" s="353">
        <v>24.727272727272727</v>
      </c>
      <c r="E51" s="353">
        <f>'- 9 -'!C51</f>
        <v>27.343215507411628</v>
      </c>
      <c r="F51" s="352"/>
      <c r="G51" s="352"/>
      <c r="H51" s="353">
        <v>0</v>
      </c>
      <c r="I51" s="353">
        <f>'- 53 -'!G51</f>
        <v>0</v>
      </c>
    </row>
    <row r="52" spans="1:9" ht="50.1" customHeight="1" x14ac:dyDescent="0.2">
      <c r="A52" s="23"/>
      <c r="B52" s="23"/>
      <c r="C52" s="23"/>
      <c r="D52" s="23"/>
      <c r="E52" s="23"/>
      <c r="F52" s="23"/>
      <c r="G52" s="23"/>
      <c r="H52" s="23"/>
      <c r="I52" s="23"/>
    </row>
    <row r="53" spans="1:9" ht="15" customHeight="1" x14ac:dyDescent="0.2">
      <c r="A53" s="38" t="s">
        <v>335</v>
      </c>
      <c r="B53" s="38"/>
      <c r="C53" s="38"/>
    </row>
    <row r="54" spans="1:9" ht="12" customHeight="1" x14ac:dyDescent="0.2">
      <c r="A54" s="38" t="s">
        <v>336</v>
      </c>
      <c r="B54" s="38"/>
      <c r="C54" s="38"/>
    </row>
    <row r="55" spans="1:9" ht="12" customHeight="1" x14ac:dyDescent="0.2">
      <c r="A55" s="133" t="s">
        <v>417</v>
      </c>
      <c r="B55" s="38"/>
      <c r="C55" s="38"/>
    </row>
    <row r="56" spans="1:9" ht="12" customHeight="1" x14ac:dyDescent="0.2">
      <c r="A56" s="133" t="s">
        <v>418</v>
      </c>
      <c r="B56" s="38"/>
      <c r="C56" s="38"/>
    </row>
    <row r="57" spans="1:9" ht="12" customHeight="1" x14ac:dyDescent="0.2">
      <c r="A57" s="38"/>
      <c r="B57" s="38"/>
      <c r="C57" s="38"/>
    </row>
    <row r="58" spans="1:9" ht="12" customHeight="1" x14ac:dyDescent="0.2">
      <c r="B58" s="38"/>
      <c r="C58" s="38"/>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7"/>
  <sheetViews>
    <sheetView showGridLines="0" showZeros="0" workbookViewId="0"/>
  </sheetViews>
  <sheetFormatPr defaultColWidth="16.83203125" defaultRowHeight="12" x14ac:dyDescent="0.2"/>
  <cols>
    <col min="1" max="1" width="32.83203125" style="2" customWidth="1"/>
    <col min="2" max="6" width="16.83203125" style="2" customWidth="1"/>
    <col min="7" max="16384" width="16.83203125" style="2"/>
  </cols>
  <sheetData>
    <row r="1" spans="1:7" ht="6.95" customHeight="1" x14ac:dyDescent="0.2">
      <c r="A1" s="7"/>
      <c r="B1" s="8"/>
      <c r="C1" s="8"/>
      <c r="D1" s="8"/>
      <c r="E1" s="8"/>
      <c r="F1" s="8"/>
      <c r="G1" s="8"/>
    </row>
    <row r="2" spans="1:7" ht="15.95" customHeight="1" x14ac:dyDescent="0.2">
      <c r="A2" s="63"/>
      <c r="B2" s="72" t="s">
        <v>86</v>
      </c>
      <c r="C2" s="10"/>
      <c r="D2" s="10"/>
      <c r="E2" s="10"/>
      <c r="F2" s="73"/>
      <c r="G2" s="73"/>
    </row>
    <row r="3" spans="1:7" ht="15.95" customHeight="1" x14ac:dyDescent="0.2">
      <c r="A3" s="542"/>
      <c r="B3" s="74" t="s">
        <v>227</v>
      </c>
      <c r="C3" s="12"/>
      <c r="D3" s="12"/>
      <c r="E3" s="12"/>
      <c r="F3" s="75"/>
      <c r="G3" s="75"/>
    </row>
    <row r="4" spans="1:7" ht="15.95" customHeight="1" x14ac:dyDescent="0.2">
      <c r="B4" s="8"/>
      <c r="C4" s="8"/>
      <c r="D4" s="8"/>
      <c r="E4" s="8"/>
      <c r="F4" s="8"/>
      <c r="G4" s="8"/>
    </row>
    <row r="5" spans="1:7" ht="15.95" customHeight="1" x14ac:dyDescent="0.2"/>
    <row r="6" spans="1:7" ht="15.95" customHeight="1" x14ac:dyDescent="0.2">
      <c r="B6" s="528" t="s">
        <v>238</v>
      </c>
      <c r="C6" s="529"/>
      <c r="D6" s="530"/>
      <c r="E6" s="531" t="s">
        <v>239</v>
      </c>
      <c r="F6" s="531" t="s">
        <v>240</v>
      </c>
      <c r="G6" s="532" t="s">
        <v>240</v>
      </c>
    </row>
    <row r="7" spans="1:7" ht="15.95" customHeight="1" x14ac:dyDescent="0.2">
      <c r="B7" s="630" t="s">
        <v>630</v>
      </c>
      <c r="C7" s="631"/>
      <c r="D7" s="632"/>
      <c r="E7" s="394" t="s">
        <v>630</v>
      </c>
      <c r="F7" s="452" t="s">
        <v>625</v>
      </c>
      <c r="G7" s="452" t="s">
        <v>623</v>
      </c>
    </row>
    <row r="8" spans="1:7" ht="15.95" customHeight="1" x14ac:dyDescent="0.2">
      <c r="A8" s="403"/>
      <c r="B8" s="600" t="s">
        <v>456</v>
      </c>
      <c r="C8" s="623" t="s">
        <v>457</v>
      </c>
      <c r="D8" s="623" t="s">
        <v>458</v>
      </c>
      <c r="E8" s="624" t="s">
        <v>453</v>
      </c>
      <c r="F8" s="624" t="s">
        <v>458</v>
      </c>
      <c r="G8" s="628" t="s">
        <v>458</v>
      </c>
    </row>
    <row r="9" spans="1:7" ht="15.95" customHeight="1" x14ac:dyDescent="0.2">
      <c r="A9" s="404" t="s">
        <v>42</v>
      </c>
      <c r="B9" s="633"/>
      <c r="C9" s="634"/>
      <c r="D9" s="634"/>
      <c r="E9" s="627"/>
      <c r="F9" s="627"/>
      <c r="G9" s="629"/>
    </row>
    <row r="10" spans="1:7" ht="5.0999999999999996" customHeight="1" x14ac:dyDescent="0.2">
      <c r="A10" s="6"/>
    </row>
    <row r="11" spans="1:7" ht="14.1" customHeight="1" x14ac:dyDescent="0.2">
      <c r="A11" s="284" t="s">
        <v>110</v>
      </c>
      <c r="B11" s="285">
        <v>1896</v>
      </c>
      <c r="C11" s="285">
        <v>0</v>
      </c>
      <c r="D11" s="285">
        <f>+B11-C11</f>
        <v>1896</v>
      </c>
      <c r="E11" s="291">
        <f>'- 7 -'!E11</f>
        <v>1813</v>
      </c>
      <c r="F11" s="291">
        <v>1783.2</v>
      </c>
      <c r="G11" s="291">
        <v>1756</v>
      </c>
    </row>
    <row r="12" spans="1:7" ht="14.1" customHeight="1" x14ac:dyDescent="0.2">
      <c r="A12" s="19" t="s">
        <v>111</v>
      </c>
      <c r="B12" s="20">
        <v>2210</v>
      </c>
      <c r="C12" s="20">
        <v>0</v>
      </c>
      <c r="D12" s="20">
        <f t="shared" ref="D12:D46" si="0">+B12-C12</f>
        <v>2210</v>
      </c>
      <c r="E12" s="70">
        <f>'- 7 -'!E12</f>
        <v>2126.67</v>
      </c>
      <c r="F12" s="70">
        <v>1973.3</v>
      </c>
      <c r="G12" s="70">
        <v>1984.8</v>
      </c>
    </row>
    <row r="13" spans="1:7" ht="14.1" customHeight="1" x14ac:dyDescent="0.2">
      <c r="A13" s="284" t="s">
        <v>112</v>
      </c>
      <c r="B13" s="285">
        <v>8922</v>
      </c>
      <c r="C13" s="285">
        <v>0</v>
      </c>
      <c r="D13" s="285">
        <f t="shared" si="0"/>
        <v>8922</v>
      </c>
      <c r="E13" s="291">
        <f>'- 7 -'!E13</f>
        <v>8565</v>
      </c>
      <c r="F13" s="291">
        <v>8405.7999999999993</v>
      </c>
      <c r="G13" s="291">
        <v>8322.2999999999993</v>
      </c>
    </row>
    <row r="14" spans="1:7" ht="14.1" customHeight="1" x14ac:dyDescent="0.2">
      <c r="A14" s="19" t="s">
        <v>359</v>
      </c>
      <c r="B14" s="20">
        <v>5708</v>
      </c>
      <c r="C14" s="20">
        <v>35</v>
      </c>
      <c r="D14" s="20">
        <f t="shared" si="0"/>
        <v>5673</v>
      </c>
      <c r="E14" s="70">
        <f>'- 7 -'!E14</f>
        <v>5409</v>
      </c>
      <c r="F14" s="70">
        <v>5319.8</v>
      </c>
      <c r="G14" s="70">
        <v>5199.5</v>
      </c>
    </row>
    <row r="15" spans="1:7" ht="14.1" customHeight="1" x14ac:dyDescent="0.2">
      <c r="A15" s="284" t="s">
        <v>113</v>
      </c>
      <c r="B15" s="285">
        <v>1483</v>
      </c>
      <c r="C15" s="285">
        <v>0</v>
      </c>
      <c r="D15" s="285">
        <f t="shared" si="0"/>
        <v>1483</v>
      </c>
      <c r="E15" s="291">
        <f>'- 7 -'!E15</f>
        <v>1412.4</v>
      </c>
      <c r="F15" s="291">
        <v>1362.8</v>
      </c>
      <c r="G15" s="291">
        <v>1381.1999999999998</v>
      </c>
    </row>
    <row r="16" spans="1:7" ht="14.1" customHeight="1" x14ac:dyDescent="0.2">
      <c r="A16" s="19" t="s">
        <v>114</v>
      </c>
      <c r="B16" s="20">
        <v>984</v>
      </c>
      <c r="C16" s="20">
        <v>0</v>
      </c>
      <c r="D16" s="20">
        <f t="shared" si="0"/>
        <v>984</v>
      </c>
      <c r="E16" s="70">
        <f>'- 7 -'!E16</f>
        <v>903.9</v>
      </c>
      <c r="F16" s="70">
        <v>893.9</v>
      </c>
      <c r="G16" s="70">
        <v>885.8</v>
      </c>
    </row>
    <row r="17" spans="1:7" ht="14.1" customHeight="1" x14ac:dyDescent="0.2">
      <c r="A17" s="284" t="s">
        <v>115</v>
      </c>
      <c r="B17" s="285">
        <v>1482</v>
      </c>
      <c r="C17" s="285">
        <v>3</v>
      </c>
      <c r="D17" s="285">
        <f t="shared" si="0"/>
        <v>1479</v>
      </c>
      <c r="E17" s="291">
        <f>'- 7 -'!E17</f>
        <v>1432.4714285714288</v>
      </c>
      <c r="F17" s="291">
        <v>1320.8</v>
      </c>
      <c r="G17" s="291">
        <v>1320.5</v>
      </c>
    </row>
    <row r="18" spans="1:7" ht="14.1" customHeight="1" x14ac:dyDescent="0.2">
      <c r="A18" s="19" t="s">
        <v>116</v>
      </c>
      <c r="B18" s="20">
        <v>6665</v>
      </c>
      <c r="C18" s="20">
        <v>406</v>
      </c>
      <c r="D18" s="20">
        <f t="shared" si="0"/>
        <v>6259</v>
      </c>
      <c r="E18" s="70">
        <f>'- 7 -'!E18</f>
        <v>5997</v>
      </c>
      <c r="F18" s="70">
        <v>2200.4</v>
      </c>
      <c r="G18" s="70">
        <v>2256.5</v>
      </c>
    </row>
    <row r="19" spans="1:7" ht="14.1" customHeight="1" x14ac:dyDescent="0.2">
      <c r="A19" s="284" t="s">
        <v>117</v>
      </c>
      <c r="B19" s="285">
        <v>4541</v>
      </c>
      <c r="C19" s="285">
        <v>0</v>
      </c>
      <c r="D19" s="285">
        <f t="shared" si="0"/>
        <v>4541</v>
      </c>
      <c r="E19" s="291">
        <f>'- 7 -'!E19</f>
        <v>4414.5</v>
      </c>
      <c r="F19" s="291">
        <v>4387.5</v>
      </c>
      <c r="G19" s="291">
        <v>4264.8999999999996</v>
      </c>
    </row>
    <row r="20" spans="1:7" ht="14.1" customHeight="1" x14ac:dyDescent="0.2">
      <c r="A20" s="19" t="s">
        <v>118</v>
      </c>
      <c r="B20" s="20">
        <v>8218</v>
      </c>
      <c r="C20" s="20">
        <v>0</v>
      </c>
      <c r="D20" s="20">
        <f t="shared" si="0"/>
        <v>8218</v>
      </c>
      <c r="E20" s="70">
        <f>'- 7 -'!E20</f>
        <v>7881.5</v>
      </c>
      <c r="F20" s="70">
        <v>7787.6</v>
      </c>
      <c r="G20" s="70">
        <v>7630.2</v>
      </c>
    </row>
    <row r="21" spans="1:7" ht="14.1" customHeight="1" x14ac:dyDescent="0.2">
      <c r="A21" s="284" t="s">
        <v>119</v>
      </c>
      <c r="B21" s="285">
        <v>2952</v>
      </c>
      <c r="C21" s="285">
        <v>0</v>
      </c>
      <c r="D21" s="285">
        <f t="shared" si="0"/>
        <v>2952</v>
      </c>
      <c r="E21" s="291">
        <f>'- 7 -'!E21</f>
        <v>2841.8</v>
      </c>
      <c r="F21" s="291">
        <v>2780.8</v>
      </c>
      <c r="G21" s="291">
        <v>2742.1</v>
      </c>
    </row>
    <row r="22" spans="1:7" ht="14.1" customHeight="1" x14ac:dyDescent="0.2">
      <c r="A22" s="19" t="s">
        <v>120</v>
      </c>
      <c r="B22" s="20">
        <v>1534</v>
      </c>
      <c r="C22" s="20">
        <v>0</v>
      </c>
      <c r="D22" s="20">
        <f t="shared" si="0"/>
        <v>1534</v>
      </c>
      <c r="E22" s="70">
        <f>'- 7 -'!E22</f>
        <v>1468.6</v>
      </c>
      <c r="F22" s="70">
        <v>1493.4</v>
      </c>
      <c r="G22" s="70">
        <v>1523.6</v>
      </c>
    </row>
    <row r="23" spans="1:7" ht="14.1" customHeight="1" x14ac:dyDescent="0.2">
      <c r="A23" s="284" t="s">
        <v>121</v>
      </c>
      <c r="B23" s="285">
        <v>1000</v>
      </c>
      <c r="C23" s="285">
        <v>0</v>
      </c>
      <c r="D23" s="285">
        <f t="shared" si="0"/>
        <v>1000</v>
      </c>
      <c r="E23" s="291">
        <f>'- 7 -'!E23</f>
        <v>961.5</v>
      </c>
      <c r="F23" s="291">
        <v>955</v>
      </c>
      <c r="G23" s="291">
        <v>990.8</v>
      </c>
    </row>
    <row r="24" spans="1:7" ht="14.1" customHeight="1" x14ac:dyDescent="0.2">
      <c r="A24" s="19" t="s">
        <v>122</v>
      </c>
      <c r="B24" s="20">
        <v>3972</v>
      </c>
      <c r="C24" s="20">
        <v>0</v>
      </c>
      <c r="D24" s="20">
        <f t="shared" si="0"/>
        <v>3972</v>
      </c>
      <c r="E24" s="70">
        <f>'- 7 -'!E24</f>
        <v>3829.6</v>
      </c>
      <c r="F24" s="70">
        <v>3815.3</v>
      </c>
      <c r="G24" s="70">
        <v>3863.8</v>
      </c>
    </row>
    <row r="25" spans="1:7" ht="14.1" customHeight="1" x14ac:dyDescent="0.2">
      <c r="A25" s="284" t="s">
        <v>123</v>
      </c>
      <c r="B25" s="285">
        <v>15480</v>
      </c>
      <c r="C25" s="285">
        <v>0</v>
      </c>
      <c r="D25" s="285">
        <f t="shared" si="0"/>
        <v>15480</v>
      </c>
      <c r="E25" s="291">
        <f>'- 7 -'!E25</f>
        <v>14881.7</v>
      </c>
      <c r="F25" s="291">
        <v>14338.7</v>
      </c>
      <c r="G25" s="291">
        <v>14048.5</v>
      </c>
    </row>
    <row r="26" spans="1:7" ht="14.1" customHeight="1" x14ac:dyDescent="0.2">
      <c r="A26" s="19" t="s">
        <v>124</v>
      </c>
      <c r="B26" s="20">
        <v>3104</v>
      </c>
      <c r="C26" s="20">
        <v>0</v>
      </c>
      <c r="D26" s="20">
        <f t="shared" si="0"/>
        <v>3104</v>
      </c>
      <c r="E26" s="70">
        <f>'- 7 -'!E26</f>
        <v>3001</v>
      </c>
      <c r="F26" s="70">
        <v>2846.2</v>
      </c>
      <c r="G26" s="70">
        <v>2903.2</v>
      </c>
    </row>
    <row r="27" spans="1:7" ht="14.1" customHeight="1" x14ac:dyDescent="0.2">
      <c r="A27" s="284" t="s">
        <v>125</v>
      </c>
      <c r="B27" s="285">
        <v>3094</v>
      </c>
      <c r="C27" s="285">
        <v>0</v>
      </c>
      <c r="D27" s="285">
        <f t="shared" si="0"/>
        <v>3094</v>
      </c>
      <c r="E27" s="291">
        <f>'- 7 -'!E27</f>
        <v>2971.36</v>
      </c>
      <c r="F27" s="291">
        <v>2983.9</v>
      </c>
      <c r="G27" s="291">
        <v>2925.8</v>
      </c>
    </row>
    <row r="28" spans="1:7" ht="14.1" customHeight="1" x14ac:dyDescent="0.2">
      <c r="A28" s="19" t="s">
        <v>126</v>
      </c>
      <c r="B28" s="20">
        <v>2076</v>
      </c>
      <c r="C28" s="20">
        <v>28</v>
      </c>
      <c r="D28" s="20">
        <f t="shared" si="0"/>
        <v>2048</v>
      </c>
      <c r="E28" s="70">
        <f>'- 7 -'!E28</f>
        <v>1970</v>
      </c>
      <c r="F28" s="70">
        <v>1463.6</v>
      </c>
      <c r="G28" s="70">
        <v>1490.5</v>
      </c>
    </row>
    <row r="29" spans="1:7" ht="14.1" customHeight="1" x14ac:dyDescent="0.2">
      <c r="A29" s="284" t="s">
        <v>127</v>
      </c>
      <c r="B29" s="285">
        <v>14425</v>
      </c>
      <c r="C29" s="285">
        <v>0</v>
      </c>
      <c r="D29" s="285">
        <f t="shared" si="0"/>
        <v>14425</v>
      </c>
      <c r="E29" s="291">
        <f>'- 7 -'!E29</f>
        <v>13872.5</v>
      </c>
      <c r="F29" s="291">
        <v>13192.699999999999</v>
      </c>
      <c r="G29" s="291">
        <v>12903.099999999999</v>
      </c>
    </row>
    <row r="30" spans="1:7" ht="14.1" customHeight="1" x14ac:dyDescent="0.2">
      <c r="A30" s="19" t="s">
        <v>128</v>
      </c>
      <c r="B30" s="20">
        <v>1067</v>
      </c>
      <c r="C30" s="20">
        <v>0</v>
      </c>
      <c r="D30" s="20">
        <f t="shared" si="0"/>
        <v>1067</v>
      </c>
      <c r="E30" s="70">
        <f>'- 7 -'!E30</f>
        <v>1023.5</v>
      </c>
      <c r="F30" s="70">
        <v>1007.2</v>
      </c>
      <c r="G30" s="70">
        <v>990</v>
      </c>
    </row>
    <row r="31" spans="1:7" ht="14.1" customHeight="1" x14ac:dyDescent="0.2">
      <c r="A31" s="284" t="s">
        <v>129</v>
      </c>
      <c r="B31" s="285">
        <v>3472</v>
      </c>
      <c r="C31" s="285">
        <v>0</v>
      </c>
      <c r="D31" s="285">
        <f t="shared" si="0"/>
        <v>3472</v>
      </c>
      <c r="E31" s="291">
        <f>'- 7 -'!E31</f>
        <v>3342.5</v>
      </c>
      <c r="F31" s="291">
        <v>3109.4</v>
      </c>
      <c r="G31" s="291">
        <v>3120.5</v>
      </c>
    </row>
    <row r="32" spans="1:7" ht="14.1" customHeight="1" x14ac:dyDescent="0.2">
      <c r="A32" s="19" t="s">
        <v>130</v>
      </c>
      <c r="B32" s="20">
        <v>2323</v>
      </c>
      <c r="C32" s="20">
        <v>0</v>
      </c>
      <c r="D32" s="20">
        <f t="shared" si="0"/>
        <v>2323</v>
      </c>
      <c r="E32" s="70">
        <f>'- 7 -'!E32</f>
        <v>2226.5</v>
      </c>
      <c r="F32" s="70">
        <v>2184.3000000000002</v>
      </c>
      <c r="G32" s="70">
        <v>2153.1999999999998</v>
      </c>
    </row>
    <row r="33" spans="1:8" ht="14.1" customHeight="1" x14ac:dyDescent="0.2">
      <c r="A33" s="284" t="s">
        <v>131</v>
      </c>
      <c r="B33" s="285">
        <v>2137</v>
      </c>
      <c r="C33" s="285">
        <v>0</v>
      </c>
      <c r="D33" s="285">
        <f t="shared" si="0"/>
        <v>2137</v>
      </c>
      <c r="E33" s="291">
        <f>'- 7 -'!E33</f>
        <v>2048.1999999999998</v>
      </c>
      <c r="F33" s="291">
        <v>2057.7999999999997</v>
      </c>
      <c r="G33" s="291">
        <v>1991.1</v>
      </c>
    </row>
    <row r="34" spans="1:8" ht="14.1" customHeight="1" x14ac:dyDescent="0.2">
      <c r="A34" s="19" t="s">
        <v>132</v>
      </c>
      <c r="B34" s="20">
        <v>2260</v>
      </c>
      <c r="C34" s="20">
        <v>0</v>
      </c>
      <c r="D34" s="20">
        <f t="shared" si="0"/>
        <v>2260</v>
      </c>
      <c r="E34" s="70">
        <f>'- 7 -'!E34</f>
        <v>2181.98</v>
      </c>
      <c r="F34" s="70">
        <v>2097.8000000000002</v>
      </c>
      <c r="G34" s="70">
        <v>2040.9</v>
      </c>
    </row>
    <row r="35" spans="1:8" ht="14.1" customHeight="1" x14ac:dyDescent="0.2">
      <c r="A35" s="284" t="s">
        <v>133</v>
      </c>
      <c r="B35" s="285">
        <v>16672</v>
      </c>
      <c r="C35" s="285">
        <v>0</v>
      </c>
      <c r="D35" s="285">
        <f t="shared" si="0"/>
        <v>16672</v>
      </c>
      <c r="E35" s="291">
        <f>'- 7 -'!E35</f>
        <v>16065</v>
      </c>
      <c r="F35" s="291">
        <v>15713.5</v>
      </c>
      <c r="G35" s="291">
        <v>15492</v>
      </c>
    </row>
    <row r="36" spans="1:8" ht="14.1" customHeight="1" x14ac:dyDescent="0.2">
      <c r="A36" s="19" t="s">
        <v>134</v>
      </c>
      <c r="B36" s="20">
        <v>1755</v>
      </c>
      <c r="C36" s="20">
        <v>0</v>
      </c>
      <c r="D36" s="20">
        <f t="shared" si="0"/>
        <v>1755</v>
      </c>
      <c r="E36" s="70">
        <f>'- 7 -'!E36</f>
        <v>1679</v>
      </c>
      <c r="F36" s="70">
        <v>1575.6</v>
      </c>
      <c r="G36" s="70">
        <v>1552.6</v>
      </c>
    </row>
    <row r="37" spans="1:8" ht="14.1" customHeight="1" x14ac:dyDescent="0.2">
      <c r="A37" s="284" t="s">
        <v>135</v>
      </c>
      <c r="B37" s="285">
        <v>4512</v>
      </c>
      <c r="C37" s="285">
        <v>0</v>
      </c>
      <c r="D37" s="285">
        <f t="shared" si="0"/>
        <v>4512</v>
      </c>
      <c r="E37" s="291">
        <f>'- 7 -'!E37</f>
        <v>4337</v>
      </c>
      <c r="F37" s="291">
        <v>4186.1000000000004</v>
      </c>
      <c r="G37" s="291">
        <v>4183.7</v>
      </c>
    </row>
    <row r="38" spans="1:8" ht="14.1" customHeight="1" x14ac:dyDescent="0.2">
      <c r="A38" s="19" t="s">
        <v>136</v>
      </c>
      <c r="B38" s="20">
        <v>11703</v>
      </c>
      <c r="C38" s="20">
        <v>0</v>
      </c>
      <c r="D38" s="20">
        <f t="shared" si="0"/>
        <v>11703</v>
      </c>
      <c r="E38" s="70">
        <f>'- 7 -'!E38</f>
        <v>11306.3</v>
      </c>
      <c r="F38" s="70">
        <v>10975.2</v>
      </c>
      <c r="G38" s="70">
        <v>10888.8</v>
      </c>
    </row>
    <row r="39" spans="1:8" ht="14.1" customHeight="1" x14ac:dyDescent="0.2">
      <c r="A39" s="284" t="s">
        <v>137</v>
      </c>
      <c r="B39" s="285">
        <v>1557</v>
      </c>
      <c r="C39" s="285">
        <v>0</v>
      </c>
      <c r="D39" s="285">
        <f t="shared" si="0"/>
        <v>1557</v>
      </c>
      <c r="E39" s="291">
        <f>'- 7 -'!E39</f>
        <v>1503</v>
      </c>
      <c r="F39" s="291">
        <v>1513</v>
      </c>
      <c r="G39" s="291">
        <v>1500.8000000000002</v>
      </c>
    </row>
    <row r="40" spans="1:8" ht="14.1" customHeight="1" x14ac:dyDescent="0.2">
      <c r="A40" s="19" t="s">
        <v>138</v>
      </c>
      <c r="B40" s="20">
        <v>8545</v>
      </c>
      <c r="C40" s="20">
        <v>0</v>
      </c>
      <c r="D40" s="20">
        <f t="shared" si="0"/>
        <v>8545</v>
      </c>
      <c r="E40" s="70">
        <f>'- 7 -'!E40</f>
        <v>8200.75</v>
      </c>
      <c r="F40" s="70">
        <v>7973.3</v>
      </c>
      <c r="G40" s="70">
        <v>7987.5</v>
      </c>
    </row>
    <row r="41" spans="1:8" ht="14.1" customHeight="1" x14ac:dyDescent="0.2">
      <c r="A41" s="284" t="s">
        <v>139</v>
      </c>
      <c r="B41" s="285">
        <v>4617</v>
      </c>
      <c r="C41" s="285">
        <v>0</v>
      </c>
      <c r="D41" s="285">
        <f t="shared" si="0"/>
        <v>4617</v>
      </c>
      <c r="E41" s="291">
        <f>'- 7 -'!E41</f>
        <v>4452.5</v>
      </c>
      <c r="F41" s="291">
        <v>4402</v>
      </c>
      <c r="G41" s="291">
        <v>4391</v>
      </c>
    </row>
    <row r="42" spans="1:8" ht="14.1" customHeight="1" x14ac:dyDescent="0.2">
      <c r="A42" s="19" t="s">
        <v>140</v>
      </c>
      <c r="B42" s="20">
        <v>1441</v>
      </c>
      <c r="C42" s="20">
        <v>0</v>
      </c>
      <c r="D42" s="20">
        <f t="shared" si="0"/>
        <v>1441</v>
      </c>
      <c r="E42" s="70">
        <f>'- 7 -'!E42</f>
        <v>1382.5</v>
      </c>
      <c r="F42" s="70">
        <v>1369.5</v>
      </c>
      <c r="G42" s="70">
        <v>1343.6</v>
      </c>
    </row>
    <row r="43" spans="1:8" ht="14.1" customHeight="1" x14ac:dyDescent="0.2">
      <c r="A43" s="284" t="s">
        <v>141</v>
      </c>
      <c r="B43" s="285">
        <v>1031</v>
      </c>
      <c r="C43" s="285">
        <v>0</v>
      </c>
      <c r="D43" s="285">
        <f t="shared" si="0"/>
        <v>1031</v>
      </c>
      <c r="E43" s="291">
        <f>'- 7 -'!E43</f>
        <v>991.5</v>
      </c>
      <c r="F43" s="291">
        <v>969</v>
      </c>
      <c r="G43" s="291">
        <v>962.69999999999993</v>
      </c>
    </row>
    <row r="44" spans="1:8" ht="14.1" customHeight="1" x14ac:dyDescent="0.2">
      <c r="A44" s="19" t="s">
        <v>142</v>
      </c>
      <c r="B44" s="20">
        <v>740</v>
      </c>
      <c r="C44" s="20">
        <v>0</v>
      </c>
      <c r="D44" s="20">
        <f t="shared" si="0"/>
        <v>740</v>
      </c>
      <c r="E44" s="70">
        <f>'- 7 -'!E44</f>
        <v>710</v>
      </c>
      <c r="F44" s="70">
        <v>693.8</v>
      </c>
      <c r="G44" s="70">
        <v>693.3</v>
      </c>
    </row>
    <row r="45" spans="1:8" ht="14.1" customHeight="1" x14ac:dyDescent="0.2">
      <c r="A45" s="284" t="s">
        <v>143</v>
      </c>
      <c r="B45" s="285">
        <v>1878</v>
      </c>
      <c r="C45" s="285">
        <v>0</v>
      </c>
      <c r="D45" s="285">
        <f t="shared" si="0"/>
        <v>1878</v>
      </c>
      <c r="E45" s="291">
        <f>'- 7 -'!E45</f>
        <v>1817.5</v>
      </c>
      <c r="F45" s="291">
        <v>1700.3999999999999</v>
      </c>
      <c r="G45" s="291">
        <v>1662.4</v>
      </c>
    </row>
    <row r="46" spans="1:8" ht="14.1" customHeight="1" x14ac:dyDescent="0.2">
      <c r="A46" s="19" t="s">
        <v>144</v>
      </c>
      <c r="B46" s="20">
        <v>33095</v>
      </c>
      <c r="C46" s="20">
        <v>1734</v>
      </c>
      <c r="D46" s="20">
        <f t="shared" si="0"/>
        <v>31361</v>
      </c>
      <c r="E46" s="70">
        <f>'- 7 -'!E46</f>
        <v>29787.5</v>
      </c>
      <c r="F46" s="70">
        <v>29669.699999999997</v>
      </c>
      <c r="G46" s="70">
        <v>29638.3</v>
      </c>
    </row>
    <row r="47" spans="1:8" ht="5.0999999999999996" customHeight="1" x14ac:dyDescent="0.2">
      <c r="A47"/>
      <c r="B47"/>
      <c r="C47"/>
      <c r="D47"/>
      <c r="E47"/>
      <c r="F47"/>
      <c r="G47"/>
      <c r="H47"/>
    </row>
    <row r="48" spans="1:8" ht="14.1" customHeight="1" x14ac:dyDescent="0.2">
      <c r="A48" s="286" t="s">
        <v>145</v>
      </c>
      <c r="B48" s="287">
        <f t="shared" ref="B48:F48" si="1">SUM(B11:B46)</f>
        <v>188551</v>
      </c>
      <c r="C48" s="287">
        <f t="shared" si="1"/>
        <v>2206</v>
      </c>
      <c r="D48" s="287">
        <f t="shared" si="1"/>
        <v>186345</v>
      </c>
      <c r="E48" s="294">
        <f t="shared" si="1"/>
        <v>178808.73142857142</v>
      </c>
      <c r="F48" s="294">
        <f t="shared" si="1"/>
        <v>170502.3</v>
      </c>
      <c r="G48" s="294">
        <v>168985.5</v>
      </c>
      <c r="H48" s="501"/>
    </row>
    <row r="49" spans="1:7" ht="5.0999999999999996" customHeight="1" x14ac:dyDescent="0.2">
      <c r="A49" s="21" t="s">
        <v>7</v>
      </c>
      <c r="B49" s="22"/>
      <c r="C49" s="22"/>
      <c r="D49" s="22"/>
      <c r="E49" s="71"/>
      <c r="F49" s="71"/>
      <c r="G49" s="71"/>
    </row>
    <row r="50" spans="1:7" ht="14.1" customHeight="1" x14ac:dyDescent="0.2">
      <c r="A50" s="284" t="s">
        <v>146</v>
      </c>
      <c r="B50" s="285">
        <v>204</v>
      </c>
      <c r="C50" s="285">
        <v>17</v>
      </c>
      <c r="D50" s="285">
        <f>+B50-C50</f>
        <v>187</v>
      </c>
      <c r="E50" s="291">
        <f>'- 7 -'!E50</f>
        <v>180.5</v>
      </c>
      <c r="F50" s="291">
        <v>154</v>
      </c>
      <c r="G50" s="291">
        <v>155</v>
      </c>
    </row>
    <row r="51" spans="1:7" ht="14.1" customHeight="1" x14ac:dyDescent="0.2">
      <c r="A51" s="19" t="s">
        <v>601</v>
      </c>
      <c r="B51" s="20"/>
      <c r="C51" s="20"/>
      <c r="D51" s="20">
        <f>+B51-C51</f>
        <v>0</v>
      </c>
      <c r="E51" s="70">
        <f>'- 7 -'!E51</f>
        <v>1199</v>
      </c>
      <c r="F51" s="70"/>
      <c r="G51" s="70"/>
    </row>
    <row r="52" spans="1:7" ht="50.1" customHeight="1" x14ac:dyDescent="0.2">
      <c r="A52" s="23"/>
      <c r="B52" s="23"/>
      <c r="C52" s="23"/>
      <c r="D52" s="23"/>
      <c r="E52" s="23"/>
      <c r="F52" s="79"/>
      <c r="G52" s="79"/>
    </row>
    <row r="53" spans="1:7" ht="15" customHeight="1" x14ac:dyDescent="0.2">
      <c r="A53" s="2" t="s">
        <v>241</v>
      </c>
      <c r="C53" s="80"/>
      <c r="D53" s="80"/>
      <c r="E53" s="80"/>
      <c r="F53" s="80"/>
    </row>
    <row r="54" spans="1:7" ht="12" customHeight="1" x14ac:dyDescent="0.2">
      <c r="A54" s="626" t="s">
        <v>631</v>
      </c>
      <c r="B54" s="626"/>
      <c r="C54" s="626"/>
      <c r="D54" s="626"/>
      <c r="E54" s="626"/>
      <c r="F54" s="626"/>
      <c r="G54" s="626"/>
    </row>
    <row r="55" spans="1:7" ht="12" customHeight="1" x14ac:dyDescent="0.2">
      <c r="A55" s="626"/>
      <c r="B55" s="626"/>
      <c r="C55" s="626"/>
      <c r="D55" s="626"/>
      <c r="E55" s="626"/>
      <c r="F55" s="626"/>
      <c r="G55" s="626"/>
    </row>
    <row r="56" spans="1:7" ht="12" customHeight="1" x14ac:dyDescent="0.2">
      <c r="A56" s="599" t="s">
        <v>647</v>
      </c>
      <c r="B56" s="599"/>
      <c r="C56" s="599"/>
      <c r="D56" s="599"/>
      <c r="E56" s="599"/>
      <c r="F56" s="599"/>
      <c r="G56" s="599"/>
    </row>
    <row r="57" spans="1:7" x14ac:dyDescent="0.2">
      <c r="A57" s="599"/>
      <c r="B57" s="599"/>
      <c r="C57" s="599"/>
      <c r="D57" s="599"/>
      <c r="E57" s="599"/>
      <c r="F57" s="599"/>
      <c r="G57" s="599"/>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Sheet49"/>
  <dimension ref="A1:AD91"/>
  <sheetViews>
    <sheetView showGridLines="0" defaultGridColor="0" colorId="22" workbookViewId="0">
      <pane xSplit="1" ySplit="10" topLeftCell="U11" activePane="bottomRight" state="frozen"/>
      <selection activeCell="D22" sqref="D22"/>
      <selection pane="topRight" activeCell="D22" sqref="D22"/>
      <selection pane="bottomLeft" activeCell="D22" sqref="D22"/>
      <selection pane="bottomRight" activeCell="B1" sqref="B1:AE1048576"/>
    </sheetView>
  </sheetViews>
  <sheetFormatPr defaultColWidth="15.83203125" defaultRowHeight="12" x14ac:dyDescent="0.2"/>
  <cols>
    <col min="1" max="1" width="5.83203125" style="2" customWidth="1"/>
    <col min="2" max="2" width="30.83203125" style="2" hidden="1" customWidth="1"/>
    <col min="3" max="15" width="15.83203125" style="2" hidden="1" customWidth="1"/>
    <col min="16" max="16" width="9.1640625" style="2" hidden="1" customWidth="1"/>
    <col min="17" max="18" width="15.83203125" style="2" hidden="1" customWidth="1"/>
    <col min="19" max="19" width="17.1640625" style="2" hidden="1" customWidth="1"/>
    <col min="20" max="21" width="15.83203125" style="2" hidden="1" customWidth="1"/>
    <col min="22" max="22" width="3.5" style="2" hidden="1" customWidth="1"/>
    <col min="23" max="23" width="0" style="2" hidden="1" customWidth="1"/>
    <col min="24" max="24" width="1.83203125" style="2" hidden="1" customWidth="1"/>
    <col min="25" max="25" width="21.33203125" style="2" hidden="1" customWidth="1"/>
    <col min="26" max="26" width="14.1640625" style="2" hidden="1" customWidth="1"/>
    <col min="27" max="27" width="2.1640625" style="2" hidden="1" customWidth="1"/>
    <col min="28" max="28" width="23.6640625" style="2" hidden="1" customWidth="1"/>
    <col min="29" max="31" width="0" style="2" hidden="1" customWidth="1"/>
    <col min="32" max="16384" width="15.83203125" style="2"/>
  </cols>
  <sheetData>
    <row r="1" spans="1:29" ht="6" customHeight="1" x14ac:dyDescent="0.2">
      <c r="A1" s="7"/>
      <c r="B1" s="205"/>
      <c r="C1" s="205"/>
      <c r="D1" s="205"/>
      <c r="E1" s="205"/>
      <c r="F1" s="205"/>
      <c r="G1" s="205"/>
      <c r="H1" s="205"/>
      <c r="I1" s="205"/>
      <c r="J1" s="205"/>
      <c r="K1" s="205"/>
      <c r="L1" s="205"/>
      <c r="M1" s="205"/>
      <c r="N1" s="205"/>
      <c r="O1" s="205"/>
      <c r="P1" s="205"/>
      <c r="Q1" s="205"/>
      <c r="R1" s="205"/>
      <c r="S1" s="205"/>
      <c r="T1" s="205"/>
      <c r="U1" s="205"/>
    </row>
    <row r="2" spans="1:29" x14ac:dyDescent="0.2">
      <c r="A2" s="205"/>
      <c r="B2" s="184"/>
      <c r="C2" s="184"/>
      <c r="D2" s="184"/>
      <c r="E2" s="184"/>
      <c r="F2" s="184"/>
      <c r="G2" s="184"/>
      <c r="H2" s="184"/>
      <c r="I2" s="184"/>
      <c r="J2" s="184"/>
      <c r="K2" s="184"/>
      <c r="L2" s="184"/>
      <c r="M2" s="184"/>
      <c r="N2" s="184"/>
      <c r="O2" s="184"/>
      <c r="P2" s="184"/>
      <c r="Q2" s="184"/>
      <c r="R2" s="184"/>
      <c r="S2" s="184"/>
      <c r="T2" s="184"/>
      <c r="U2" s="184"/>
    </row>
    <row r="3" spans="1:29" x14ac:dyDescent="0.2">
      <c r="A3" s="270" t="s">
        <v>49</v>
      </c>
      <c r="B3" s="2" t="s">
        <v>84</v>
      </c>
      <c r="C3" s="205"/>
      <c r="D3" s="205"/>
      <c r="E3" s="205"/>
      <c r="F3" s="205"/>
      <c r="G3" s="205"/>
      <c r="H3" s="205"/>
      <c r="I3" s="205"/>
      <c r="J3" s="205"/>
      <c r="K3" s="205"/>
      <c r="L3" s="205"/>
      <c r="M3" s="205"/>
      <c r="N3" s="205"/>
      <c r="O3" s="205"/>
      <c r="P3" s="205"/>
      <c r="Q3" s="205"/>
      <c r="R3" s="205"/>
      <c r="S3" s="205"/>
      <c r="T3" s="205"/>
      <c r="U3" s="205"/>
    </row>
    <row r="4" spans="1:29" x14ac:dyDescent="0.2">
      <c r="A4" s="2" t="s">
        <v>333</v>
      </c>
      <c r="B4" s="276" t="s">
        <v>624</v>
      </c>
      <c r="C4" s="184"/>
      <c r="D4" s="184"/>
      <c r="E4" s="184"/>
      <c r="F4" s="184"/>
      <c r="G4" s="184"/>
      <c r="H4" s="184"/>
      <c r="I4" s="184"/>
      <c r="J4" s="184"/>
      <c r="K4" s="184"/>
      <c r="L4" s="184"/>
      <c r="M4" s="184"/>
      <c r="N4" s="184"/>
      <c r="O4" s="184"/>
      <c r="P4" s="184"/>
      <c r="Q4" s="184"/>
      <c r="R4" s="184"/>
      <c r="S4" s="184"/>
      <c r="T4" s="184"/>
      <c r="U4" s="184"/>
      <c r="W4" s="133" t="s">
        <v>644</v>
      </c>
    </row>
    <row r="5" spans="1:29" x14ac:dyDescent="0.2">
      <c r="A5" s="2" t="s">
        <v>332</v>
      </c>
      <c r="B5" s="276" t="s">
        <v>628</v>
      </c>
      <c r="C5" s="271" t="s">
        <v>33</v>
      </c>
      <c r="D5" s="272"/>
      <c r="E5" s="272"/>
      <c r="F5" s="272"/>
      <c r="G5" s="272"/>
      <c r="H5" s="272"/>
      <c r="I5" s="272"/>
      <c r="J5" s="272"/>
      <c r="K5" s="272"/>
      <c r="L5" s="272"/>
      <c r="M5" s="273"/>
      <c r="N5" s="184"/>
      <c r="O5" s="184"/>
      <c r="P5" s="184"/>
      <c r="Q5" s="184"/>
      <c r="R5" s="184"/>
      <c r="S5" s="184"/>
      <c r="T5" s="184"/>
      <c r="U5" s="184"/>
      <c r="W5" s="2" t="s">
        <v>374</v>
      </c>
    </row>
    <row r="6" spans="1:29" x14ac:dyDescent="0.2">
      <c r="A6" s="2" t="s">
        <v>4</v>
      </c>
      <c r="B6" s="489">
        <v>2018</v>
      </c>
      <c r="N6" s="881" t="s">
        <v>613</v>
      </c>
      <c r="O6" s="579"/>
      <c r="W6" s="133" t="s">
        <v>643</v>
      </c>
      <c r="AB6" s="2" t="s">
        <v>383</v>
      </c>
    </row>
    <row r="7" spans="1:29" x14ac:dyDescent="0.2">
      <c r="A7" s="2" t="s">
        <v>5</v>
      </c>
      <c r="B7" s="274" t="str">
        <f>TEXT((B6+1),"0")</f>
        <v>2019</v>
      </c>
      <c r="M7" s="4" t="s">
        <v>235</v>
      </c>
      <c r="N7" s="881"/>
      <c r="O7" s="579"/>
      <c r="P7" s="4"/>
      <c r="Q7" s="4" t="s">
        <v>429</v>
      </c>
      <c r="R7" s="4" t="s">
        <v>31</v>
      </c>
      <c r="S7" s="4" t="s">
        <v>434</v>
      </c>
      <c r="T7" s="4"/>
      <c r="U7" s="4"/>
      <c r="W7" s="2" t="s">
        <v>371</v>
      </c>
      <c r="Y7" s="546" t="s">
        <v>609</v>
      </c>
      <c r="AB7" s="4" t="s">
        <v>31</v>
      </c>
    </row>
    <row r="8" spans="1:29" x14ac:dyDescent="0.2">
      <c r="C8" s="275" t="s">
        <v>40</v>
      </c>
      <c r="D8" s="8"/>
      <c r="E8" s="8"/>
      <c r="F8" s="8"/>
      <c r="G8" s="8"/>
      <c r="H8" s="8"/>
      <c r="I8" s="8"/>
      <c r="J8" s="8">
        <v>700</v>
      </c>
      <c r="K8" s="4" t="s">
        <v>31</v>
      </c>
      <c r="L8" s="4" t="s">
        <v>232</v>
      </c>
      <c r="M8" s="4" t="s">
        <v>233</v>
      </c>
      <c r="N8" s="881"/>
      <c r="O8" s="579" t="s">
        <v>614</v>
      </c>
      <c r="P8" s="4" t="s">
        <v>619</v>
      </c>
      <c r="Q8" s="4" t="s">
        <v>430</v>
      </c>
      <c r="R8" s="4" t="s">
        <v>59</v>
      </c>
      <c r="S8" s="4" t="s">
        <v>435</v>
      </c>
      <c r="T8" s="4" t="s">
        <v>434</v>
      </c>
      <c r="U8" s="4"/>
      <c r="W8" s="2" t="s">
        <v>372</v>
      </c>
      <c r="Y8" s="526" t="s">
        <v>329</v>
      </c>
      <c r="Z8" s="2" t="s">
        <v>330</v>
      </c>
      <c r="AB8" s="4" t="s">
        <v>41</v>
      </c>
      <c r="AC8" s="545" t="s">
        <v>41</v>
      </c>
    </row>
    <row r="9" spans="1:29" x14ac:dyDescent="0.2">
      <c r="A9" s="276" t="s">
        <v>149</v>
      </c>
      <c r="B9" s="2" t="s">
        <v>150</v>
      </c>
      <c r="C9" s="2">
        <v>100</v>
      </c>
      <c r="D9" s="2">
        <v>200</v>
      </c>
      <c r="E9" s="2">
        <v>300</v>
      </c>
      <c r="F9" s="2">
        <v>400</v>
      </c>
      <c r="G9" s="2">
        <v>500</v>
      </c>
      <c r="H9" s="2">
        <v>600</v>
      </c>
      <c r="I9" s="2">
        <v>700</v>
      </c>
      <c r="J9" s="4" t="s">
        <v>46</v>
      </c>
      <c r="K9" s="4" t="s">
        <v>47</v>
      </c>
      <c r="L9" s="4" t="s">
        <v>88</v>
      </c>
      <c r="M9" s="4" t="s">
        <v>103</v>
      </c>
      <c r="N9" s="881"/>
      <c r="O9" s="579" t="s">
        <v>615</v>
      </c>
      <c r="P9" s="4" t="s">
        <v>620</v>
      </c>
      <c r="Q9" s="4" t="s">
        <v>431</v>
      </c>
      <c r="R9" s="4" t="s">
        <v>65</v>
      </c>
      <c r="S9" s="4" t="s">
        <v>436</v>
      </c>
      <c r="T9" s="4" t="s">
        <v>437</v>
      </c>
      <c r="U9" s="4" t="s">
        <v>438</v>
      </c>
      <c r="W9" s="2" t="s">
        <v>373</v>
      </c>
      <c r="Y9" s="526" t="s">
        <v>63</v>
      </c>
      <c r="Z9" s="2" t="s">
        <v>63</v>
      </c>
      <c r="AB9" s="415" t="s">
        <v>645</v>
      </c>
      <c r="AC9" s="4" t="s">
        <v>397</v>
      </c>
    </row>
    <row r="10" spans="1:29" x14ac:dyDescent="0.2">
      <c r="C10" s="549" t="s">
        <v>420</v>
      </c>
      <c r="D10" s="549" t="s">
        <v>422</v>
      </c>
      <c r="E10" s="549" t="s">
        <v>423</v>
      </c>
      <c r="F10" s="549" t="s">
        <v>424</v>
      </c>
      <c r="G10" s="549" t="s">
        <v>425</v>
      </c>
      <c r="H10" s="549" t="s">
        <v>426</v>
      </c>
      <c r="I10" s="549" t="s">
        <v>421</v>
      </c>
      <c r="J10" s="549" t="s">
        <v>419</v>
      </c>
      <c r="L10" s="549" t="s">
        <v>427</v>
      </c>
      <c r="M10" s="549" t="s">
        <v>428</v>
      </c>
      <c r="N10" s="549" t="s">
        <v>616</v>
      </c>
      <c r="O10" s="549" t="s">
        <v>615</v>
      </c>
      <c r="P10" s="549"/>
      <c r="Q10" s="549" t="s">
        <v>432</v>
      </c>
      <c r="R10" s="549" t="s">
        <v>433</v>
      </c>
      <c r="S10" s="549" t="s">
        <v>439</v>
      </c>
      <c r="T10" s="549" t="s">
        <v>440</v>
      </c>
      <c r="U10" s="549" t="s">
        <v>441</v>
      </c>
    </row>
    <row r="11" spans="1:29" ht="10.9" customHeight="1" x14ac:dyDescent="0.2">
      <c r="A11" s="274" t="s">
        <v>151</v>
      </c>
      <c r="B11" s="2" t="s">
        <v>110</v>
      </c>
      <c r="C11" s="57">
        <v>67112</v>
      </c>
      <c r="D11" s="57">
        <v>0</v>
      </c>
      <c r="E11" s="57">
        <v>0</v>
      </c>
      <c r="F11" s="57">
        <v>0</v>
      </c>
      <c r="G11" s="57">
        <v>0</v>
      </c>
      <c r="H11" s="57">
        <v>7265</v>
      </c>
      <c r="I11" s="57">
        <v>0</v>
      </c>
      <c r="J11" s="57">
        <v>0</v>
      </c>
      <c r="K11" s="57">
        <f t="shared" ref="K11:K42" si="0">SUM(C11:I11)-J11</f>
        <v>74377</v>
      </c>
      <c r="L11" s="57">
        <v>26330</v>
      </c>
      <c r="M11" s="57">
        <v>0</v>
      </c>
      <c r="N11" s="57">
        <v>0</v>
      </c>
      <c r="O11" s="57">
        <v>0</v>
      </c>
      <c r="P11" s="584">
        <v>3.4799999999999995</v>
      </c>
      <c r="Q11" s="57">
        <v>0</v>
      </c>
      <c r="R11" s="57">
        <v>2083091</v>
      </c>
      <c r="S11" s="57">
        <v>189019</v>
      </c>
      <c r="T11" s="57">
        <v>298300</v>
      </c>
      <c r="U11" s="57">
        <v>190170</v>
      </c>
      <c r="W11" s="2">
        <v>443871</v>
      </c>
      <c r="Y11" s="2">
        <v>9377941</v>
      </c>
      <c r="Z11" s="2">
        <v>8957665</v>
      </c>
      <c r="AB11" s="2">
        <v>277365</v>
      </c>
    </row>
    <row r="12" spans="1:29" ht="10.9" customHeight="1" x14ac:dyDescent="0.2">
      <c r="A12" s="274" t="s">
        <v>152</v>
      </c>
      <c r="B12" s="2" t="s">
        <v>111</v>
      </c>
      <c r="C12" s="57">
        <v>532911</v>
      </c>
      <c r="D12" s="57">
        <v>0</v>
      </c>
      <c r="E12" s="57">
        <v>-1133</v>
      </c>
      <c r="F12" s="57">
        <v>0</v>
      </c>
      <c r="G12" s="57">
        <v>0</v>
      </c>
      <c r="H12" s="57">
        <v>0</v>
      </c>
      <c r="I12" s="57">
        <v>0</v>
      </c>
      <c r="J12" s="57">
        <v>0</v>
      </c>
      <c r="K12" s="57">
        <f t="shared" si="0"/>
        <v>531778</v>
      </c>
      <c r="L12" s="57">
        <v>34290</v>
      </c>
      <c r="M12" s="57">
        <v>0</v>
      </c>
      <c r="N12" s="57">
        <v>0</v>
      </c>
      <c r="O12" s="57">
        <v>12941</v>
      </c>
      <c r="P12" s="584">
        <v>3.4299999999999997</v>
      </c>
      <c r="Q12" s="57">
        <v>0</v>
      </c>
      <c r="R12" s="57">
        <v>3332481</v>
      </c>
      <c r="S12" s="57">
        <v>211144</v>
      </c>
      <c r="T12" s="57">
        <v>535800</v>
      </c>
      <c r="U12" s="57">
        <v>369775</v>
      </c>
      <c r="W12" s="2">
        <v>488493</v>
      </c>
      <c r="Y12" s="2">
        <v>17103712</v>
      </c>
      <c r="Z12" s="2">
        <v>14421496</v>
      </c>
      <c r="AB12" s="2">
        <v>390349</v>
      </c>
    </row>
    <row r="13" spans="1:29" ht="10.9" customHeight="1" x14ac:dyDescent="0.2">
      <c r="A13" s="274" t="s">
        <v>153</v>
      </c>
      <c r="B13" s="2" t="s">
        <v>112</v>
      </c>
      <c r="C13" s="57">
        <v>87750</v>
      </c>
      <c r="D13" s="57">
        <v>0</v>
      </c>
      <c r="E13" s="57">
        <v>0</v>
      </c>
      <c r="F13" s="57">
        <v>0</v>
      </c>
      <c r="G13" s="57">
        <v>0</v>
      </c>
      <c r="H13" s="57">
        <v>0</v>
      </c>
      <c r="I13" s="57">
        <v>0</v>
      </c>
      <c r="J13" s="57">
        <v>0</v>
      </c>
      <c r="K13" s="57">
        <f t="shared" si="0"/>
        <v>87750</v>
      </c>
      <c r="L13" s="57">
        <v>72246</v>
      </c>
      <c r="M13" s="57">
        <v>0</v>
      </c>
      <c r="N13" s="57">
        <v>0</v>
      </c>
      <c r="O13" s="57">
        <v>38560</v>
      </c>
      <c r="P13" s="584">
        <v>3</v>
      </c>
      <c r="Q13" s="57">
        <v>0</v>
      </c>
      <c r="R13" s="57">
        <v>7443577</v>
      </c>
      <c r="S13" s="57">
        <v>630433</v>
      </c>
      <c r="T13" s="57">
        <v>1263500</v>
      </c>
      <c r="U13" s="57">
        <v>1255117</v>
      </c>
      <c r="W13" s="2">
        <v>373897</v>
      </c>
      <c r="Y13" s="2">
        <v>49236715</v>
      </c>
      <c r="Z13" s="2">
        <v>47696704</v>
      </c>
      <c r="AB13" s="2">
        <v>1060546</v>
      </c>
    </row>
    <row r="14" spans="1:29" ht="10.9" customHeight="1" x14ac:dyDescent="0.2">
      <c r="A14" s="274" t="s">
        <v>154</v>
      </c>
      <c r="B14" s="2" t="s">
        <v>147</v>
      </c>
      <c r="C14" s="57">
        <v>1012509</v>
      </c>
      <c r="D14" s="57">
        <v>0</v>
      </c>
      <c r="E14" s="57">
        <v>0</v>
      </c>
      <c r="F14" s="57">
        <v>0</v>
      </c>
      <c r="G14" s="57">
        <v>0</v>
      </c>
      <c r="H14" s="57">
        <v>11200</v>
      </c>
      <c r="I14" s="57">
        <v>0</v>
      </c>
      <c r="J14" s="57">
        <v>0</v>
      </c>
      <c r="K14" s="57">
        <f t="shared" si="0"/>
        <v>1023709</v>
      </c>
      <c r="L14" s="57">
        <v>0</v>
      </c>
      <c r="M14" s="57">
        <v>0</v>
      </c>
      <c r="N14" s="57">
        <v>0</v>
      </c>
      <c r="O14" s="57">
        <v>0</v>
      </c>
      <c r="P14" s="584">
        <v>3</v>
      </c>
      <c r="Q14" s="57">
        <v>0</v>
      </c>
      <c r="R14" s="57">
        <v>7992063</v>
      </c>
      <c r="S14" s="57">
        <v>476667</v>
      </c>
      <c r="T14" s="57">
        <v>389500</v>
      </c>
      <c r="U14" s="57">
        <v>316950</v>
      </c>
      <c r="W14" s="2">
        <v>470417</v>
      </c>
      <c r="Y14" s="2">
        <v>0</v>
      </c>
      <c r="Z14" s="2">
        <v>0</v>
      </c>
      <c r="AB14" s="2">
        <v>986777</v>
      </c>
    </row>
    <row r="15" spans="1:29" ht="10.9" customHeight="1" x14ac:dyDescent="0.2">
      <c r="A15" s="274" t="s">
        <v>155</v>
      </c>
      <c r="B15" s="2" t="s">
        <v>113</v>
      </c>
      <c r="C15" s="57">
        <v>62250</v>
      </c>
      <c r="D15" s="57">
        <v>0</v>
      </c>
      <c r="E15" s="57">
        <v>0</v>
      </c>
      <c r="F15" s="57">
        <v>0</v>
      </c>
      <c r="G15" s="57">
        <v>550</v>
      </c>
      <c r="H15" s="57">
        <v>4650</v>
      </c>
      <c r="I15" s="57">
        <v>0</v>
      </c>
      <c r="J15" s="57">
        <v>0</v>
      </c>
      <c r="K15" s="57">
        <f t="shared" si="0"/>
        <v>67450</v>
      </c>
      <c r="L15" s="57">
        <v>24654</v>
      </c>
      <c r="M15" s="57">
        <v>0</v>
      </c>
      <c r="N15" s="57">
        <v>0</v>
      </c>
      <c r="O15" s="57">
        <v>17190</v>
      </c>
      <c r="P15" s="584">
        <v>3.54</v>
      </c>
      <c r="Q15" s="57">
        <v>0</v>
      </c>
      <c r="R15" s="57">
        <v>2188890</v>
      </c>
      <c r="S15" s="57">
        <v>144457</v>
      </c>
      <c r="T15" s="57">
        <v>359100</v>
      </c>
      <c r="U15" s="57">
        <v>327515</v>
      </c>
      <c r="W15" s="2">
        <v>716133</v>
      </c>
      <c r="Y15" s="2">
        <v>12526679</v>
      </c>
      <c r="Z15" s="2">
        <v>10963269</v>
      </c>
      <c r="AB15" s="2">
        <v>291254</v>
      </c>
    </row>
    <row r="16" spans="1:29" ht="10.9" customHeight="1" x14ac:dyDescent="0.2">
      <c r="A16" s="274" t="s">
        <v>156</v>
      </c>
      <c r="B16" s="2" t="s">
        <v>114</v>
      </c>
      <c r="C16" s="57">
        <v>1300</v>
      </c>
      <c r="D16" s="57">
        <v>0</v>
      </c>
      <c r="E16" s="57">
        <v>0</v>
      </c>
      <c r="F16" s="57">
        <v>0</v>
      </c>
      <c r="G16" s="57">
        <v>0</v>
      </c>
      <c r="H16" s="57">
        <v>0</v>
      </c>
      <c r="I16" s="57">
        <v>0</v>
      </c>
      <c r="J16" s="57">
        <v>0</v>
      </c>
      <c r="K16" s="57">
        <f t="shared" si="0"/>
        <v>1300</v>
      </c>
      <c r="L16" s="57">
        <v>24505</v>
      </c>
      <c r="M16" s="57">
        <v>0</v>
      </c>
      <c r="N16" s="57">
        <v>0</v>
      </c>
      <c r="O16" s="57">
        <v>4703</v>
      </c>
      <c r="P16" s="584">
        <v>4.25</v>
      </c>
      <c r="Q16" s="57">
        <v>0</v>
      </c>
      <c r="R16" s="57">
        <v>1438576</v>
      </c>
      <c r="S16" s="57">
        <v>100117</v>
      </c>
      <c r="T16" s="57">
        <v>285000</v>
      </c>
      <c r="U16" s="57">
        <v>84520</v>
      </c>
      <c r="W16" s="2">
        <v>212509</v>
      </c>
      <c r="Y16" s="2">
        <v>5016824</v>
      </c>
      <c r="Z16" s="2">
        <v>4389563</v>
      </c>
      <c r="AB16" s="2">
        <v>209745</v>
      </c>
    </row>
    <row r="17" spans="1:30" ht="10.9" customHeight="1" x14ac:dyDescent="0.2">
      <c r="A17" s="274" t="s">
        <v>157</v>
      </c>
      <c r="B17" s="2" t="s">
        <v>115</v>
      </c>
      <c r="C17" s="57">
        <v>84509</v>
      </c>
      <c r="D17" s="57">
        <v>0</v>
      </c>
      <c r="E17" s="57">
        <v>0</v>
      </c>
      <c r="F17" s="57">
        <v>0</v>
      </c>
      <c r="G17" s="57">
        <v>907</v>
      </c>
      <c r="H17" s="57">
        <v>1500</v>
      </c>
      <c r="I17" s="57">
        <v>0</v>
      </c>
      <c r="J17" s="57">
        <v>0</v>
      </c>
      <c r="K17" s="57">
        <f t="shared" si="0"/>
        <v>86916</v>
      </c>
      <c r="L17" s="57">
        <v>26406</v>
      </c>
      <c r="M17" s="57">
        <v>0</v>
      </c>
      <c r="N17" s="57">
        <v>11466</v>
      </c>
      <c r="O17" s="57">
        <v>4315</v>
      </c>
      <c r="P17" s="584">
        <v>3.54</v>
      </c>
      <c r="Q17" s="57">
        <v>0</v>
      </c>
      <c r="R17" s="57">
        <v>1867781</v>
      </c>
      <c r="S17" s="57">
        <v>142646</v>
      </c>
      <c r="T17" s="57">
        <v>336300</v>
      </c>
      <c r="U17" s="57">
        <v>109876</v>
      </c>
      <c r="W17" s="2">
        <v>911122</v>
      </c>
      <c r="Y17" s="2">
        <v>9767200</v>
      </c>
      <c r="Z17" s="2">
        <v>9289171</v>
      </c>
      <c r="AB17" s="2">
        <v>262183</v>
      </c>
    </row>
    <row r="18" spans="1:30" ht="10.9" customHeight="1" x14ac:dyDescent="0.2">
      <c r="A18" s="274" t="s">
        <v>158</v>
      </c>
      <c r="B18" s="2" t="s">
        <v>116</v>
      </c>
      <c r="C18" s="57">
        <v>3433441</v>
      </c>
      <c r="D18" s="57">
        <v>0</v>
      </c>
      <c r="E18" s="57">
        <v>1958476</v>
      </c>
      <c r="F18" s="57">
        <v>0</v>
      </c>
      <c r="G18" s="57">
        <v>97800</v>
      </c>
      <c r="H18" s="57">
        <v>20240</v>
      </c>
      <c r="I18" s="57">
        <v>108258</v>
      </c>
      <c r="J18" s="57">
        <v>0</v>
      </c>
      <c r="K18" s="57">
        <f t="shared" si="0"/>
        <v>5618215</v>
      </c>
      <c r="L18" s="57">
        <v>0</v>
      </c>
      <c r="M18" s="57">
        <v>0</v>
      </c>
      <c r="N18" s="57">
        <v>0</v>
      </c>
      <c r="O18" s="57">
        <v>0</v>
      </c>
      <c r="P18" s="584">
        <v>3</v>
      </c>
      <c r="Q18" s="57">
        <v>0</v>
      </c>
      <c r="R18" s="57">
        <v>6667948</v>
      </c>
      <c r="S18" s="57">
        <v>323459</v>
      </c>
      <c r="T18" s="57">
        <v>972800</v>
      </c>
      <c r="U18" s="57">
        <v>538815</v>
      </c>
      <c r="W18" s="2">
        <v>110861</v>
      </c>
      <c r="Y18" s="2">
        <v>3527633</v>
      </c>
      <c r="Z18" s="2">
        <v>3262238</v>
      </c>
      <c r="AB18" s="2">
        <v>1457638</v>
      </c>
    </row>
    <row r="19" spans="1:30" ht="10.9" customHeight="1" x14ac:dyDescent="0.2">
      <c r="A19" s="274" t="s">
        <v>159</v>
      </c>
      <c r="B19" s="2" t="s">
        <v>117</v>
      </c>
      <c r="C19" s="57">
        <v>516533</v>
      </c>
      <c r="D19" s="57">
        <v>0</v>
      </c>
      <c r="E19" s="57">
        <v>0</v>
      </c>
      <c r="F19" s="57">
        <v>27000</v>
      </c>
      <c r="G19" s="57">
        <v>0</v>
      </c>
      <c r="H19" s="57">
        <v>19271</v>
      </c>
      <c r="I19" s="57">
        <v>0</v>
      </c>
      <c r="J19" s="57">
        <v>0</v>
      </c>
      <c r="K19" s="57">
        <f t="shared" si="0"/>
        <v>562804</v>
      </c>
      <c r="L19" s="57">
        <v>36451</v>
      </c>
      <c r="M19" s="57">
        <v>0</v>
      </c>
      <c r="N19" s="57">
        <v>0</v>
      </c>
      <c r="O19" s="57">
        <v>770</v>
      </c>
      <c r="P19" s="584">
        <v>3.09</v>
      </c>
      <c r="Q19" s="57">
        <v>0</v>
      </c>
      <c r="R19" s="57">
        <v>4855601</v>
      </c>
      <c r="S19" s="57">
        <v>329063</v>
      </c>
      <c r="T19" s="57">
        <v>811300</v>
      </c>
      <c r="U19" s="57">
        <v>802940</v>
      </c>
      <c r="W19" s="2">
        <v>292500</v>
      </c>
      <c r="Y19" s="2">
        <v>19832118</v>
      </c>
      <c r="Z19" s="2">
        <v>19293640</v>
      </c>
      <c r="AB19" s="2">
        <v>636884</v>
      </c>
    </row>
    <row r="20" spans="1:30" ht="10.9" customHeight="1" x14ac:dyDescent="0.2">
      <c r="A20" s="274" t="s">
        <v>160</v>
      </c>
      <c r="B20" s="2" t="s">
        <v>118</v>
      </c>
      <c r="C20" s="57">
        <v>2120925</v>
      </c>
      <c r="D20" s="57">
        <v>0</v>
      </c>
      <c r="E20" s="57">
        <v>0</v>
      </c>
      <c r="F20" s="57">
        <v>0</v>
      </c>
      <c r="G20" s="57">
        <v>0</v>
      </c>
      <c r="H20" s="57">
        <v>0</v>
      </c>
      <c r="I20" s="57">
        <v>0</v>
      </c>
      <c r="J20" s="57">
        <v>0</v>
      </c>
      <c r="K20" s="57">
        <f t="shared" si="0"/>
        <v>2120925</v>
      </c>
      <c r="L20" s="57">
        <v>69198</v>
      </c>
      <c r="M20" s="57">
        <v>0</v>
      </c>
      <c r="N20" s="57">
        <v>0</v>
      </c>
      <c r="O20" s="57">
        <v>21764</v>
      </c>
      <c r="P20" s="584">
        <v>3</v>
      </c>
      <c r="Q20" s="57">
        <v>0</v>
      </c>
      <c r="R20" s="57">
        <v>8492167</v>
      </c>
      <c r="S20" s="57">
        <v>584070</v>
      </c>
      <c r="T20" s="57">
        <v>1493400</v>
      </c>
      <c r="U20" s="57">
        <v>1345981</v>
      </c>
      <c r="W20" s="2">
        <v>270044</v>
      </c>
      <c r="Y20" s="2">
        <v>34630644</v>
      </c>
      <c r="Z20" s="2">
        <v>33373872</v>
      </c>
      <c r="AB20" s="2">
        <v>1061400</v>
      </c>
    </row>
    <row r="21" spans="1:30" ht="10.9" customHeight="1" x14ac:dyDescent="0.2">
      <c r="A21" s="274" t="s">
        <v>161</v>
      </c>
      <c r="B21" s="2" t="s">
        <v>119</v>
      </c>
      <c r="C21" s="57">
        <v>234359</v>
      </c>
      <c r="D21" s="57">
        <v>138903</v>
      </c>
      <c r="E21" s="57">
        <v>0</v>
      </c>
      <c r="F21" s="57">
        <v>0</v>
      </c>
      <c r="G21" s="57">
        <v>12049</v>
      </c>
      <c r="H21" s="57">
        <v>21172</v>
      </c>
      <c r="I21" s="57">
        <v>1887</v>
      </c>
      <c r="J21" s="57">
        <v>0</v>
      </c>
      <c r="K21" s="57">
        <f t="shared" si="0"/>
        <v>408370</v>
      </c>
      <c r="L21" s="57">
        <v>39014</v>
      </c>
      <c r="M21" s="57">
        <v>0</v>
      </c>
      <c r="N21" s="57">
        <v>0</v>
      </c>
      <c r="O21" s="57">
        <v>10156</v>
      </c>
      <c r="P21" s="584">
        <v>3.32</v>
      </c>
      <c r="Q21" s="57">
        <v>0</v>
      </c>
      <c r="R21" s="57">
        <v>3373147</v>
      </c>
      <c r="S21" s="57">
        <v>286422</v>
      </c>
      <c r="T21" s="57">
        <v>537700</v>
      </c>
      <c r="U21" s="57">
        <v>496555</v>
      </c>
      <c r="W21" s="2">
        <v>491479</v>
      </c>
      <c r="Y21" s="2">
        <v>20114261</v>
      </c>
      <c r="Z21" s="2">
        <v>19032594</v>
      </c>
      <c r="AB21" s="2">
        <v>459274</v>
      </c>
    </row>
    <row r="22" spans="1:30" ht="10.9" customHeight="1" x14ac:dyDescent="0.2">
      <c r="A22" s="274" t="s">
        <v>162</v>
      </c>
      <c r="B22" s="2" t="s">
        <v>120</v>
      </c>
      <c r="C22" s="57">
        <v>8306</v>
      </c>
      <c r="D22" s="57">
        <v>0</v>
      </c>
      <c r="E22" s="57">
        <v>0</v>
      </c>
      <c r="F22" s="57">
        <v>0</v>
      </c>
      <c r="G22" s="57">
        <v>0</v>
      </c>
      <c r="H22" s="57">
        <v>13992</v>
      </c>
      <c r="I22" s="57">
        <v>0</v>
      </c>
      <c r="J22" s="57">
        <v>0</v>
      </c>
      <c r="K22" s="57">
        <f t="shared" si="0"/>
        <v>22298</v>
      </c>
      <c r="L22" s="57">
        <v>28757</v>
      </c>
      <c r="M22" s="57">
        <v>0</v>
      </c>
      <c r="N22" s="57">
        <v>0</v>
      </c>
      <c r="O22" s="57">
        <v>5301</v>
      </c>
      <c r="P22" s="584">
        <v>4.25</v>
      </c>
      <c r="Q22" s="57">
        <v>0</v>
      </c>
      <c r="R22" s="57">
        <v>2736521</v>
      </c>
      <c r="S22" s="57">
        <v>189662</v>
      </c>
      <c r="T22" s="57">
        <v>491150</v>
      </c>
      <c r="U22" s="57">
        <v>266238</v>
      </c>
      <c r="W22" s="2">
        <v>172077</v>
      </c>
      <c r="Y22" s="2">
        <v>4814735</v>
      </c>
      <c r="Z22" s="2">
        <v>4556896</v>
      </c>
      <c r="AB22" s="2">
        <v>340888</v>
      </c>
    </row>
    <row r="23" spans="1:30" ht="10.9" customHeight="1" x14ac:dyDescent="0.2">
      <c r="A23" s="274" t="s">
        <v>163</v>
      </c>
      <c r="B23" s="2" t="s">
        <v>121</v>
      </c>
      <c r="C23" s="57">
        <v>80510</v>
      </c>
      <c r="D23" s="57">
        <v>0</v>
      </c>
      <c r="E23" s="57">
        <v>0</v>
      </c>
      <c r="F23" s="57">
        <v>0</v>
      </c>
      <c r="G23" s="57">
        <v>0</v>
      </c>
      <c r="H23" s="57">
        <v>1300</v>
      </c>
      <c r="I23" s="57">
        <v>0</v>
      </c>
      <c r="J23" s="57">
        <v>0</v>
      </c>
      <c r="K23" s="57">
        <f t="shared" si="0"/>
        <v>81810</v>
      </c>
      <c r="L23" s="57">
        <v>26230</v>
      </c>
      <c r="M23" s="57">
        <v>0</v>
      </c>
      <c r="N23" s="57">
        <v>0</v>
      </c>
      <c r="O23" s="57">
        <v>0</v>
      </c>
      <c r="P23" s="584">
        <v>3.5999999999999996</v>
      </c>
      <c r="Q23" s="57">
        <v>0</v>
      </c>
      <c r="R23" s="57">
        <v>2017086</v>
      </c>
      <c r="S23" s="57">
        <v>104095</v>
      </c>
      <c r="T23" s="57">
        <v>304000</v>
      </c>
      <c r="U23" s="57">
        <v>242995</v>
      </c>
      <c r="W23" s="2">
        <v>329425</v>
      </c>
      <c r="Y23" s="2">
        <v>5245316</v>
      </c>
      <c r="Z23" s="2">
        <v>4814044</v>
      </c>
      <c r="AB23" s="2">
        <v>233256</v>
      </c>
    </row>
    <row r="24" spans="1:30" ht="10.9" customHeight="1" x14ac:dyDescent="0.2">
      <c r="A24" s="274" t="s">
        <v>164</v>
      </c>
      <c r="B24" s="2" t="s">
        <v>122</v>
      </c>
      <c r="C24" s="57">
        <v>187240</v>
      </c>
      <c r="D24" s="57">
        <v>0</v>
      </c>
      <c r="E24" s="57">
        <v>0</v>
      </c>
      <c r="F24" s="57">
        <v>0</v>
      </c>
      <c r="G24" s="57">
        <v>0</v>
      </c>
      <c r="H24" s="57">
        <v>250000</v>
      </c>
      <c r="I24" s="57">
        <v>0</v>
      </c>
      <c r="J24" s="57">
        <v>0</v>
      </c>
      <c r="K24" s="57">
        <f t="shared" si="0"/>
        <v>437240</v>
      </c>
      <c r="L24" s="57">
        <v>58973</v>
      </c>
      <c r="M24" s="57">
        <v>0</v>
      </c>
      <c r="N24" s="57">
        <v>0</v>
      </c>
      <c r="O24" s="57">
        <v>0</v>
      </c>
      <c r="P24" s="584">
        <v>3.18</v>
      </c>
      <c r="Q24" s="57">
        <v>0</v>
      </c>
      <c r="R24" s="57">
        <v>5085888</v>
      </c>
      <c r="S24" s="57">
        <v>351008</v>
      </c>
      <c r="T24" s="57">
        <v>984200</v>
      </c>
      <c r="U24" s="57">
        <v>707855</v>
      </c>
      <c r="W24" s="2">
        <v>525879</v>
      </c>
      <c r="Y24" s="2">
        <v>32828887</v>
      </c>
      <c r="Z24" s="2">
        <v>30189842</v>
      </c>
      <c r="AB24" s="2">
        <v>711729</v>
      </c>
    </row>
    <row r="25" spans="1:30" ht="10.9" customHeight="1" x14ac:dyDescent="0.2">
      <c r="A25" s="274" t="s">
        <v>165</v>
      </c>
      <c r="B25" s="2" t="s">
        <v>123</v>
      </c>
      <c r="C25" s="57">
        <v>589269</v>
      </c>
      <c r="D25" s="57">
        <v>473014</v>
      </c>
      <c r="E25" s="57">
        <v>19705</v>
      </c>
      <c r="F25" s="57">
        <v>0</v>
      </c>
      <c r="G25" s="57">
        <v>7800</v>
      </c>
      <c r="H25" s="57">
        <v>24550</v>
      </c>
      <c r="I25" s="57">
        <v>0</v>
      </c>
      <c r="J25" s="57">
        <v>0</v>
      </c>
      <c r="K25" s="57">
        <f t="shared" si="0"/>
        <v>1114338</v>
      </c>
      <c r="L25" s="57">
        <v>14176</v>
      </c>
      <c r="M25" s="57">
        <v>2656735</v>
      </c>
      <c r="N25" s="57">
        <v>0</v>
      </c>
      <c r="O25" s="57">
        <v>184165</v>
      </c>
      <c r="P25" s="584">
        <v>3</v>
      </c>
      <c r="Q25" s="57">
        <v>0</v>
      </c>
      <c r="R25" s="57">
        <v>16125401</v>
      </c>
      <c r="S25" s="57">
        <v>1075403</v>
      </c>
      <c r="T25" s="57">
        <v>3099850</v>
      </c>
      <c r="U25" s="57">
        <v>4555628</v>
      </c>
      <c r="W25" s="2">
        <v>494126</v>
      </c>
      <c r="Y25" s="2">
        <v>112567328</v>
      </c>
      <c r="Z25" s="2">
        <v>107116492</v>
      </c>
      <c r="AB25" s="2">
        <v>2319252</v>
      </c>
    </row>
    <row r="26" spans="1:30" ht="10.9" customHeight="1" x14ac:dyDescent="0.2">
      <c r="A26" s="274" t="s">
        <v>166</v>
      </c>
      <c r="B26" s="2" t="s">
        <v>124</v>
      </c>
      <c r="C26" s="57">
        <v>0</v>
      </c>
      <c r="D26" s="57">
        <v>0</v>
      </c>
      <c r="E26" s="57">
        <v>0</v>
      </c>
      <c r="F26" s="57">
        <v>0</v>
      </c>
      <c r="G26" s="57">
        <v>9000</v>
      </c>
      <c r="H26" s="57">
        <v>4035</v>
      </c>
      <c r="I26" s="57">
        <v>0</v>
      </c>
      <c r="J26" s="57">
        <v>0</v>
      </c>
      <c r="K26" s="57">
        <f t="shared" si="0"/>
        <v>13035</v>
      </c>
      <c r="L26" s="57">
        <v>22556</v>
      </c>
      <c r="M26" s="57">
        <v>0</v>
      </c>
      <c r="N26" s="57">
        <v>0</v>
      </c>
      <c r="O26" s="57">
        <v>17699</v>
      </c>
      <c r="P26" s="584">
        <v>3.3000000000000003</v>
      </c>
      <c r="Q26" s="57">
        <v>0</v>
      </c>
      <c r="R26" s="57">
        <v>3888444</v>
      </c>
      <c r="S26" s="57">
        <v>304543</v>
      </c>
      <c r="T26" s="57">
        <v>563350</v>
      </c>
      <c r="U26" s="57">
        <v>297933</v>
      </c>
      <c r="W26" s="2">
        <v>380734</v>
      </c>
      <c r="Y26" s="2">
        <v>17112882</v>
      </c>
      <c r="Z26" s="2">
        <v>16537582</v>
      </c>
      <c r="AB26" s="2">
        <v>769803</v>
      </c>
    </row>
    <row r="27" spans="1:30" ht="10.9" customHeight="1" x14ac:dyDescent="0.2">
      <c r="A27" s="274" t="s">
        <v>167</v>
      </c>
      <c r="B27" s="2" t="s">
        <v>125</v>
      </c>
      <c r="C27" s="57">
        <v>6600</v>
      </c>
      <c r="D27" s="57">
        <v>0</v>
      </c>
      <c r="E27" s="57">
        <v>0</v>
      </c>
      <c r="F27" s="57">
        <v>0</v>
      </c>
      <c r="G27" s="57">
        <v>0</v>
      </c>
      <c r="H27" s="57">
        <v>0</v>
      </c>
      <c r="I27" s="57">
        <v>0</v>
      </c>
      <c r="J27" s="57">
        <v>0</v>
      </c>
      <c r="K27" s="57">
        <f t="shared" si="0"/>
        <v>6600</v>
      </c>
      <c r="L27" s="57">
        <v>47062</v>
      </c>
      <c r="M27" s="57">
        <v>0</v>
      </c>
      <c r="N27" s="57">
        <v>0</v>
      </c>
      <c r="O27" s="57">
        <v>0</v>
      </c>
      <c r="P27" s="584">
        <v>4.25</v>
      </c>
      <c r="Q27" s="57">
        <v>0</v>
      </c>
      <c r="R27" s="57">
        <v>4989219</v>
      </c>
      <c r="S27" s="57">
        <v>334197</v>
      </c>
      <c r="T27" s="57">
        <v>695400</v>
      </c>
      <c r="U27" s="57">
        <v>944511</v>
      </c>
      <c r="W27" s="2">
        <v>165950</v>
      </c>
      <c r="Y27" s="2">
        <v>9600197</v>
      </c>
      <c r="Z27" s="2">
        <v>8695155</v>
      </c>
      <c r="AB27" s="2">
        <v>467621</v>
      </c>
    </row>
    <row r="28" spans="1:30" ht="10.9" customHeight="1" x14ac:dyDescent="0.2">
      <c r="A28" s="274" t="s">
        <v>168</v>
      </c>
      <c r="B28" s="2" t="s">
        <v>126</v>
      </c>
      <c r="C28" s="57">
        <v>111384</v>
      </c>
      <c r="D28" s="57">
        <v>0</v>
      </c>
      <c r="E28" s="57">
        <v>24160</v>
      </c>
      <c r="F28" s="57">
        <v>0</v>
      </c>
      <c r="G28" s="57">
        <v>0</v>
      </c>
      <c r="H28" s="57">
        <v>0</v>
      </c>
      <c r="I28" s="57">
        <v>0</v>
      </c>
      <c r="J28" s="57">
        <v>0</v>
      </c>
      <c r="K28" s="57">
        <f t="shared" si="0"/>
        <v>135544</v>
      </c>
      <c r="L28" s="57">
        <v>28342</v>
      </c>
      <c r="M28" s="57">
        <v>0</v>
      </c>
      <c r="N28" s="57">
        <v>244165</v>
      </c>
      <c r="O28" s="57">
        <v>0</v>
      </c>
      <c r="P28" s="584">
        <v>3.45</v>
      </c>
      <c r="Q28" s="57">
        <v>0</v>
      </c>
      <c r="R28" s="57">
        <v>2380676</v>
      </c>
      <c r="S28" s="57">
        <v>159532</v>
      </c>
      <c r="T28" s="57">
        <v>270750</v>
      </c>
      <c r="U28" s="57">
        <v>162701</v>
      </c>
      <c r="W28" s="2">
        <v>615280</v>
      </c>
      <c r="Y28" s="2">
        <v>10728934</v>
      </c>
      <c r="Z28" s="2">
        <v>9927928</v>
      </c>
      <c r="AB28" s="2">
        <v>393271</v>
      </c>
      <c r="AC28" s="2">
        <v>50000</v>
      </c>
      <c r="AD28" s="2" t="s">
        <v>396</v>
      </c>
    </row>
    <row r="29" spans="1:30" ht="10.9" customHeight="1" x14ac:dyDescent="0.2">
      <c r="A29" s="274" t="s">
        <v>169</v>
      </c>
      <c r="B29" s="2" t="s">
        <v>127</v>
      </c>
      <c r="C29" s="57">
        <v>1903886</v>
      </c>
      <c r="D29" s="57">
        <v>0</v>
      </c>
      <c r="E29" s="57">
        <v>0</v>
      </c>
      <c r="F29" s="57">
        <v>0</v>
      </c>
      <c r="G29" s="57">
        <v>6000</v>
      </c>
      <c r="H29" s="57">
        <v>0</v>
      </c>
      <c r="I29" s="57">
        <v>0</v>
      </c>
      <c r="J29" s="57">
        <v>0</v>
      </c>
      <c r="K29" s="57">
        <f t="shared" si="0"/>
        <v>1909886</v>
      </c>
      <c r="L29" s="57">
        <v>97704</v>
      </c>
      <c r="M29" s="57">
        <v>803557</v>
      </c>
      <c r="N29" s="57">
        <v>0</v>
      </c>
      <c r="O29" s="57">
        <v>0</v>
      </c>
      <c r="P29" s="584">
        <v>3</v>
      </c>
      <c r="Q29" s="57">
        <v>0</v>
      </c>
      <c r="R29" s="57">
        <v>14409950</v>
      </c>
      <c r="S29" s="57">
        <v>989453</v>
      </c>
      <c r="T29" s="57">
        <v>2798700</v>
      </c>
      <c r="U29" s="57">
        <v>3351218</v>
      </c>
      <c r="W29" s="2">
        <v>629714</v>
      </c>
      <c r="Y29" s="2">
        <v>109253949</v>
      </c>
      <c r="Z29" s="2">
        <v>105204208</v>
      </c>
      <c r="AB29" s="2">
        <v>1844246</v>
      </c>
    </row>
    <row r="30" spans="1:30" ht="10.9" customHeight="1" x14ac:dyDescent="0.2">
      <c r="A30" s="274" t="s">
        <v>170</v>
      </c>
      <c r="B30" s="2" t="s">
        <v>128</v>
      </c>
      <c r="C30" s="57">
        <v>35084</v>
      </c>
      <c r="D30" s="57">
        <v>0</v>
      </c>
      <c r="E30" s="57">
        <v>0</v>
      </c>
      <c r="F30" s="57">
        <v>0</v>
      </c>
      <c r="G30" s="57">
        <v>0</v>
      </c>
      <c r="H30" s="57">
        <v>0</v>
      </c>
      <c r="I30" s="57">
        <v>0</v>
      </c>
      <c r="J30" s="57">
        <v>0</v>
      </c>
      <c r="K30" s="57">
        <f t="shared" si="0"/>
        <v>35084</v>
      </c>
      <c r="L30" s="57">
        <v>22346</v>
      </c>
      <c r="M30" s="57">
        <v>0</v>
      </c>
      <c r="N30" s="57">
        <v>0</v>
      </c>
      <c r="O30" s="57">
        <v>8269</v>
      </c>
      <c r="P30" s="584">
        <v>3.5999999999999996</v>
      </c>
      <c r="Q30" s="57">
        <v>0</v>
      </c>
      <c r="R30" s="57">
        <v>1650276</v>
      </c>
      <c r="S30" s="57">
        <v>107770</v>
      </c>
      <c r="T30" s="57">
        <v>210900</v>
      </c>
      <c r="U30" s="57">
        <v>253560</v>
      </c>
      <c r="W30" s="2">
        <v>542101</v>
      </c>
      <c r="Y30" s="2">
        <v>7775243</v>
      </c>
      <c r="Z30" s="2">
        <v>7449673</v>
      </c>
      <c r="AB30" s="2">
        <v>209725</v>
      </c>
    </row>
    <row r="31" spans="1:30" ht="10.9" customHeight="1" x14ac:dyDescent="0.2">
      <c r="A31" s="274" t="s">
        <v>171</v>
      </c>
      <c r="B31" s="2" t="s">
        <v>129</v>
      </c>
      <c r="C31" s="57">
        <v>52650</v>
      </c>
      <c r="D31" s="57">
        <v>0</v>
      </c>
      <c r="E31" s="57">
        <v>0</v>
      </c>
      <c r="F31" s="57">
        <v>0</v>
      </c>
      <c r="G31" s="57">
        <v>0</v>
      </c>
      <c r="H31" s="57">
        <v>0</v>
      </c>
      <c r="I31" s="57">
        <v>0</v>
      </c>
      <c r="J31" s="57">
        <v>0</v>
      </c>
      <c r="K31" s="57">
        <f t="shared" si="0"/>
        <v>52650</v>
      </c>
      <c r="L31" s="57">
        <v>57630</v>
      </c>
      <c r="M31" s="57">
        <v>0</v>
      </c>
      <c r="N31" s="57">
        <v>0</v>
      </c>
      <c r="O31" s="57">
        <v>13968</v>
      </c>
      <c r="P31" s="584">
        <v>3.25</v>
      </c>
      <c r="Q31" s="57">
        <v>0</v>
      </c>
      <c r="R31" s="57">
        <v>3699434</v>
      </c>
      <c r="S31" s="57">
        <v>307831</v>
      </c>
      <c r="T31" s="57">
        <v>870200</v>
      </c>
      <c r="U31" s="57">
        <v>650804</v>
      </c>
      <c r="W31" s="2">
        <v>426810</v>
      </c>
      <c r="Y31" s="2">
        <v>18833549</v>
      </c>
      <c r="Z31" s="2">
        <v>18397686</v>
      </c>
      <c r="AB31" s="2">
        <v>606692</v>
      </c>
    </row>
    <row r="32" spans="1:30" ht="10.9" customHeight="1" x14ac:dyDescent="0.2">
      <c r="A32" s="274" t="s">
        <v>172</v>
      </c>
      <c r="B32" s="2" t="s">
        <v>130</v>
      </c>
      <c r="C32" s="57">
        <v>246288</v>
      </c>
      <c r="D32" s="57">
        <v>0</v>
      </c>
      <c r="E32" s="57">
        <v>1884</v>
      </c>
      <c r="F32" s="57">
        <v>0</v>
      </c>
      <c r="G32" s="57">
        <v>0</v>
      </c>
      <c r="H32" s="57">
        <v>6088</v>
      </c>
      <c r="I32" s="57">
        <v>0</v>
      </c>
      <c r="J32" s="57">
        <v>0</v>
      </c>
      <c r="K32" s="57">
        <f t="shared" si="0"/>
        <v>254260</v>
      </c>
      <c r="L32" s="57">
        <v>36143</v>
      </c>
      <c r="M32" s="57">
        <v>0</v>
      </c>
      <c r="N32" s="57">
        <v>0</v>
      </c>
      <c r="O32" s="57">
        <v>7993</v>
      </c>
      <c r="P32" s="584">
        <v>3.42</v>
      </c>
      <c r="Q32" s="57">
        <v>0</v>
      </c>
      <c r="R32" s="57">
        <v>3175851</v>
      </c>
      <c r="S32" s="57">
        <v>231536</v>
      </c>
      <c r="T32" s="57">
        <v>326800</v>
      </c>
      <c r="U32" s="57">
        <v>371888</v>
      </c>
      <c r="W32" s="2">
        <v>647758</v>
      </c>
      <c r="Y32" s="2">
        <v>18021809</v>
      </c>
      <c r="Z32" s="2">
        <v>16891762</v>
      </c>
      <c r="AB32" s="2">
        <v>385624</v>
      </c>
    </row>
    <row r="33" spans="1:28" ht="10.9" customHeight="1" x14ac:dyDescent="0.2">
      <c r="A33" s="274" t="s">
        <v>173</v>
      </c>
      <c r="B33" s="2" t="s">
        <v>131</v>
      </c>
      <c r="C33" s="57">
        <v>77014</v>
      </c>
      <c r="D33" s="57">
        <v>0</v>
      </c>
      <c r="E33" s="57">
        <v>0</v>
      </c>
      <c r="F33" s="57">
        <v>0</v>
      </c>
      <c r="G33" s="57">
        <v>0</v>
      </c>
      <c r="H33" s="57">
        <v>10280</v>
      </c>
      <c r="I33" s="57">
        <v>6000</v>
      </c>
      <c r="J33" s="57">
        <v>0</v>
      </c>
      <c r="K33" s="57">
        <f t="shared" si="0"/>
        <v>93294</v>
      </c>
      <c r="L33" s="57">
        <v>39010</v>
      </c>
      <c r="M33" s="57">
        <v>0</v>
      </c>
      <c r="N33" s="57">
        <v>0</v>
      </c>
      <c r="O33" s="57">
        <v>38035</v>
      </c>
      <c r="P33" s="584">
        <v>3.44</v>
      </c>
      <c r="Q33" s="57">
        <v>0</v>
      </c>
      <c r="R33" s="57">
        <v>3006237</v>
      </c>
      <c r="S33" s="57">
        <v>222242</v>
      </c>
      <c r="T33" s="57">
        <v>304000</v>
      </c>
      <c r="U33" s="57">
        <v>338080</v>
      </c>
      <c r="W33" s="2">
        <v>665633</v>
      </c>
      <c r="Y33" s="2">
        <v>15370339</v>
      </c>
      <c r="Z33" s="2">
        <v>14494234</v>
      </c>
      <c r="AB33" s="2">
        <v>491955</v>
      </c>
    </row>
    <row r="34" spans="1:28" ht="10.9" customHeight="1" x14ac:dyDescent="0.2">
      <c r="A34" s="274" t="s">
        <v>174</v>
      </c>
      <c r="B34" s="2" t="s">
        <v>132</v>
      </c>
      <c r="C34" s="57">
        <v>376167</v>
      </c>
      <c r="D34" s="57">
        <v>0</v>
      </c>
      <c r="E34" s="57">
        <v>0</v>
      </c>
      <c r="F34" s="57">
        <v>0</v>
      </c>
      <c r="G34" s="57">
        <v>0</v>
      </c>
      <c r="H34" s="57">
        <v>9762</v>
      </c>
      <c r="I34" s="57">
        <v>0</v>
      </c>
      <c r="J34" s="57">
        <v>0</v>
      </c>
      <c r="K34" s="57">
        <f t="shared" si="0"/>
        <v>385929</v>
      </c>
      <c r="L34" s="57">
        <v>37948</v>
      </c>
      <c r="M34" s="57">
        <v>0</v>
      </c>
      <c r="N34" s="57">
        <v>0</v>
      </c>
      <c r="O34" s="57">
        <v>0</v>
      </c>
      <c r="P34" s="584">
        <v>3.42</v>
      </c>
      <c r="Q34" s="57">
        <v>0</v>
      </c>
      <c r="R34" s="57">
        <v>3751599</v>
      </c>
      <c r="S34" s="57">
        <v>218171</v>
      </c>
      <c r="T34" s="57">
        <v>555750</v>
      </c>
      <c r="U34" s="57">
        <v>511346</v>
      </c>
      <c r="W34" s="2">
        <v>669534</v>
      </c>
      <c r="Y34" s="2">
        <v>22043377</v>
      </c>
      <c r="Z34" s="2">
        <v>21190898</v>
      </c>
      <c r="AB34" s="2">
        <v>377038</v>
      </c>
    </row>
    <row r="35" spans="1:28" ht="10.9" customHeight="1" x14ac:dyDescent="0.2">
      <c r="A35" s="274" t="s">
        <v>175</v>
      </c>
      <c r="B35" s="2" t="s">
        <v>133</v>
      </c>
      <c r="C35" s="57">
        <v>598981</v>
      </c>
      <c r="D35" s="57">
        <v>0</v>
      </c>
      <c r="E35" s="57">
        <v>0</v>
      </c>
      <c r="F35" s="57">
        <v>0</v>
      </c>
      <c r="G35" s="57">
        <v>0</v>
      </c>
      <c r="H35" s="57">
        <v>37145</v>
      </c>
      <c r="I35" s="57">
        <v>0</v>
      </c>
      <c r="J35" s="57">
        <v>0</v>
      </c>
      <c r="K35" s="57">
        <f t="shared" si="0"/>
        <v>636126</v>
      </c>
      <c r="L35" s="57">
        <v>119539</v>
      </c>
      <c r="M35" s="57">
        <v>416621</v>
      </c>
      <c r="N35" s="57">
        <v>0</v>
      </c>
      <c r="O35" s="57">
        <v>155425</v>
      </c>
      <c r="P35" s="584">
        <v>3</v>
      </c>
      <c r="Q35" s="57">
        <v>0</v>
      </c>
      <c r="R35" s="57">
        <v>17097357</v>
      </c>
      <c r="S35" s="57">
        <v>1178513</v>
      </c>
      <c r="T35" s="57">
        <v>4062200</v>
      </c>
      <c r="U35" s="57">
        <v>4219661</v>
      </c>
      <c r="W35" s="2">
        <v>428344</v>
      </c>
      <c r="Y35" s="2">
        <v>92524435</v>
      </c>
      <c r="Z35" s="2">
        <v>91282332</v>
      </c>
      <c r="AB35" s="2">
        <v>2447820</v>
      </c>
    </row>
    <row r="36" spans="1:28" ht="10.9" customHeight="1" x14ac:dyDescent="0.2">
      <c r="A36" s="274" t="s">
        <v>176</v>
      </c>
      <c r="B36" s="2" t="s">
        <v>134</v>
      </c>
      <c r="C36" s="57">
        <v>339530</v>
      </c>
      <c r="D36" s="57">
        <v>0</v>
      </c>
      <c r="E36" s="57">
        <v>0</v>
      </c>
      <c r="F36" s="57">
        <v>0</v>
      </c>
      <c r="G36" s="57">
        <v>0</v>
      </c>
      <c r="H36" s="57">
        <v>1250</v>
      </c>
      <c r="I36" s="57">
        <v>0</v>
      </c>
      <c r="J36" s="57">
        <v>0</v>
      </c>
      <c r="K36" s="57">
        <f t="shared" si="0"/>
        <v>340780</v>
      </c>
      <c r="L36" s="57">
        <v>32300</v>
      </c>
      <c r="M36" s="57">
        <v>0</v>
      </c>
      <c r="N36" s="57">
        <v>16939</v>
      </c>
      <c r="O36" s="57">
        <v>12212</v>
      </c>
      <c r="P36" s="584">
        <v>3.5000000000000004</v>
      </c>
      <c r="Q36" s="57">
        <v>0</v>
      </c>
      <c r="R36" s="57">
        <v>1937283</v>
      </c>
      <c r="S36" s="57">
        <v>168589</v>
      </c>
      <c r="T36" s="57">
        <v>294500</v>
      </c>
      <c r="U36" s="57">
        <v>126780</v>
      </c>
      <c r="W36" s="2">
        <v>645772</v>
      </c>
      <c r="Y36" s="2">
        <v>12644769</v>
      </c>
      <c r="Z36" s="2">
        <v>11896156</v>
      </c>
      <c r="AB36" s="2">
        <v>321899</v>
      </c>
    </row>
    <row r="37" spans="1:28" ht="10.9" customHeight="1" x14ac:dyDescent="0.2">
      <c r="A37" s="274" t="s">
        <v>177</v>
      </c>
      <c r="B37" s="2" t="s">
        <v>135</v>
      </c>
      <c r="C37" s="57">
        <v>489383</v>
      </c>
      <c r="D37" s="57">
        <v>112052</v>
      </c>
      <c r="E37" s="57">
        <v>0</v>
      </c>
      <c r="F37" s="57">
        <v>0</v>
      </c>
      <c r="G37" s="57">
        <v>0</v>
      </c>
      <c r="H37" s="57">
        <v>44156</v>
      </c>
      <c r="I37" s="57">
        <v>0</v>
      </c>
      <c r="J37" s="57">
        <v>0</v>
      </c>
      <c r="K37" s="57">
        <f t="shared" si="0"/>
        <v>645591</v>
      </c>
      <c r="L37" s="57">
        <v>44877</v>
      </c>
      <c r="M37" s="57">
        <v>0</v>
      </c>
      <c r="N37" s="57">
        <v>0</v>
      </c>
      <c r="O37" s="57">
        <v>30807</v>
      </c>
      <c r="P37" s="584">
        <v>3.1</v>
      </c>
      <c r="Q37" s="57">
        <v>0</v>
      </c>
      <c r="R37" s="57">
        <v>6084533</v>
      </c>
      <c r="S37" s="57">
        <v>401866</v>
      </c>
      <c r="T37" s="57">
        <v>1183700</v>
      </c>
      <c r="U37" s="57">
        <v>796601</v>
      </c>
      <c r="W37" s="2">
        <v>337104</v>
      </c>
      <c r="Y37" s="2">
        <v>29359483</v>
      </c>
      <c r="Z37" s="2">
        <v>27210238</v>
      </c>
      <c r="AB37" s="2">
        <v>590741</v>
      </c>
    </row>
    <row r="38" spans="1:28" ht="10.9" customHeight="1" x14ac:dyDescent="0.2">
      <c r="A38" s="274" t="s">
        <v>178</v>
      </c>
      <c r="B38" s="2" t="s">
        <v>136</v>
      </c>
      <c r="C38" s="57">
        <v>801051</v>
      </c>
      <c r="D38" s="57">
        <v>124252</v>
      </c>
      <c r="E38" s="57">
        <v>39900</v>
      </c>
      <c r="F38" s="57">
        <v>28975</v>
      </c>
      <c r="G38" s="57">
        <v>-68875</v>
      </c>
      <c r="H38" s="57">
        <v>141735</v>
      </c>
      <c r="I38" s="57">
        <v>0</v>
      </c>
      <c r="J38" s="57">
        <v>0</v>
      </c>
      <c r="K38" s="57">
        <f t="shared" si="0"/>
        <v>1067038</v>
      </c>
      <c r="L38" s="57">
        <v>69046</v>
      </c>
      <c r="M38" s="57">
        <v>0</v>
      </c>
      <c r="N38" s="57">
        <v>0</v>
      </c>
      <c r="O38" s="57">
        <v>0</v>
      </c>
      <c r="P38" s="584">
        <v>3</v>
      </c>
      <c r="Q38" s="57">
        <v>0</v>
      </c>
      <c r="R38" s="57">
        <v>10952876</v>
      </c>
      <c r="S38" s="57">
        <v>823140</v>
      </c>
      <c r="T38" s="57">
        <v>2265750</v>
      </c>
      <c r="U38" s="57">
        <v>3201195</v>
      </c>
      <c r="W38" s="2">
        <v>327538</v>
      </c>
      <c r="Y38" s="2">
        <v>61412241</v>
      </c>
      <c r="Z38" s="2">
        <v>56942379</v>
      </c>
      <c r="AB38" s="2">
        <v>1380050</v>
      </c>
    </row>
    <row r="39" spans="1:28" ht="10.9" customHeight="1" x14ac:dyDescent="0.2">
      <c r="A39" s="274" t="s">
        <v>179</v>
      </c>
      <c r="B39" s="2" t="s">
        <v>137</v>
      </c>
      <c r="C39" s="57">
        <v>260581</v>
      </c>
      <c r="D39" s="57">
        <v>0</v>
      </c>
      <c r="E39" s="57">
        <v>0</v>
      </c>
      <c r="F39" s="57">
        <v>0</v>
      </c>
      <c r="G39" s="57">
        <v>0</v>
      </c>
      <c r="H39" s="57">
        <v>0</v>
      </c>
      <c r="I39" s="57">
        <v>0</v>
      </c>
      <c r="J39" s="57">
        <v>0</v>
      </c>
      <c r="K39" s="57">
        <f t="shared" si="0"/>
        <v>260581</v>
      </c>
      <c r="L39" s="57">
        <v>34850</v>
      </c>
      <c r="M39" s="57">
        <v>0</v>
      </c>
      <c r="N39" s="57">
        <v>0</v>
      </c>
      <c r="O39" s="57">
        <v>8061</v>
      </c>
      <c r="P39" s="584">
        <v>3.52</v>
      </c>
      <c r="Q39" s="57">
        <v>0</v>
      </c>
      <c r="R39" s="57">
        <v>2093901</v>
      </c>
      <c r="S39" s="57">
        <v>163404</v>
      </c>
      <c r="T39" s="57">
        <v>217550</v>
      </c>
      <c r="U39" s="57">
        <v>211300</v>
      </c>
      <c r="W39" s="2">
        <v>816595</v>
      </c>
      <c r="Y39" s="2">
        <v>13802141</v>
      </c>
      <c r="Z39" s="2">
        <v>13058854</v>
      </c>
      <c r="AB39" s="2">
        <v>317543</v>
      </c>
    </row>
    <row r="40" spans="1:28" ht="10.9" customHeight="1" x14ac:dyDescent="0.2">
      <c r="A40" s="274" t="s">
        <v>180</v>
      </c>
      <c r="B40" s="2" t="s">
        <v>138</v>
      </c>
      <c r="C40" s="57">
        <v>428959</v>
      </c>
      <c r="D40" s="57">
        <v>0</v>
      </c>
      <c r="E40" s="57">
        <v>0</v>
      </c>
      <c r="F40" s="57">
        <v>4355</v>
      </c>
      <c r="G40" s="57">
        <v>0</v>
      </c>
      <c r="H40" s="57">
        <v>0</v>
      </c>
      <c r="I40" s="57">
        <v>0</v>
      </c>
      <c r="J40" s="57">
        <v>0</v>
      </c>
      <c r="K40" s="57">
        <f t="shared" si="0"/>
        <v>433314</v>
      </c>
      <c r="L40" s="57">
        <v>76823</v>
      </c>
      <c r="M40" s="57">
        <v>246548</v>
      </c>
      <c r="N40" s="57">
        <v>0</v>
      </c>
      <c r="O40" s="57">
        <v>92094</v>
      </c>
      <c r="P40" s="584">
        <v>3</v>
      </c>
      <c r="Q40" s="57">
        <v>0</v>
      </c>
      <c r="R40" s="57">
        <v>8593178</v>
      </c>
      <c r="S40" s="57">
        <v>597998</v>
      </c>
      <c r="T40" s="57">
        <v>2474750</v>
      </c>
      <c r="U40" s="57">
        <v>1764355</v>
      </c>
      <c r="W40" s="2">
        <v>611416</v>
      </c>
      <c r="Y40" s="2">
        <v>65247779</v>
      </c>
      <c r="Z40" s="2">
        <v>61836866</v>
      </c>
      <c r="AB40" s="2">
        <v>1459050</v>
      </c>
    </row>
    <row r="41" spans="1:28" ht="10.9" customHeight="1" x14ac:dyDescent="0.2">
      <c r="A41" s="274" t="s">
        <v>181</v>
      </c>
      <c r="B41" s="2" t="s">
        <v>139</v>
      </c>
      <c r="C41" s="57">
        <v>540386</v>
      </c>
      <c r="D41" s="57">
        <v>210279</v>
      </c>
      <c r="E41" s="57">
        <v>20000</v>
      </c>
      <c r="F41" s="57">
        <v>0</v>
      </c>
      <c r="G41" s="57">
        <v>-12893</v>
      </c>
      <c r="H41" s="57">
        <v>5928</v>
      </c>
      <c r="I41" s="57">
        <v>0</v>
      </c>
      <c r="J41" s="57">
        <v>0</v>
      </c>
      <c r="K41" s="57">
        <f t="shared" si="0"/>
        <v>763700</v>
      </c>
      <c r="L41" s="57">
        <v>51976</v>
      </c>
      <c r="M41" s="57">
        <v>0</v>
      </c>
      <c r="N41" s="57">
        <v>0</v>
      </c>
      <c r="O41" s="57">
        <v>46976</v>
      </c>
      <c r="P41" s="584">
        <v>3.08</v>
      </c>
      <c r="Q41" s="57">
        <v>0</v>
      </c>
      <c r="R41" s="57">
        <v>6837729</v>
      </c>
      <c r="S41" s="57">
        <v>466612</v>
      </c>
      <c r="T41" s="57">
        <v>946200</v>
      </c>
      <c r="U41" s="57">
        <v>1219201</v>
      </c>
      <c r="W41" s="2">
        <v>555919</v>
      </c>
      <c r="Y41" s="2">
        <v>38889460</v>
      </c>
      <c r="Z41" s="2">
        <v>36295465</v>
      </c>
      <c r="AB41" s="2">
        <v>743035</v>
      </c>
    </row>
    <row r="42" spans="1:28" ht="10.9" customHeight="1" x14ac:dyDescent="0.2">
      <c r="A42" s="274" t="s">
        <v>182</v>
      </c>
      <c r="B42" s="2" t="s">
        <v>140</v>
      </c>
      <c r="C42" s="57">
        <v>60000</v>
      </c>
      <c r="D42" s="57">
        <v>0</v>
      </c>
      <c r="E42" s="57">
        <v>0</v>
      </c>
      <c r="F42" s="57">
        <v>0</v>
      </c>
      <c r="G42" s="57">
        <v>0</v>
      </c>
      <c r="H42" s="57">
        <v>0</v>
      </c>
      <c r="I42" s="57">
        <v>0</v>
      </c>
      <c r="J42" s="57">
        <v>0</v>
      </c>
      <c r="K42" s="57">
        <f t="shared" si="0"/>
        <v>60000</v>
      </c>
      <c r="L42" s="57">
        <v>31060</v>
      </c>
      <c r="M42" s="57">
        <v>32271</v>
      </c>
      <c r="N42" s="57">
        <v>0</v>
      </c>
      <c r="O42" s="57">
        <v>5685</v>
      </c>
      <c r="P42" s="584">
        <v>3.54</v>
      </c>
      <c r="Q42" s="57">
        <v>0</v>
      </c>
      <c r="R42" s="57">
        <v>2294381</v>
      </c>
      <c r="S42" s="57">
        <v>146537</v>
      </c>
      <c r="T42" s="57">
        <v>356250</v>
      </c>
      <c r="U42" s="57">
        <v>221865</v>
      </c>
      <c r="W42" s="2">
        <v>421447</v>
      </c>
      <c r="Y42" s="2">
        <v>8857069</v>
      </c>
      <c r="Z42" s="2">
        <v>7821702</v>
      </c>
      <c r="AB42" s="2">
        <v>321088</v>
      </c>
    </row>
    <row r="43" spans="1:28" ht="10.9" customHeight="1" x14ac:dyDescent="0.2">
      <c r="A43" s="274" t="s">
        <v>183</v>
      </c>
      <c r="B43" s="2" t="s">
        <v>141</v>
      </c>
      <c r="C43" s="57">
        <v>29250</v>
      </c>
      <c r="D43" s="57">
        <v>0</v>
      </c>
      <c r="E43" s="57">
        <v>0</v>
      </c>
      <c r="F43" s="57">
        <v>0</v>
      </c>
      <c r="G43" s="57">
        <v>0</v>
      </c>
      <c r="H43" s="57">
        <v>0</v>
      </c>
      <c r="I43" s="57">
        <v>0</v>
      </c>
      <c r="J43" s="57">
        <v>0</v>
      </c>
      <c r="K43" s="57">
        <f>SUM(C43:I43)-J43</f>
        <v>29250</v>
      </c>
      <c r="L43" s="57">
        <v>20184</v>
      </c>
      <c r="M43" s="57">
        <v>0</v>
      </c>
      <c r="N43" s="57">
        <v>0</v>
      </c>
      <c r="O43" s="57">
        <v>7341</v>
      </c>
      <c r="P43" s="584">
        <v>3.5999999999999996</v>
      </c>
      <c r="Q43" s="57">
        <v>0</v>
      </c>
      <c r="R43" s="57">
        <v>1288306</v>
      </c>
      <c r="S43" s="57">
        <v>104652</v>
      </c>
      <c r="T43" s="57">
        <v>210900</v>
      </c>
      <c r="U43" s="57">
        <v>63390</v>
      </c>
      <c r="W43" s="2">
        <v>645598</v>
      </c>
      <c r="Y43" s="2">
        <v>7239208</v>
      </c>
      <c r="Z43" s="2">
        <v>7239208</v>
      </c>
      <c r="AB43" s="2">
        <v>182598</v>
      </c>
    </row>
    <row r="44" spans="1:28" ht="10.9" customHeight="1" x14ac:dyDescent="0.2">
      <c r="A44" s="274" t="s">
        <v>184</v>
      </c>
      <c r="B44" s="2" t="s">
        <v>142</v>
      </c>
      <c r="C44" s="57">
        <v>161088</v>
      </c>
      <c r="D44" s="57">
        <v>0</v>
      </c>
      <c r="E44" s="57">
        <v>0</v>
      </c>
      <c r="F44" s="57">
        <v>0</v>
      </c>
      <c r="G44" s="57">
        <v>0</v>
      </c>
      <c r="H44" s="57">
        <v>0</v>
      </c>
      <c r="I44" s="57">
        <v>3075</v>
      </c>
      <c r="J44" s="57">
        <v>0</v>
      </c>
      <c r="K44" s="57">
        <f>SUM(C44:I44)-J44</f>
        <v>164163</v>
      </c>
      <c r="L44" s="57">
        <v>18532</v>
      </c>
      <c r="M44" s="57">
        <v>0</v>
      </c>
      <c r="N44" s="57">
        <v>0</v>
      </c>
      <c r="O44" s="57">
        <v>0</v>
      </c>
      <c r="P44" s="584">
        <v>3.5999999999999996</v>
      </c>
      <c r="Q44" s="57">
        <v>0</v>
      </c>
      <c r="R44" s="57">
        <v>1557703</v>
      </c>
      <c r="S44" s="57">
        <v>75624</v>
      </c>
      <c r="T44" s="57">
        <v>262200</v>
      </c>
      <c r="U44" s="57">
        <v>84520</v>
      </c>
      <c r="W44" s="2">
        <v>312314</v>
      </c>
      <c r="Y44" s="2">
        <v>3912431</v>
      </c>
      <c r="Z44" s="2">
        <v>3521665</v>
      </c>
      <c r="AB44" s="2">
        <v>180707</v>
      </c>
    </row>
    <row r="45" spans="1:28" ht="10.9" customHeight="1" x14ac:dyDescent="0.2">
      <c r="A45" s="274" t="s">
        <v>185</v>
      </c>
      <c r="B45" s="2" t="s">
        <v>143</v>
      </c>
      <c r="C45" s="57">
        <v>122993</v>
      </c>
      <c r="D45" s="57">
        <v>0</v>
      </c>
      <c r="E45" s="57">
        <v>7000</v>
      </c>
      <c r="F45" s="57">
        <v>0</v>
      </c>
      <c r="G45" s="57">
        <v>-7000</v>
      </c>
      <c r="H45" s="57">
        <v>0</v>
      </c>
      <c r="I45" s="57">
        <v>0</v>
      </c>
      <c r="J45" s="57">
        <v>0</v>
      </c>
      <c r="K45" s="57">
        <f>SUM(C45:I45)-J45</f>
        <v>122993</v>
      </c>
      <c r="L45" s="57">
        <v>24576</v>
      </c>
      <c r="M45" s="57">
        <v>0</v>
      </c>
      <c r="N45" s="57">
        <v>0</v>
      </c>
      <c r="O45" s="57">
        <v>2614</v>
      </c>
      <c r="P45" s="584">
        <v>3.4799999999999995</v>
      </c>
      <c r="Q45" s="57">
        <v>0</v>
      </c>
      <c r="R45" s="57">
        <v>1899858</v>
      </c>
      <c r="S45" s="57">
        <v>151336</v>
      </c>
      <c r="T45" s="57">
        <v>299250</v>
      </c>
      <c r="U45" s="57">
        <v>169040</v>
      </c>
      <c r="W45" s="2">
        <v>354882</v>
      </c>
      <c r="Y45" s="2">
        <v>9154909</v>
      </c>
      <c r="Z45" s="2">
        <v>9154909</v>
      </c>
      <c r="AB45" s="2">
        <v>218993</v>
      </c>
    </row>
    <row r="46" spans="1:28" ht="10.9" customHeight="1" x14ac:dyDescent="0.2">
      <c r="A46" s="274" t="s">
        <v>186</v>
      </c>
      <c r="B46" s="2" t="s">
        <v>144</v>
      </c>
      <c r="C46" s="57">
        <v>1806350</v>
      </c>
      <c r="D46" s="57">
        <v>352917</v>
      </c>
      <c r="E46" s="57">
        <v>0</v>
      </c>
      <c r="F46" s="57">
        <v>0</v>
      </c>
      <c r="G46" s="57">
        <v>4267</v>
      </c>
      <c r="H46" s="57">
        <v>132797</v>
      </c>
      <c r="I46" s="57">
        <v>290</v>
      </c>
      <c r="J46" s="57">
        <v>0</v>
      </c>
      <c r="K46" s="57">
        <f>SUM(C46:I46)-J46</f>
        <v>2296621</v>
      </c>
      <c r="L46" s="57">
        <v>174404</v>
      </c>
      <c r="M46" s="57">
        <v>121706</v>
      </c>
      <c r="N46" s="57">
        <v>0</v>
      </c>
      <c r="O46" s="57">
        <v>290936</v>
      </c>
      <c r="P46" s="584">
        <v>3</v>
      </c>
      <c r="Q46" s="57">
        <v>0</v>
      </c>
      <c r="R46" s="57">
        <v>28499435</v>
      </c>
      <c r="S46" s="57">
        <v>2225228</v>
      </c>
      <c r="T46" s="57">
        <v>7412850</v>
      </c>
      <c r="U46" s="57">
        <v>6869363</v>
      </c>
      <c r="W46" s="2">
        <v>438442</v>
      </c>
      <c r="Y46" s="2">
        <v>193907758</v>
      </c>
      <c r="Z46" s="2">
        <v>185924095</v>
      </c>
      <c r="AB46" s="2">
        <v>5066876</v>
      </c>
    </row>
    <row r="47" spans="1:28" ht="3.95" customHeight="1" x14ac:dyDescent="0.2">
      <c r="A47" s="274"/>
      <c r="P47" s="501"/>
      <c r="AB47"/>
    </row>
    <row r="48" spans="1:28" x14ac:dyDescent="0.2">
      <c r="A48" s="274"/>
      <c r="B48" s="2" t="s">
        <v>145</v>
      </c>
      <c r="C48" s="2">
        <f t="shared" ref="C48" si="1">SUM(C11:C46)</f>
        <v>17466549</v>
      </c>
      <c r="D48" s="2">
        <f t="shared" ref="D48:E48" si="2">SUM(D11:D46)</f>
        <v>1411417</v>
      </c>
      <c r="E48" s="2">
        <f t="shared" si="2"/>
        <v>2069992</v>
      </c>
      <c r="F48" s="2">
        <f t="shared" ref="F48" si="3">SUM(F11:F46)</f>
        <v>60330</v>
      </c>
      <c r="G48" s="2">
        <f t="shared" ref="G48" si="4">SUM(G11:G46)</f>
        <v>49605</v>
      </c>
      <c r="H48" s="2">
        <f t="shared" ref="H48" si="5">SUM(H11:H46)</f>
        <v>768316</v>
      </c>
      <c r="I48" s="2">
        <f t="shared" ref="I48" si="6">SUM(I11:I46)</f>
        <v>119510</v>
      </c>
      <c r="J48" s="2">
        <f t="shared" ref="J48" si="7">SUM(J11:J46)</f>
        <v>0</v>
      </c>
      <c r="K48" s="2">
        <f t="shared" ref="K48:M48" si="8">SUM(K11:K46)</f>
        <v>21945719</v>
      </c>
      <c r="L48" s="2">
        <f t="shared" si="8"/>
        <v>1568138</v>
      </c>
      <c r="M48" s="2">
        <f t="shared" si="8"/>
        <v>4277438</v>
      </c>
      <c r="N48" s="2">
        <f>SUM(N11:N46)</f>
        <v>272570</v>
      </c>
      <c r="O48" s="2">
        <f>SUM(O11:O46)</f>
        <v>1037980</v>
      </c>
      <c r="P48" s="501">
        <f>SUM(P11:P46)</f>
        <v>121.22999999999999</v>
      </c>
      <c r="Q48" s="2">
        <f t="shared" ref="Q48:R48" si="9">SUM(Q11:Q46)</f>
        <v>0</v>
      </c>
      <c r="R48" s="2">
        <f t="shared" si="9"/>
        <v>205788444</v>
      </c>
      <c r="S48" s="2">
        <f t="shared" ref="S48:U48" si="10">SUM(S11:S46)</f>
        <v>14516439</v>
      </c>
      <c r="T48" s="2">
        <f t="shared" si="10"/>
        <v>38743850</v>
      </c>
      <c r="U48" s="2">
        <f t="shared" si="10"/>
        <v>37440242</v>
      </c>
      <c r="W48" s="2">
        <v>455040.37634035602</v>
      </c>
      <c r="Y48" s="2">
        <v>1102281955</v>
      </c>
      <c r="Z48" s="2">
        <v>1048330481</v>
      </c>
      <c r="AB48" s="2">
        <v>29474915</v>
      </c>
    </row>
    <row r="49" spans="1:28" ht="3.95" customHeight="1" x14ac:dyDescent="0.2">
      <c r="A49" s="274"/>
      <c r="B49" s="2" t="s">
        <v>7</v>
      </c>
      <c r="P49" s="501"/>
    </row>
    <row r="50" spans="1:28" ht="10.9" customHeight="1" x14ac:dyDescent="0.2">
      <c r="A50" s="274" t="s">
        <v>188</v>
      </c>
      <c r="B50" s="2" t="s">
        <v>146</v>
      </c>
      <c r="C50" s="57">
        <v>0</v>
      </c>
      <c r="D50" s="57">
        <v>0</v>
      </c>
      <c r="E50" s="57">
        <v>0</v>
      </c>
      <c r="F50" s="57">
        <v>5542</v>
      </c>
      <c r="G50" s="57">
        <v>0</v>
      </c>
      <c r="H50" s="57">
        <v>0</v>
      </c>
      <c r="I50" s="57">
        <v>5850</v>
      </c>
      <c r="J50" s="57">
        <v>0</v>
      </c>
      <c r="K50" s="57">
        <f>SUM(C50:I50)-J50</f>
        <v>11392</v>
      </c>
      <c r="L50" s="57">
        <v>0</v>
      </c>
      <c r="M50" s="57">
        <v>0</v>
      </c>
      <c r="N50" s="57">
        <v>0</v>
      </c>
      <c r="O50" s="57">
        <v>0</v>
      </c>
      <c r="P50" s="584">
        <v>3.5999999999999996</v>
      </c>
      <c r="Q50" s="57">
        <v>0</v>
      </c>
      <c r="R50" s="57">
        <v>173054</v>
      </c>
      <c r="S50" s="57">
        <v>15554</v>
      </c>
      <c r="T50" s="57">
        <v>28500</v>
      </c>
      <c r="U50" s="57">
        <v>27469</v>
      </c>
      <c r="AB50" s="416">
        <v>73056</v>
      </c>
    </row>
    <row r="51" spans="1:28" x14ac:dyDescent="0.2">
      <c r="A51" s="274" t="s">
        <v>187</v>
      </c>
      <c r="B51" s="2" t="s">
        <v>601</v>
      </c>
      <c r="C51" s="57">
        <v>0</v>
      </c>
      <c r="D51" s="57">
        <v>0</v>
      </c>
      <c r="E51" s="57">
        <v>255109</v>
      </c>
      <c r="F51" s="57">
        <v>0</v>
      </c>
      <c r="G51" s="57">
        <v>0</v>
      </c>
      <c r="H51" s="57">
        <v>0</v>
      </c>
      <c r="I51" s="57">
        <v>0</v>
      </c>
      <c r="J51" s="57">
        <v>0</v>
      </c>
      <c r="K51" s="57">
        <f>SUM(C51:I51)-J51</f>
        <v>255109</v>
      </c>
      <c r="L51" s="57">
        <v>0</v>
      </c>
      <c r="M51" s="57">
        <v>0</v>
      </c>
      <c r="N51" s="57">
        <v>0</v>
      </c>
      <c r="O51" s="57">
        <v>0</v>
      </c>
      <c r="P51" s="584">
        <v>3.5700000000000003</v>
      </c>
      <c r="Q51" s="57">
        <v>0</v>
      </c>
      <c r="R51" s="57">
        <v>0</v>
      </c>
      <c r="S51" s="57">
        <v>0</v>
      </c>
      <c r="T51" s="57">
        <v>0</v>
      </c>
      <c r="U51" s="57">
        <v>0</v>
      </c>
    </row>
    <row r="55" spans="1:28" x14ac:dyDescent="0.2">
      <c r="B55" s="554" t="s">
        <v>442</v>
      </c>
      <c r="C55" s="878" t="s">
        <v>444</v>
      </c>
      <c r="D55" s="879"/>
      <c r="E55" s="879"/>
      <c r="F55" s="880"/>
      <c r="G55" s="554" t="s">
        <v>443</v>
      </c>
      <c r="K55" s="57"/>
    </row>
    <row r="56" spans="1:28" x14ac:dyDescent="0.2">
      <c r="B56" s="553">
        <v>18</v>
      </c>
      <c r="C56" s="553">
        <v>0</v>
      </c>
      <c r="D56" s="553">
        <v>0</v>
      </c>
      <c r="E56" s="553"/>
      <c r="F56" s="553"/>
      <c r="G56" s="553">
        <v>100</v>
      </c>
    </row>
    <row r="57" spans="1:28" x14ac:dyDescent="0.2">
      <c r="B57" s="555">
        <f>+B56+1</f>
        <v>19</v>
      </c>
      <c r="C57" s="555">
        <v>0</v>
      </c>
      <c r="D57" s="555">
        <v>0</v>
      </c>
      <c r="E57" s="555">
        <v>0</v>
      </c>
      <c r="F57" s="555"/>
      <c r="G57" s="555">
        <v>100</v>
      </c>
    </row>
    <row r="58" spans="1:28" x14ac:dyDescent="0.2">
      <c r="B58" s="553">
        <f t="shared" ref="B58:B71" si="11">+B57+1</f>
        <v>20</v>
      </c>
      <c r="C58" s="553">
        <v>0</v>
      </c>
      <c r="D58" s="553"/>
      <c r="E58" s="553"/>
      <c r="F58" s="553"/>
      <c r="G58" s="553">
        <v>100</v>
      </c>
    </row>
    <row r="59" spans="1:28" x14ac:dyDescent="0.2">
      <c r="B59" s="555">
        <f t="shared" si="11"/>
        <v>21</v>
      </c>
      <c r="C59" s="555">
        <v>0</v>
      </c>
      <c r="D59" s="555">
        <v>0</v>
      </c>
      <c r="E59" s="555">
        <v>0</v>
      </c>
      <c r="F59" s="555"/>
      <c r="G59" s="555">
        <v>200</v>
      </c>
    </row>
    <row r="60" spans="1:28" x14ac:dyDescent="0.2">
      <c r="B60" s="553">
        <f t="shared" si="11"/>
        <v>22</v>
      </c>
      <c r="C60" s="553">
        <v>0</v>
      </c>
      <c r="D60" s="553">
        <v>0</v>
      </c>
      <c r="E60" s="553">
        <v>0</v>
      </c>
      <c r="F60" s="553"/>
      <c r="G60" s="553">
        <v>200</v>
      </c>
    </row>
    <row r="61" spans="1:28" x14ac:dyDescent="0.2">
      <c r="B61" s="555">
        <f t="shared" si="11"/>
        <v>23</v>
      </c>
      <c r="C61" s="555">
        <v>0</v>
      </c>
      <c r="D61" s="555">
        <v>0</v>
      </c>
      <c r="E61" s="555"/>
      <c r="F61" s="555"/>
      <c r="G61" s="555">
        <v>300</v>
      </c>
    </row>
    <row r="62" spans="1:28" x14ac:dyDescent="0.2">
      <c r="B62" s="553">
        <f t="shared" si="11"/>
        <v>24</v>
      </c>
      <c r="C62" s="553">
        <v>0</v>
      </c>
      <c r="D62" s="553">
        <v>0</v>
      </c>
      <c r="E62" s="553">
        <v>0</v>
      </c>
      <c r="F62" s="553">
        <v>0</v>
      </c>
      <c r="G62" s="553">
        <v>400</v>
      </c>
    </row>
    <row r="63" spans="1:28" x14ac:dyDescent="0.2">
      <c r="B63" s="555">
        <f t="shared" si="11"/>
        <v>25</v>
      </c>
      <c r="C63" s="555">
        <v>0</v>
      </c>
      <c r="D63" s="555">
        <v>0</v>
      </c>
      <c r="E63" s="555">
        <v>0</v>
      </c>
      <c r="F63" s="555"/>
      <c r="G63" s="555">
        <v>500</v>
      </c>
    </row>
    <row r="64" spans="1:28" x14ac:dyDescent="0.2">
      <c r="B64" s="553">
        <f t="shared" si="11"/>
        <v>26</v>
      </c>
      <c r="C64" s="553">
        <v>7547</v>
      </c>
      <c r="D64" s="553"/>
      <c r="E64" s="553"/>
      <c r="F64" s="553"/>
      <c r="G64" s="553">
        <v>500</v>
      </c>
    </row>
    <row r="65" spans="2:7" x14ac:dyDescent="0.2">
      <c r="B65" s="555">
        <f t="shared" si="11"/>
        <v>27</v>
      </c>
      <c r="C65" s="555">
        <v>0</v>
      </c>
      <c r="D65" s="555">
        <v>0</v>
      </c>
      <c r="E65" s="555">
        <v>0</v>
      </c>
      <c r="F65" s="555"/>
      <c r="G65" s="555">
        <v>600</v>
      </c>
    </row>
    <row r="66" spans="2:7" x14ac:dyDescent="0.2">
      <c r="B66" s="553">
        <f t="shared" si="11"/>
        <v>28</v>
      </c>
      <c r="C66" s="553">
        <v>0</v>
      </c>
      <c r="D66" s="553">
        <v>0</v>
      </c>
      <c r="E66" s="553"/>
      <c r="F66" s="553"/>
      <c r="G66" s="553">
        <v>600</v>
      </c>
    </row>
    <row r="67" spans="2:7" x14ac:dyDescent="0.2">
      <c r="B67" s="555">
        <f t="shared" si="11"/>
        <v>29</v>
      </c>
      <c r="C67" s="555">
        <v>0</v>
      </c>
      <c r="D67" s="555">
        <v>0</v>
      </c>
      <c r="E67" s="555">
        <v>0</v>
      </c>
      <c r="F67" s="555"/>
      <c r="G67" s="555">
        <v>700</v>
      </c>
    </row>
    <row r="68" spans="2:7" x14ac:dyDescent="0.2">
      <c r="B68" s="553">
        <f t="shared" si="11"/>
        <v>30</v>
      </c>
      <c r="C68" s="553">
        <v>0</v>
      </c>
      <c r="D68" s="553">
        <v>0</v>
      </c>
      <c r="E68" s="553"/>
      <c r="F68" s="553"/>
      <c r="G68" s="553">
        <v>700</v>
      </c>
    </row>
    <row r="69" spans="2:7" x14ac:dyDescent="0.2">
      <c r="B69" s="555">
        <f t="shared" si="11"/>
        <v>31</v>
      </c>
      <c r="C69" s="555">
        <v>-4067220</v>
      </c>
      <c r="D69" s="555">
        <v>4067220</v>
      </c>
      <c r="E69" s="555">
        <v>0</v>
      </c>
      <c r="F69" s="555"/>
      <c r="G69" s="555">
        <v>800</v>
      </c>
    </row>
    <row r="70" spans="2:7" x14ac:dyDescent="0.2">
      <c r="B70" s="553">
        <f t="shared" si="11"/>
        <v>32</v>
      </c>
      <c r="C70" s="553">
        <v>0</v>
      </c>
      <c r="D70" s="553">
        <v>0</v>
      </c>
      <c r="E70" s="553"/>
      <c r="F70" s="553"/>
      <c r="G70" s="553">
        <v>800</v>
      </c>
    </row>
    <row r="71" spans="2:7" x14ac:dyDescent="0.2">
      <c r="B71" s="555">
        <f t="shared" si="11"/>
        <v>33</v>
      </c>
      <c r="C71" s="555">
        <v>0</v>
      </c>
      <c r="D71" s="555">
        <v>0</v>
      </c>
      <c r="E71" s="555">
        <v>0</v>
      </c>
      <c r="F71" s="555"/>
      <c r="G71" s="555">
        <v>900</v>
      </c>
    </row>
    <row r="72" spans="2:7" x14ac:dyDescent="0.2">
      <c r="B72" s="574" t="s">
        <v>600</v>
      </c>
      <c r="C72" s="574">
        <f>SUM(C56:F71)</f>
        <v>7547</v>
      </c>
    </row>
    <row r="88" spans="2:3" x14ac:dyDescent="0.2">
      <c r="B88" s="2" t="s">
        <v>278</v>
      </c>
    </row>
    <row r="89" spans="2:3" x14ac:dyDescent="0.2">
      <c r="B89" s="274">
        <f>+FALLYR-1</f>
        <v>2017</v>
      </c>
      <c r="C89" s="2" t="s">
        <v>279</v>
      </c>
    </row>
    <row r="90" spans="2:3" x14ac:dyDescent="0.2">
      <c r="B90" s="274"/>
    </row>
    <row r="91" spans="2:3" x14ac:dyDescent="0.2">
      <c r="B91" s="274"/>
    </row>
  </sheetData>
  <sheetProtection algorithmName="SHA-512" hashValue="NnpNzC3VxM1uVB4vdHHuOVltlwGBn4n3tx562utJ7PX4R+ZH9b5/iorsgEZFRf2RxU1L9UYww4yOVwEdRZw+XA==" saltValue="YVf2Fdd3HC4GyFukm/R1xQ==" spinCount="100000" sheet="1" objects="1" scenarios="1"/>
  <mergeCells count="2">
    <mergeCell ref="C55:F55"/>
    <mergeCell ref="N6:N9"/>
  </mergeCells>
  <phoneticPr fontId="6" type="noConversion"/>
  <pageMargins left="0.5" right="0.5" top="0.6" bottom="0.2" header="0.3" footer="0.5"/>
  <pageSetup scale="8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81" r:id="rId4" name="Button 1">
              <controlPr defaultSize="0" print="0" autoFill="0" autoPict="0" macro="[0]!InsertHeader">
                <anchor moveWithCells="1" sizeWithCells="1">
                  <from>
                    <xdr:col>3</xdr:col>
                    <xdr:colOff>514350</xdr:colOff>
                    <xdr:row>1</xdr:row>
                    <xdr:rowOff>76200</xdr:rowOff>
                  </from>
                  <to>
                    <xdr:col>4</xdr:col>
                    <xdr:colOff>581025</xdr:colOff>
                    <xdr:row>3</xdr:row>
                    <xdr:rowOff>47625</xdr:rowOff>
                  </to>
                </anchor>
              </controlPr>
            </control>
          </mc:Choice>
        </mc:AlternateContent>
        <mc:AlternateContent xmlns:mc="http://schemas.openxmlformats.org/markup-compatibility/2006">
          <mc:Choice Requires="x14">
            <control shapeId="225282" r:id="rId5" name="Button 2">
              <controlPr defaultSize="0" print="0" autoFill="0" autoPict="0" macro="[0]!DeleteHeader">
                <anchor moveWithCells="1" sizeWithCells="1">
                  <from>
                    <xdr:col>5</xdr:col>
                    <xdr:colOff>0</xdr:colOff>
                    <xdr:row>1</xdr:row>
                    <xdr:rowOff>85725</xdr:rowOff>
                  </from>
                  <to>
                    <xdr:col>6</xdr:col>
                    <xdr:colOff>95250</xdr:colOff>
                    <xdr:row>3</xdr:row>
                    <xdr:rowOff>47625</xdr:rowOff>
                  </to>
                </anchor>
              </controlPr>
            </control>
          </mc:Choice>
        </mc:AlternateContent>
        <mc:AlternateContent xmlns:mc="http://schemas.openxmlformats.org/markup-compatibility/2006">
          <mc:Choice Requires="x14">
            <control shapeId="225283" r:id="rId6" name="Button 3">
              <controlPr defaultSize="0" print="0" autoFill="0" autoPict="0" macro="[0]!Select_A1_On_Activeworkbook">
                <anchor moveWithCells="1" sizeWithCells="1">
                  <from>
                    <xdr:col>6</xdr:col>
                    <xdr:colOff>609600</xdr:colOff>
                    <xdr:row>1</xdr:row>
                    <xdr:rowOff>66675</xdr:rowOff>
                  </from>
                  <to>
                    <xdr:col>8</xdr:col>
                    <xdr:colOff>66675</xdr:colOff>
                    <xdr:row>3</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D58"/>
  <sheetViews>
    <sheetView showGridLines="0" showZeros="0" workbookViewId="0">
      <pane xSplit="1" ySplit="10" topLeftCell="B29" activePane="bottomRight" state="frozen"/>
      <selection pane="topRight" activeCell="B1" sqref="B1"/>
      <selection pane="bottomLeft" activeCell="A11" sqref="A11"/>
      <selection pane="bottomRight"/>
    </sheetView>
  </sheetViews>
  <sheetFormatPr defaultColWidth="9.33203125" defaultRowHeight="12" x14ac:dyDescent="0.2"/>
  <cols>
    <col min="1" max="1" width="39.83203125" style="2" customWidth="1"/>
    <col min="2" max="3" width="31.83203125" style="2" customWidth="1"/>
    <col min="4" max="4" width="27.33203125" style="2" customWidth="1"/>
    <col min="5" max="16384" width="9.33203125" style="2"/>
  </cols>
  <sheetData>
    <row r="1" spans="1:4" ht="6.95" customHeight="1" x14ac:dyDescent="0.2">
      <c r="A1" s="7"/>
      <c r="B1" s="8"/>
      <c r="C1" s="8"/>
      <c r="D1" s="8"/>
    </row>
    <row r="2" spans="1:4" ht="15.95" customHeight="1" x14ac:dyDescent="0.2">
      <c r="A2" s="63"/>
      <c r="B2" s="9" t="s">
        <v>87</v>
      </c>
      <c r="C2" s="10"/>
      <c r="D2" s="64"/>
    </row>
    <row r="3" spans="1:4" ht="15.95" customHeight="1" x14ac:dyDescent="0.2">
      <c r="A3" s="542"/>
      <c r="B3" s="11" t="str">
        <f>STATDATE</f>
        <v>ACTUAL SEPTEMBER 30, 2018</v>
      </c>
      <c r="C3" s="12"/>
      <c r="D3" s="66"/>
    </row>
    <row r="4" spans="1:4" ht="15.95" customHeight="1" x14ac:dyDescent="0.2">
      <c r="B4" s="8"/>
      <c r="C4" s="8"/>
      <c r="D4" s="8"/>
    </row>
    <row r="5" spans="1:4" ht="15.95" customHeight="1" x14ac:dyDescent="0.2">
      <c r="B5" s="8"/>
      <c r="C5" s="8"/>
      <c r="D5" s="8"/>
    </row>
    <row r="6" spans="1:4" ht="15.95" customHeight="1" x14ac:dyDescent="0.2">
      <c r="B6" s="8"/>
      <c r="C6" s="8"/>
      <c r="D6" s="8"/>
    </row>
    <row r="7" spans="1:4" ht="15.95" customHeight="1" x14ac:dyDescent="0.2">
      <c r="B7" s="300" t="s">
        <v>87</v>
      </c>
      <c r="C7" s="282"/>
      <c r="D7" s="8"/>
    </row>
    <row r="8" spans="1:4" ht="15.95" customHeight="1" x14ac:dyDescent="0.2">
      <c r="A8" s="67"/>
      <c r="B8" s="635" t="s">
        <v>459</v>
      </c>
      <c r="C8" s="68"/>
      <c r="D8" s="69"/>
    </row>
    <row r="9" spans="1:4" ht="15.95" customHeight="1" x14ac:dyDescent="0.2">
      <c r="A9" s="35" t="s">
        <v>42</v>
      </c>
      <c r="B9" s="636"/>
      <c r="C9" s="36" t="s">
        <v>242</v>
      </c>
    </row>
    <row r="10" spans="1:4" ht="5.0999999999999996" customHeight="1" x14ac:dyDescent="0.2">
      <c r="A10" s="6"/>
    </row>
    <row r="11" spans="1:4" ht="14.1" customHeight="1" x14ac:dyDescent="0.2">
      <c r="A11" s="284" t="s">
        <v>110</v>
      </c>
      <c r="B11" s="291">
        <v>16.382036685641999</v>
      </c>
      <c r="C11" s="291">
        <v>13.933292345527205</v>
      </c>
    </row>
    <row r="12" spans="1:4" ht="14.1" customHeight="1" x14ac:dyDescent="0.2">
      <c r="A12" s="19" t="s">
        <v>111</v>
      </c>
      <c r="B12" s="70">
        <v>13.521897810218981</v>
      </c>
      <c r="C12" s="70">
        <v>10.904434235084196</v>
      </c>
    </row>
    <row r="13" spans="1:4" ht="14.1" customHeight="1" x14ac:dyDescent="0.2">
      <c r="A13" s="284" t="s">
        <v>112</v>
      </c>
      <c r="B13" s="291">
        <v>17.004169148302562</v>
      </c>
      <c r="C13" s="291">
        <v>12.819169635106416</v>
      </c>
    </row>
    <row r="14" spans="1:4" ht="14.1" customHeight="1" x14ac:dyDescent="0.2">
      <c r="A14" s="19" t="s">
        <v>359</v>
      </c>
      <c r="B14" s="70">
        <v>14.604199086711395</v>
      </c>
      <c r="C14" s="70">
        <v>11.748758363091573</v>
      </c>
    </row>
    <row r="15" spans="1:4" ht="14.1" customHeight="1" x14ac:dyDescent="0.2">
      <c r="A15" s="284" t="s">
        <v>113</v>
      </c>
      <c r="B15" s="291">
        <v>16.12328767123288</v>
      </c>
      <c r="C15" s="291">
        <v>12.627626285203398</v>
      </c>
    </row>
    <row r="16" spans="1:4" ht="14.1" customHeight="1" x14ac:dyDescent="0.2">
      <c r="A16" s="19" t="s">
        <v>114</v>
      </c>
      <c r="B16" s="70">
        <v>14.638056680161943</v>
      </c>
      <c r="C16" s="70">
        <v>10.956363636363637</v>
      </c>
    </row>
    <row r="17" spans="1:3" ht="14.1" customHeight="1" x14ac:dyDescent="0.2">
      <c r="A17" s="284" t="s">
        <v>115</v>
      </c>
      <c r="B17" s="291">
        <v>14.842725402252913</v>
      </c>
      <c r="C17" s="291">
        <v>12.785357270362626</v>
      </c>
    </row>
    <row r="18" spans="1:3" ht="14.1" customHeight="1" x14ac:dyDescent="0.2">
      <c r="A18" s="19" t="s">
        <v>116</v>
      </c>
      <c r="B18" s="70">
        <v>14.820141676706223</v>
      </c>
      <c r="C18" s="70">
        <v>11.763800127020628</v>
      </c>
    </row>
    <row r="19" spans="1:3" ht="14.1" customHeight="1" x14ac:dyDescent="0.2">
      <c r="A19" s="284" t="s">
        <v>117</v>
      </c>
      <c r="B19" s="291">
        <v>18.036772216547497</v>
      </c>
      <c r="C19" s="291">
        <v>14.531419730735045</v>
      </c>
    </row>
    <row r="20" spans="1:3" ht="14.1" customHeight="1" x14ac:dyDescent="0.2">
      <c r="A20" s="19" t="s">
        <v>118</v>
      </c>
      <c r="B20" s="70">
        <v>17.620953317832228</v>
      </c>
      <c r="C20" s="70">
        <v>14.299580891557957</v>
      </c>
    </row>
    <row r="21" spans="1:3" ht="14.1" customHeight="1" x14ac:dyDescent="0.2">
      <c r="A21" s="284" t="s">
        <v>119</v>
      </c>
      <c r="B21" s="291">
        <v>15.933837959069248</v>
      </c>
      <c r="C21" s="291">
        <v>12.067091295116773</v>
      </c>
    </row>
    <row r="22" spans="1:3" ht="14.1" customHeight="1" x14ac:dyDescent="0.2">
      <c r="A22" s="19" t="s">
        <v>120</v>
      </c>
      <c r="B22" s="70">
        <v>15.876756756756755</v>
      </c>
      <c r="C22" s="70">
        <v>11.829238824003221</v>
      </c>
    </row>
    <row r="23" spans="1:3" ht="14.1" customHeight="1" x14ac:dyDescent="0.2">
      <c r="A23" s="284" t="s">
        <v>121</v>
      </c>
      <c r="B23" s="291">
        <v>15.0234375</v>
      </c>
      <c r="C23" s="291">
        <v>11.514970059880239</v>
      </c>
    </row>
    <row r="24" spans="1:3" ht="14.1" customHeight="1" x14ac:dyDescent="0.2">
      <c r="A24" s="19" t="s">
        <v>122</v>
      </c>
      <c r="B24" s="70">
        <v>15.410865191146881</v>
      </c>
      <c r="C24" s="70">
        <v>11.948829953198128</v>
      </c>
    </row>
    <row r="25" spans="1:3" ht="14.1" customHeight="1" x14ac:dyDescent="0.2">
      <c r="A25" s="284" t="s">
        <v>123</v>
      </c>
      <c r="B25" s="291">
        <v>17.540280282403973</v>
      </c>
      <c r="C25" s="291">
        <v>13.665472910927457</v>
      </c>
    </row>
    <row r="26" spans="1:3" ht="14.1" customHeight="1" x14ac:dyDescent="0.2">
      <c r="A26" s="19" t="s">
        <v>124</v>
      </c>
      <c r="B26" s="70">
        <v>16.430511147124523</v>
      </c>
      <c r="C26" s="70">
        <v>12.811208633584917</v>
      </c>
    </row>
    <row r="27" spans="1:3" ht="14.1" customHeight="1" x14ac:dyDescent="0.2">
      <c r="A27" s="284" t="s">
        <v>125</v>
      </c>
      <c r="B27" s="291">
        <v>15.412417656517455</v>
      </c>
      <c r="C27" s="291">
        <v>12.340047344158812</v>
      </c>
    </row>
    <row r="28" spans="1:3" ht="14.1" customHeight="1" x14ac:dyDescent="0.2">
      <c r="A28" s="19" t="s">
        <v>126</v>
      </c>
      <c r="B28" s="70">
        <v>13.657792567942318</v>
      </c>
      <c r="C28" s="70">
        <v>11.330955941562175</v>
      </c>
    </row>
    <row r="29" spans="1:3" ht="14.1" customHeight="1" x14ac:dyDescent="0.2">
      <c r="A29" s="284" t="s">
        <v>127</v>
      </c>
      <c r="B29" s="291">
        <v>17.986101207068678</v>
      </c>
      <c r="C29" s="291">
        <v>14.326654962305071</v>
      </c>
    </row>
    <row r="30" spans="1:3" ht="14.1" customHeight="1" x14ac:dyDescent="0.2">
      <c r="A30" s="19" t="s">
        <v>128</v>
      </c>
      <c r="B30" s="70">
        <v>12.337270973963356</v>
      </c>
      <c r="C30" s="70">
        <v>10.158808933002481</v>
      </c>
    </row>
    <row r="31" spans="1:3" ht="14.1" customHeight="1" x14ac:dyDescent="0.2">
      <c r="A31" s="284" t="s">
        <v>129</v>
      </c>
      <c r="B31" s="291">
        <v>16.508129358541257</v>
      </c>
      <c r="C31" s="291">
        <v>12.87577620610487</v>
      </c>
    </row>
    <row r="32" spans="1:3" ht="14.1" customHeight="1" x14ac:dyDescent="0.2">
      <c r="A32" s="19" t="s">
        <v>130</v>
      </c>
      <c r="B32" s="70">
        <v>14.504885993485342</v>
      </c>
      <c r="C32" s="70">
        <v>11.740047455839704</v>
      </c>
    </row>
    <row r="33" spans="1:4" ht="14.1" customHeight="1" x14ac:dyDescent="0.2">
      <c r="A33" s="284" t="s">
        <v>131</v>
      </c>
      <c r="B33" s="291">
        <v>15.281083299138285</v>
      </c>
      <c r="C33" s="291">
        <v>12.382938847072339</v>
      </c>
    </row>
    <row r="34" spans="1:4" ht="14.1" customHeight="1" x14ac:dyDescent="0.2">
      <c r="A34" s="19" t="s">
        <v>132</v>
      </c>
      <c r="B34" s="70">
        <v>16.026294528094013</v>
      </c>
      <c r="C34" s="70">
        <v>12.405366990732846</v>
      </c>
    </row>
    <row r="35" spans="1:4" ht="14.1" customHeight="1" x14ac:dyDescent="0.2">
      <c r="A35" s="284" t="s">
        <v>133</v>
      </c>
      <c r="B35" s="291">
        <v>17.80193477610452</v>
      </c>
      <c r="C35" s="291">
        <v>13.977951988584456</v>
      </c>
    </row>
    <row r="36" spans="1:4" ht="14.1" customHeight="1" x14ac:dyDescent="0.2">
      <c r="A36" s="19" t="s">
        <v>134</v>
      </c>
      <c r="B36" s="70">
        <v>15.032679738562091</v>
      </c>
      <c r="C36" s="70">
        <v>12.384745887733274</v>
      </c>
    </row>
    <row r="37" spans="1:4" ht="14.1" customHeight="1" x14ac:dyDescent="0.2">
      <c r="A37" s="284" t="s">
        <v>135</v>
      </c>
      <c r="B37" s="291">
        <v>18.192114093959731</v>
      </c>
      <c r="C37" s="291">
        <v>14.175518875633271</v>
      </c>
    </row>
    <row r="38" spans="1:4" ht="14.1" customHeight="1" x14ac:dyDescent="0.2">
      <c r="A38" s="19" t="s">
        <v>136</v>
      </c>
      <c r="B38" s="70">
        <v>17.009116620531952</v>
      </c>
      <c r="C38" s="70">
        <v>13.755961650768931</v>
      </c>
    </row>
    <row r="39" spans="1:4" ht="14.1" customHeight="1" x14ac:dyDescent="0.2">
      <c r="A39" s="284" t="s">
        <v>137</v>
      </c>
      <c r="B39" s="291">
        <v>13.362375533428164</v>
      </c>
      <c r="C39" s="291">
        <v>11.370857921016794</v>
      </c>
    </row>
    <row r="40" spans="1:4" ht="14.1" customHeight="1" x14ac:dyDescent="0.2">
      <c r="A40" s="19" t="s">
        <v>138</v>
      </c>
      <c r="B40" s="70">
        <v>17.347273342640776</v>
      </c>
      <c r="C40" s="70">
        <v>13.168606985146525</v>
      </c>
    </row>
    <row r="41" spans="1:4" ht="14.1" customHeight="1" x14ac:dyDescent="0.2">
      <c r="A41" s="284" t="s">
        <v>139</v>
      </c>
      <c r="B41" s="291">
        <v>15.36351402643111</v>
      </c>
      <c r="C41" s="291">
        <v>11.820691852284492</v>
      </c>
    </row>
    <row r="42" spans="1:4" ht="14.1" customHeight="1" x14ac:dyDescent="0.2">
      <c r="A42" s="19" t="s">
        <v>140</v>
      </c>
      <c r="B42" s="70">
        <v>15.092794759825328</v>
      </c>
      <c r="C42" s="70">
        <v>12.406892219330523</v>
      </c>
    </row>
    <row r="43" spans="1:4" ht="14.1" customHeight="1" x14ac:dyDescent="0.2">
      <c r="A43" s="284" t="s">
        <v>141</v>
      </c>
      <c r="B43" s="291">
        <v>14.907532701849345</v>
      </c>
      <c r="C43" s="291">
        <v>12.203827927872483</v>
      </c>
    </row>
    <row r="44" spans="1:4" ht="14.1" customHeight="1" x14ac:dyDescent="0.2">
      <c r="A44" s="19" t="s">
        <v>142</v>
      </c>
      <c r="B44" s="70">
        <v>12.456140350877194</v>
      </c>
      <c r="C44" s="70">
        <v>10.773899848254933</v>
      </c>
    </row>
    <row r="45" spans="1:4" ht="14.1" customHeight="1" x14ac:dyDescent="0.2">
      <c r="A45" s="284" t="s">
        <v>143</v>
      </c>
      <c r="B45" s="291">
        <v>16.735727440147329</v>
      </c>
      <c r="C45" s="291">
        <v>13.934677604845509</v>
      </c>
    </row>
    <row r="46" spans="1:4" ht="14.1" customHeight="1" x14ac:dyDescent="0.2">
      <c r="A46" s="19" t="s">
        <v>144</v>
      </c>
      <c r="B46" s="70">
        <v>17.991966658613194</v>
      </c>
      <c r="C46" s="70">
        <v>13.749261474834755</v>
      </c>
    </row>
    <row r="47" spans="1:4" ht="5.0999999999999996" customHeight="1" x14ac:dyDescent="0.2">
      <c r="A47"/>
      <c r="B47"/>
      <c r="C47"/>
      <c r="D47"/>
    </row>
    <row r="48" spans="1:4" ht="14.1" customHeight="1" x14ac:dyDescent="0.2">
      <c r="A48" s="286" t="s">
        <v>145</v>
      </c>
      <c r="B48" s="294">
        <v>16.725552756827696</v>
      </c>
      <c r="C48" s="294">
        <v>13.158668533661633</v>
      </c>
      <c r="D48" s="6"/>
    </row>
    <row r="49" spans="1:4" ht="5.0999999999999996" customHeight="1" x14ac:dyDescent="0.2">
      <c r="A49" s="21" t="s">
        <v>7</v>
      </c>
      <c r="B49" s="71"/>
      <c r="C49" s="71"/>
    </row>
    <row r="50" spans="1:4" ht="14.1" customHeight="1" x14ac:dyDescent="0.2">
      <c r="A50" s="19" t="s">
        <v>146</v>
      </c>
      <c r="B50" s="70">
        <v>10.860409145607701</v>
      </c>
      <c r="C50" s="70">
        <v>9.3766233766233764</v>
      </c>
    </row>
    <row r="51" spans="1:4" ht="14.1" customHeight="1" x14ac:dyDescent="0.2">
      <c r="A51" s="284" t="s">
        <v>601</v>
      </c>
      <c r="B51" s="291">
        <v>35.420974889217135</v>
      </c>
      <c r="C51" s="291">
        <v>27.343215507411628</v>
      </c>
    </row>
    <row r="52" spans="1:4" ht="49.5" customHeight="1" x14ac:dyDescent="0.2">
      <c r="A52" s="23"/>
      <c r="B52" s="23"/>
      <c r="C52" s="23"/>
      <c r="D52" s="23"/>
    </row>
    <row r="53" spans="1:4" ht="19.149999999999999" customHeight="1" x14ac:dyDescent="0.2">
      <c r="A53" s="625" t="s">
        <v>632</v>
      </c>
      <c r="B53" s="625"/>
      <c r="C53" s="625"/>
      <c r="D53" s="625"/>
    </row>
    <row r="54" spans="1:4" ht="12" customHeight="1" x14ac:dyDescent="0.2">
      <c r="A54" s="626"/>
      <c r="B54" s="626"/>
      <c r="C54" s="626"/>
      <c r="D54" s="626"/>
    </row>
    <row r="55" spans="1:4" ht="12" customHeight="1" x14ac:dyDescent="0.2">
      <c r="A55" s="626"/>
      <c r="B55" s="626"/>
      <c r="C55" s="626"/>
      <c r="D55" s="626"/>
    </row>
    <row r="56" spans="1:4" ht="12" customHeight="1" x14ac:dyDescent="0.2">
      <c r="A56" s="626" t="s">
        <v>633</v>
      </c>
      <c r="B56" s="626"/>
      <c r="C56" s="626"/>
      <c r="D56" s="626"/>
    </row>
    <row r="57" spans="1:4" ht="12" customHeight="1" x14ac:dyDescent="0.2">
      <c r="A57" s="626"/>
      <c r="B57" s="626"/>
      <c r="C57" s="626"/>
      <c r="D57" s="626"/>
    </row>
    <row r="58" spans="1:4" x14ac:dyDescent="0.2">
      <c r="A58" s="626"/>
      <c r="B58" s="626"/>
      <c r="C58" s="626"/>
      <c r="D58" s="626"/>
    </row>
  </sheetData>
  <mergeCells count="3">
    <mergeCell ref="B8:B9"/>
    <mergeCell ref="A53:D55"/>
    <mergeCell ref="A56:D58"/>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28"/>
  <sheetViews>
    <sheetView showGridLines="0" showZeros="0" workbookViewId="0"/>
  </sheetViews>
  <sheetFormatPr defaultColWidth="15.83203125" defaultRowHeight="12" x14ac:dyDescent="0.2"/>
  <cols>
    <col min="1" max="1" width="6.5" style="2" customWidth="1"/>
    <col min="2" max="2" width="39.5" style="2" customWidth="1"/>
    <col min="3" max="3" width="16" style="2" customWidth="1"/>
    <col min="4" max="4" width="15.83203125" style="2" customWidth="1"/>
    <col min="5" max="5" width="15.5" style="2" customWidth="1"/>
    <col min="6" max="6" width="17.1640625" style="2" customWidth="1"/>
    <col min="7" max="7" width="14.83203125" style="2" customWidth="1"/>
    <col min="8" max="8" width="15" style="2" customWidth="1"/>
    <col min="9" max="9" width="13.5" style="2" customWidth="1"/>
    <col min="10" max="10" width="3.33203125" style="2" customWidth="1"/>
    <col min="11" max="11" width="17.6640625" style="2" customWidth="1"/>
    <col min="12" max="12" width="6.83203125" style="2" customWidth="1"/>
    <col min="13" max="16384" width="15.83203125" style="2"/>
  </cols>
  <sheetData>
    <row r="2" spans="1:11" x14ac:dyDescent="0.2">
      <c r="A2" s="39"/>
      <c r="B2" s="39"/>
      <c r="C2" s="40" t="str">
        <f>OPYEAR</f>
        <v>OPERATING FUND 2018/2019 ACTUAL</v>
      </c>
      <c r="D2" s="41"/>
      <c r="E2" s="41"/>
      <c r="F2" s="41"/>
      <c r="G2" s="41"/>
      <c r="H2" s="41"/>
      <c r="I2" s="41"/>
      <c r="J2" s="41"/>
      <c r="K2" s="42"/>
    </row>
    <row r="3" spans="1:11" ht="14.25" x14ac:dyDescent="0.2">
      <c r="A3" s="538"/>
    </row>
    <row r="4" spans="1:11" ht="19.5" customHeight="1" x14ac:dyDescent="0.2">
      <c r="C4" s="8"/>
      <c r="D4" s="8"/>
      <c r="E4" s="8"/>
      <c r="F4" s="8"/>
      <c r="G4" s="8"/>
      <c r="H4" s="8"/>
      <c r="I4" s="8"/>
      <c r="J4" s="8"/>
      <c r="K4" s="8"/>
    </row>
    <row r="5" spans="1:11" ht="15.75" x14ac:dyDescent="0.25">
      <c r="C5" s="279" t="s">
        <v>257</v>
      </c>
      <c r="D5" s="43"/>
      <c r="E5" s="43"/>
      <c r="F5" s="43"/>
      <c r="G5" s="43"/>
      <c r="H5" s="43"/>
      <c r="I5" s="43"/>
      <c r="J5" s="43"/>
      <c r="K5" s="8"/>
    </row>
    <row r="6" spans="1:11" ht="16.5" customHeight="1" x14ac:dyDescent="0.2">
      <c r="C6" s="8"/>
      <c r="D6" s="8"/>
      <c r="E6" s="8"/>
      <c r="F6" s="8"/>
      <c r="G6" s="8"/>
      <c r="H6" s="8"/>
      <c r="I6" s="8"/>
      <c r="J6" s="8"/>
      <c r="K6" s="8"/>
    </row>
    <row r="7" spans="1:11" x14ac:dyDescent="0.2">
      <c r="C7" s="8"/>
      <c r="D7" s="8"/>
      <c r="E7" s="8"/>
      <c r="F7" s="8"/>
      <c r="G7" s="8"/>
      <c r="H7" s="8"/>
      <c r="I7" s="8"/>
      <c r="J7" s="8"/>
      <c r="K7" s="8"/>
    </row>
    <row r="8" spans="1:11" x14ac:dyDescent="0.2">
      <c r="C8" s="281" t="s">
        <v>71</v>
      </c>
      <c r="D8" s="301"/>
      <c r="E8" s="301"/>
      <c r="F8" s="301"/>
      <c r="G8" s="301"/>
      <c r="H8" s="301"/>
      <c r="I8" s="301"/>
      <c r="J8" s="302"/>
      <c r="K8" s="8"/>
    </row>
    <row r="9" spans="1:11" x14ac:dyDescent="0.2">
      <c r="C9" s="8"/>
      <c r="D9" s="8"/>
      <c r="E9" s="8"/>
      <c r="F9" s="8"/>
      <c r="G9" s="8"/>
      <c r="H9" s="8"/>
      <c r="I9" s="8"/>
      <c r="J9" s="8"/>
      <c r="K9" s="8"/>
    </row>
    <row r="10" spans="1:11" x14ac:dyDescent="0.2">
      <c r="A10" s="44"/>
      <c r="B10" s="45"/>
      <c r="C10" s="303"/>
      <c r="D10" s="640" t="s">
        <v>460</v>
      </c>
      <c r="E10" s="304"/>
      <c r="F10" s="642" t="s">
        <v>461</v>
      </c>
      <c r="G10" s="643" t="s">
        <v>37</v>
      </c>
      <c r="H10" s="645" t="s">
        <v>462</v>
      </c>
      <c r="I10" s="305"/>
      <c r="J10" s="306"/>
      <c r="K10" s="303"/>
    </row>
    <row r="11" spans="1:11" ht="13.5" customHeight="1" x14ac:dyDescent="0.2">
      <c r="A11" s="637" t="s">
        <v>78</v>
      </c>
      <c r="B11" s="638"/>
      <c r="C11" s="307" t="s">
        <v>72</v>
      </c>
      <c r="D11" s="641"/>
      <c r="E11" s="299" t="s">
        <v>67</v>
      </c>
      <c r="F11" s="641"/>
      <c r="G11" s="644"/>
      <c r="H11" s="646"/>
      <c r="I11" s="298" t="s">
        <v>47</v>
      </c>
      <c r="J11" s="308"/>
      <c r="K11" s="307" t="s">
        <v>73</v>
      </c>
    </row>
    <row r="13" spans="1:11" x14ac:dyDescent="0.2">
      <c r="A13" s="47">
        <v>100</v>
      </c>
      <c r="B13" s="6" t="s">
        <v>26</v>
      </c>
      <c r="C13" s="48">
        <f>'- 12 -'!B21</f>
        <v>1148635425</v>
      </c>
      <c r="D13" s="49">
        <f>'- 12 -'!B22</f>
        <v>69870528</v>
      </c>
      <c r="E13" s="49">
        <f>'- 12 -'!B39</f>
        <v>35752942</v>
      </c>
      <c r="F13" s="49">
        <f>'- 12 -'!B45</f>
        <v>79033239</v>
      </c>
      <c r="G13" s="50"/>
      <c r="H13" s="184"/>
      <c r="I13" s="51"/>
      <c r="J13" s="50"/>
      <c r="K13" s="48">
        <f>SUM(C13:F13)</f>
        <v>1333292134</v>
      </c>
    </row>
    <row r="14" spans="1:11" ht="24" customHeight="1" x14ac:dyDescent="0.2">
      <c r="A14" s="47">
        <v>200</v>
      </c>
      <c r="B14" s="6" t="s">
        <v>260</v>
      </c>
      <c r="C14" s="48">
        <f>'- 12 -'!D21</f>
        <v>388800186</v>
      </c>
      <c r="D14" s="49">
        <f>'- 12 -'!D22</f>
        <v>38247855</v>
      </c>
      <c r="E14" s="49">
        <f>'- 12 -'!D39</f>
        <v>12427097</v>
      </c>
      <c r="F14" s="49">
        <f>'- 12 -'!D45</f>
        <v>5586886</v>
      </c>
      <c r="G14" s="50"/>
      <c r="H14" s="184"/>
      <c r="I14" s="51"/>
      <c r="J14" s="50"/>
      <c r="K14" s="48">
        <f>SUM(C14:F14)</f>
        <v>445062024</v>
      </c>
    </row>
    <row r="15" spans="1:11" ht="24" customHeight="1" x14ac:dyDescent="0.2">
      <c r="A15" s="47">
        <v>300</v>
      </c>
      <c r="B15" s="6" t="s">
        <v>106</v>
      </c>
      <c r="C15" s="48">
        <f>'- 12 -'!F21</f>
        <v>9608399</v>
      </c>
      <c r="D15" s="49">
        <f>'- 12 -'!F22</f>
        <v>650870</v>
      </c>
      <c r="E15" s="49">
        <f>'- 12 -'!F39</f>
        <v>1202223</v>
      </c>
      <c r="F15" s="49">
        <f>'- 12 -'!F45</f>
        <v>502260</v>
      </c>
      <c r="G15" s="50"/>
      <c r="H15" s="184"/>
      <c r="I15" s="51">
        <f>'- 12 -'!F47</f>
        <v>66900</v>
      </c>
      <c r="J15" s="110" t="s">
        <v>96</v>
      </c>
      <c r="K15" s="48">
        <f>SUM(C15:F15,I15)</f>
        <v>12030652</v>
      </c>
    </row>
    <row r="16" spans="1:11" ht="24" customHeight="1" x14ac:dyDescent="0.2">
      <c r="A16" s="47">
        <v>400</v>
      </c>
      <c r="B16" s="6" t="s">
        <v>74</v>
      </c>
      <c r="C16" s="48">
        <f>'- 12 -'!H21</f>
        <v>19034869</v>
      </c>
      <c r="D16" s="49">
        <f>'- 12 -'!H22</f>
        <v>1882077</v>
      </c>
      <c r="E16" s="49">
        <f>'- 12 -'!H39</f>
        <v>2505214</v>
      </c>
      <c r="F16" s="49">
        <f>'- 12 -'!H45</f>
        <v>1799516</v>
      </c>
      <c r="G16" s="50"/>
      <c r="H16" s="184"/>
      <c r="I16" s="51">
        <f>'- 12 -'!H47</f>
        <v>28975</v>
      </c>
      <c r="J16" s="110" t="s">
        <v>96</v>
      </c>
      <c r="K16" s="48">
        <f>SUM(C16:F16,I16)</f>
        <v>25250651</v>
      </c>
    </row>
    <row r="17" spans="1:13" ht="24" customHeight="1" x14ac:dyDescent="0.2">
      <c r="A17" s="47">
        <v>500</v>
      </c>
      <c r="B17" s="6" t="s">
        <v>93</v>
      </c>
      <c r="C17" s="48">
        <f>'- 12 -'!J21</f>
        <v>52855211</v>
      </c>
      <c r="D17" s="49">
        <f>'- 12 -'!J22</f>
        <v>7090100</v>
      </c>
      <c r="E17" s="49">
        <f>'- 12 -'!J39</f>
        <v>19642559</v>
      </c>
      <c r="F17" s="49">
        <f>'- 12 -'!J45</f>
        <v>3346511</v>
      </c>
      <c r="G17" s="50"/>
      <c r="H17" s="184"/>
      <c r="I17" s="51">
        <f>'- 12 -'!J47</f>
        <v>-95875</v>
      </c>
      <c r="J17" s="110" t="s">
        <v>96</v>
      </c>
      <c r="K17" s="48">
        <f>SUM(C17:F17,I17)</f>
        <v>82838506</v>
      </c>
    </row>
    <row r="18" spans="1:13" ht="12" customHeight="1" x14ac:dyDescent="0.2">
      <c r="A18" s="47"/>
      <c r="B18" s="6"/>
      <c r="C18" s="52"/>
      <c r="D18" s="53"/>
      <c r="E18" s="53"/>
      <c r="F18" s="53"/>
      <c r="G18" s="50"/>
      <c r="H18" s="184"/>
      <c r="I18" s="54"/>
      <c r="J18" s="427"/>
      <c r="K18" s="48"/>
    </row>
    <row r="19" spans="1:13" ht="24" customHeight="1" x14ac:dyDescent="0.2">
      <c r="A19" s="55">
        <v>600</v>
      </c>
      <c r="B19" s="56" t="s">
        <v>283</v>
      </c>
      <c r="C19" s="48">
        <f>'- 13 -'!B21</f>
        <v>52999482</v>
      </c>
      <c r="D19" s="49">
        <f>'- 13 -'!B22</f>
        <v>5092866</v>
      </c>
      <c r="E19" s="49">
        <f>'- 13 -'!B39</f>
        <v>14428803</v>
      </c>
      <c r="F19" s="49">
        <f>'- 13 -'!B45</f>
        <v>7717868</v>
      </c>
      <c r="G19" s="50"/>
      <c r="H19" s="184"/>
      <c r="I19" s="51"/>
      <c r="J19" s="427"/>
      <c r="K19" s="48">
        <f>SUM(C19:F19)</f>
        <v>80239019</v>
      </c>
    </row>
    <row r="20" spans="1:13" ht="28.5" customHeight="1" x14ac:dyDescent="0.2">
      <c r="A20" s="47">
        <v>700</v>
      </c>
      <c r="B20" s="6" t="s">
        <v>75</v>
      </c>
      <c r="C20" s="48">
        <f>'- 13 -'!D21</f>
        <v>49253807</v>
      </c>
      <c r="D20" s="49">
        <f>'- 13 -'!D22</f>
        <v>7307471</v>
      </c>
      <c r="E20" s="49">
        <f>'- 13 -'!D39</f>
        <v>29426251</v>
      </c>
      <c r="F20" s="49">
        <f>'- 13 -'!D45</f>
        <v>20301206</v>
      </c>
      <c r="G20" s="50"/>
      <c r="H20" s="184"/>
      <c r="I20" s="51"/>
      <c r="J20" s="427"/>
      <c r="K20" s="48">
        <f>SUM(C20:F20)</f>
        <v>106288735</v>
      </c>
      <c r="L20" s="639" t="s">
        <v>97</v>
      </c>
    </row>
    <row r="21" spans="1:13" ht="24" customHeight="1" x14ac:dyDescent="0.2">
      <c r="A21" s="47">
        <v>800</v>
      </c>
      <c r="B21" s="6" t="s">
        <v>76</v>
      </c>
      <c r="C21" s="48">
        <f>'- 13 -'!F21</f>
        <v>118975534</v>
      </c>
      <c r="D21" s="49">
        <f>'- 13 -'!F22</f>
        <v>19817885</v>
      </c>
      <c r="E21" s="49">
        <f>'- 13 -'!F39</f>
        <v>104428704</v>
      </c>
      <c r="F21" s="49">
        <f>'- 13 -'!F45</f>
        <v>26208113</v>
      </c>
      <c r="G21" s="50"/>
      <c r="H21" s="184"/>
      <c r="I21" s="51">
        <f>'- 13 -'!F47</f>
        <v>0</v>
      </c>
      <c r="J21" s="428"/>
      <c r="K21" s="48">
        <f>SUM(C21:F21,I21)</f>
        <v>269430236</v>
      </c>
      <c r="L21" s="639"/>
    </row>
    <row r="22" spans="1:13" ht="24" customHeight="1" x14ac:dyDescent="0.2">
      <c r="A22" s="47">
        <v>900</v>
      </c>
      <c r="B22" s="6" t="s">
        <v>30</v>
      </c>
      <c r="C22" s="52"/>
      <c r="D22" s="53"/>
      <c r="E22" s="53"/>
      <c r="F22" s="53"/>
      <c r="G22" s="49">
        <v>2982850</v>
      </c>
      <c r="H22" s="49">
        <v>54436</v>
      </c>
      <c r="I22" s="54">
        <v>38735557</v>
      </c>
      <c r="J22" s="428" t="s">
        <v>224</v>
      </c>
      <c r="K22" s="48">
        <f>SUM(G22:I22)</f>
        <v>41772843</v>
      </c>
    </row>
    <row r="23" spans="1:13" x14ac:dyDescent="0.2">
      <c r="A23" s="47"/>
      <c r="B23" s="6"/>
      <c r="C23" s="52"/>
      <c r="D23" s="53"/>
      <c r="E23" s="53"/>
      <c r="F23" s="53"/>
      <c r="G23" s="53"/>
      <c r="H23" s="32"/>
      <c r="I23" s="54"/>
      <c r="J23" s="50"/>
      <c r="K23" s="52"/>
    </row>
    <row r="24" spans="1:13" x14ac:dyDescent="0.2">
      <c r="B24" s="6"/>
      <c r="C24" s="57"/>
      <c r="D24" s="57"/>
      <c r="E24" s="57"/>
      <c r="F24" s="57"/>
      <c r="G24" s="57"/>
      <c r="H24" s="57"/>
      <c r="I24" s="57"/>
      <c r="K24" s="57"/>
    </row>
    <row r="25" spans="1:13" x14ac:dyDescent="0.2">
      <c r="A25" s="58"/>
      <c r="B25" s="59" t="s">
        <v>73</v>
      </c>
      <c r="C25" s="60">
        <f>SUM(C13:C22)</f>
        <v>1840162913</v>
      </c>
      <c r="D25" s="61">
        <f>SUM(D13:D22)</f>
        <v>149959652</v>
      </c>
      <c r="E25" s="61">
        <f>SUM(E13:E22)</f>
        <v>219813793</v>
      </c>
      <c r="F25" s="61">
        <f>SUM(F13:F22)</f>
        <v>144495599</v>
      </c>
      <c r="G25" s="61">
        <f>G22</f>
        <v>2982850</v>
      </c>
      <c r="H25" s="61">
        <f>H22</f>
        <v>54436</v>
      </c>
      <c r="I25" s="430">
        <f>SUM(I13:I22)</f>
        <v>38735557</v>
      </c>
      <c r="J25" s="62"/>
      <c r="K25" s="60">
        <f>SUM(K13:K22)</f>
        <v>2396204800</v>
      </c>
      <c r="M25" s="2">
        <f>K25-'- 3 -'!D48</f>
        <v>0</v>
      </c>
    </row>
    <row r="26" spans="1:13" ht="60" customHeight="1" x14ac:dyDescent="0.2"/>
    <row r="27" spans="1:13" x14ac:dyDescent="0.2">
      <c r="A27" s="109" t="s">
        <v>96</v>
      </c>
      <c r="B27" s="133" t="s">
        <v>392</v>
      </c>
      <c r="C27" s="6"/>
    </row>
    <row r="28" spans="1:13" ht="13.5" customHeight="1" x14ac:dyDescent="0.2">
      <c r="A28" s="429" t="s">
        <v>224</v>
      </c>
      <c r="B28" s="2" t="s">
        <v>277</v>
      </c>
      <c r="C28" s="6"/>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2:L54"/>
  <sheetViews>
    <sheetView showGridLines="0" showZeros="0" workbookViewId="0"/>
  </sheetViews>
  <sheetFormatPr defaultColWidth="15.83203125" defaultRowHeight="12" x14ac:dyDescent="0.2"/>
  <cols>
    <col min="1" max="1" width="49.6640625" style="2" customWidth="1"/>
    <col min="2" max="2" width="15.83203125" style="2" customWidth="1"/>
    <col min="3" max="3" width="8.83203125" style="2" customWidth="1"/>
    <col min="4" max="4" width="15.83203125" style="2" customWidth="1"/>
    <col min="5" max="5" width="8.83203125" style="2" customWidth="1"/>
    <col min="6" max="6" width="15.83203125" style="2" customWidth="1"/>
    <col min="7" max="7" width="8.83203125" style="2" customWidth="1"/>
    <col min="8" max="8" width="15.83203125" style="2" customWidth="1"/>
    <col min="9" max="9" width="8.83203125" style="2" customWidth="1"/>
    <col min="10" max="10" width="15.83203125" style="2" customWidth="1"/>
    <col min="11" max="11" width="8.83203125" style="2" customWidth="1"/>
    <col min="12" max="12" width="5" style="2" customWidth="1"/>
    <col min="13" max="16384" width="15.83203125" style="2"/>
  </cols>
  <sheetData>
    <row r="2" spans="1:11" x14ac:dyDescent="0.2">
      <c r="A2" s="39"/>
      <c r="B2" s="39"/>
      <c r="C2" s="39"/>
      <c r="D2" s="40" t="str">
        <f>OPYEAR</f>
        <v>OPERATING FUND 2018/2019 ACTUAL</v>
      </c>
      <c r="E2" s="40"/>
      <c r="F2" s="40"/>
      <c r="G2" s="40"/>
      <c r="H2" s="41"/>
      <c r="I2" s="41"/>
      <c r="J2" s="42"/>
      <c r="K2" s="111" t="s">
        <v>11</v>
      </c>
    </row>
    <row r="3" spans="1:11" ht="9" customHeight="1" x14ac:dyDescent="0.2">
      <c r="A3" s="538"/>
      <c r="J3" s="80"/>
      <c r="K3" s="80"/>
    </row>
    <row r="4" spans="1:11" ht="15.75" x14ac:dyDescent="0.25">
      <c r="B4" s="280" t="s">
        <v>258</v>
      </c>
      <c r="C4" s="80"/>
      <c r="D4" s="80"/>
      <c r="E4" s="80"/>
      <c r="F4" s="80"/>
      <c r="G4" s="80"/>
      <c r="H4" s="80"/>
      <c r="I4" s="80"/>
      <c r="J4" s="80"/>
      <c r="K4" s="80"/>
    </row>
    <row r="5" spans="1:11" ht="15.75" x14ac:dyDescent="0.25">
      <c r="B5" s="280" t="s">
        <v>259</v>
      </c>
      <c r="C5" s="80"/>
      <c r="D5" s="80"/>
      <c r="E5" s="80"/>
      <c r="F5" s="80"/>
      <c r="G5" s="80"/>
      <c r="H5" s="80"/>
      <c r="I5" s="80"/>
      <c r="J5" s="80"/>
      <c r="K5" s="80"/>
    </row>
    <row r="6" spans="1:11" ht="9" customHeight="1" x14ac:dyDescent="0.2"/>
    <row r="7" spans="1:11" x14ac:dyDescent="0.2">
      <c r="B7" s="112" t="s">
        <v>78</v>
      </c>
      <c r="C7" s="41"/>
      <c r="D7" s="41"/>
      <c r="E7" s="41"/>
      <c r="F7" s="41"/>
      <c r="G7" s="41"/>
      <c r="H7" s="41"/>
      <c r="I7" s="41"/>
      <c r="J7" s="41"/>
      <c r="K7" s="113"/>
    </row>
    <row r="8" spans="1:11" x14ac:dyDescent="0.2">
      <c r="A8" s="8"/>
      <c r="B8" s="649" t="s">
        <v>463</v>
      </c>
      <c r="C8" s="650"/>
      <c r="D8" s="653" t="s">
        <v>260</v>
      </c>
      <c r="E8" s="650"/>
      <c r="F8" s="653" t="s">
        <v>106</v>
      </c>
      <c r="G8" s="650"/>
      <c r="H8" s="649" t="s">
        <v>464</v>
      </c>
      <c r="I8" s="650"/>
      <c r="J8" s="653" t="s">
        <v>93</v>
      </c>
      <c r="K8" s="650"/>
    </row>
    <row r="9" spans="1:11" x14ac:dyDescent="0.2">
      <c r="A9" s="8"/>
      <c r="B9" s="651"/>
      <c r="C9" s="652"/>
      <c r="D9" s="651"/>
      <c r="E9" s="652"/>
      <c r="F9" s="651"/>
      <c r="G9" s="652"/>
      <c r="H9" s="651"/>
      <c r="I9" s="652"/>
      <c r="J9" s="651"/>
      <c r="K9" s="652"/>
    </row>
    <row r="10" spans="1:11" x14ac:dyDescent="0.2">
      <c r="A10" s="114" t="s">
        <v>71</v>
      </c>
      <c r="B10" s="115" t="s">
        <v>43</v>
      </c>
      <c r="C10" s="115" t="s">
        <v>44</v>
      </c>
      <c r="D10" s="115" t="s">
        <v>43</v>
      </c>
      <c r="E10" s="115" t="s">
        <v>44</v>
      </c>
      <c r="F10" s="115" t="s">
        <v>43</v>
      </c>
      <c r="G10" s="115" t="s">
        <v>44</v>
      </c>
      <c r="H10" s="115" t="s">
        <v>43</v>
      </c>
      <c r="I10" s="115" t="s">
        <v>44</v>
      </c>
      <c r="J10" s="115" t="s">
        <v>43</v>
      </c>
      <c r="K10" s="46" t="s">
        <v>44</v>
      </c>
    </row>
    <row r="11" spans="1:11" ht="5.0999999999999996" customHeight="1" x14ac:dyDescent="0.2">
      <c r="A11" s="116"/>
      <c r="B11" s="8"/>
      <c r="C11" s="8"/>
      <c r="D11" s="8"/>
      <c r="E11" s="8"/>
      <c r="F11" s="8"/>
      <c r="G11" s="8"/>
      <c r="H11" s="8"/>
      <c r="I11" s="8"/>
      <c r="J11" s="8"/>
      <c r="K11" s="8"/>
    </row>
    <row r="12" spans="1:11" x14ac:dyDescent="0.2">
      <c r="A12" s="313" t="s">
        <v>72</v>
      </c>
      <c r="B12" s="117"/>
      <c r="C12" s="118"/>
      <c r="D12" s="117"/>
      <c r="E12" s="118"/>
      <c r="F12" s="117"/>
      <c r="G12" s="118"/>
      <c r="H12" s="117"/>
      <c r="I12" s="118"/>
      <c r="J12" s="117"/>
      <c r="K12" s="118"/>
    </row>
    <row r="13" spans="1:11" x14ac:dyDescent="0.2">
      <c r="A13" s="119" t="s">
        <v>190</v>
      </c>
      <c r="B13" s="120"/>
      <c r="C13" s="339"/>
      <c r="D13" s="120"/>
      <c r="E13" s="339"/>
      <c r="F13" s="120"/>
      <c r="G13" s="339"/>
      <c r="H13" s="120"/>
      <c r="I13" s="339"/>
      <c r="J13" s="120">
        <v>4003363</v>
      </c>
      <c r="K13" s="339"/>
    </row>
    <row r="14" spans="1:11" x14ac:dyDescent="0.2">
      <c r="A14" s="119" t="s">
        <v>226</v>
      </c>
      <c r="B14" s="120">
        <v>97130533</v>
      </c>
      <c r="C14" s="339">
        <f>B14/'- 13 -'!$J$53*100</f>
        <v>4.0535155008453367</v>
      </c>
      <c r="D14" s="120">
        <v>7783769</v>
      </c>
      <c r="E14" s="339">
        <f>D14/'- 13 -'!$J$53*100</f>
        <v>0.32483738451738348</v>
      </c>
      <c r="F14" s="120">
        <v>1039748</v>
      </c>
      <c r="G14" s="339">
        <f>F14/'- 13 -'!$J$53*100</f>
        <v>4.3391449679092538E-2</v>
      </c>
      <c r="H14" s="120">
        <v>858670</v>
      </c>
      <c r="I14" s="339">
        <f>H14/'- 13 -'!$J$53*100</f>
        <v>3.5834583087388856E-2</v>
      </c>
      <c r="J14" s="120">
        <v>23246797</v>
      </c>
      <c r="K14" s="339">
        <f>J14/'- 13 -'!$J$53*100</f>
        <v>0.97015067326465587</v>
      </c>
    </row>
    <row r="15" spans="1:11" x14ac:dyDescent="0.2">
      <c r="A15" s="119" t="s">
        <v>191</v>
      </c>
      <c r="B15" s="120">
        <v>969428042</v>
      </c>
      <c r="C15" s="339">
        <f>B15/'- 13 -'!$J$53*100</f>
        <v>40.456810786790847</v>
      </c>
      <c r="D15" s="120">
        <v>166383147</v>
      </c>
      <c r="E15" s="339">
        <f>D15/'- 13 -'!$J$53*100</f>
        <v>6.9436112889849815</v>
      </c>
      <c r="F15" s="120">
        <v>7314736</v>
      </c>
      <c r="G15" s="339">
        <f>F15/'- 13 -'!$J$53*100</f>
        <v>0.30526338984046775</v>
      </c>
      <c r="H15" s="120">
        <v>8229063</v>
      </c>
      <c r="I15" s="339">
        <f>H15/'- 13 -'!$J$53*100</f>
        <v>0.34342068758062749</v>
      </c>
      <c r="J15" s="120"/>
      <c r="K15" s="339">
        <f>J15/'- 13 -'!$J$53*100</f>
        <v>0</v>
      </c>
    </row>
    <row r="16" spans="1:11" x14ac:dyDescent="0.2">
      <c r="A16" s="119" t="s">
        <v>192</v>
      </c>
      <c r="B16" s="120">
        <v>22768570</v>
      </c>
      <c r="C16" s="339">
        <f>B16/'- 13 -'!$J$53*100</f>
        <v>0.95019298851250111</v>
      </c>
      <c r="D16" s="120">
        <v>167850428</v>
      </c>
      <c r="E16" s="339">
        <f>D16/'- 13 -'!$J$53*100</f>
        <v>7.0048448279546056</v>
      </c>
      <c r="F16" s="120">
        <v>352041</v>
      </c>
      <c r="G16" s="339">
        <f>F16/'- 13 -'!$J$53*100</f>
        <v>1.4691607328388626E-2</v>
      </c>
      <c r="H16" s="120">
        <v>6021590</v>
      </c>
      <c r="I16" s="339">
        <f>H16/'- 13 -'!$J$53*100</f>
        <v>0.25129696760477233</v>
      </c>
      <c r="J16" s="120"/>
      <c r="K16" s="339">
        <f>J16/'- 13 -'!$J$53*100</f>
        <v>0</v>
      </c>
    </row>
    <row r="17" spans="1:12" x14ac:dyDescent="0.2">
      <c r="A17" s="119" t="s">
        <v>193</v>
      </c>
      <c r="B17" s="120">
        <v>6989876</v>
      </c>
      <c r="C17" s="339">
        <f>B17/'- 13 -'!$J$53*100</f>
        <v>0.29170611794117096</v>
      </c>
      <c r="D17" s="120">
        <v>2097824</v>
      </c>
      <c r="E17" s="339">
        <f>D17/'- 13 -'!$J$53*100</f>
        <v>8.7547775549068271E-2</v>
      </c>
      <c r="F17" s="120">
        <v>277381</v>
      </c>
      <c r="G17" s="339">
        <f>F17/'- 13 -'!$J$53*100</f>
        <v>1.1575846939293337E-2</v>
      </c>
      <c r="H17" s="120">
        <v>2454985</v>
      </c>
      <c r="I17" s="339">
        <f>H17/'- 13 -'!$J$53*100</f>
        <v>0.1024530540962108</v>
      </c>
      <c r="J17" s="120">
        <v>6521446</v>
      </c>
      <c r="K17" s="339">
        <f>J17/'- 13 -'!$J$53*100</f>
        <v>0.27215728805818268</v>
      </c>
    </row>
    <row r="18" spans="1:12" x14ac:dyDescent="0.2">
      <c r="A18" s="121" t="s">
        <v>194</v>
      </c>
      <c r="B18" s="120">
        <v>38792799</v>
      </c>
      <c r="C18" s="339">
        <f>B18/'- 13 -'!$J$53*100</f>
        <v>1.618926687735539</v>
      </c>
      <c r="D18" s="120">
        <v>2747575</v>
      </c>
      <c r="E18" s="339">
        <f>D18/'- 13 -'!$J$53*100</f>
        <v>0.11466361306011906</v>
      </c>
      <c r="F18" s="120">
        <v>624493</v>
      </c>
      <c r="G18" s="339">
        <f>F18/'- 13 -'!$J$53*100</f>
        <v>2.6061753986971397E-2</v>
      </c>
      <c r="H18" s="120">
        <v>699785</v>
      </c>
      <c r="I18" s="339">
        <f>H18/'- 13 -'!$J$53*100</f>
        <v>2.9203889417131625E-2</v>
      </c>
      <c r="J18" s="120">
        <v>16633084</v>
      </c>
      <c r="K18" s="339">
        <f>J18/'- 13 -'!$J$53*100</f>
        <v>0.69414283787429187</v>
      </c>
    </row>
    <row r="19" spans="1:12" x14ac:dyDescent="0.2">
      <c r="A19" s="121" t="s">
        <v>195</v>
      </c>
      <c r="B19" s="120"/>
      <c r="C19" s="340"/>
      <c r="D19" s="122">
        <v>41738684</v>
      </c>
      <c r="E19" s="340">
        <f>D19/'- 13 -'!$J$53*100</f>
        <v>1.7418663045829805</v>
      </c>
      <c r="F19" s="122"/>
      <c r="G19" s="340"/>
      <c r="H19" s="122">
        <v>724847</v>
      </c>
      <c r="I19" s="340"/>
      <c r="J19" s="122"/>
      <c r="K19" s="340"/>
    </row>
    <row r="20" spans="1:12" x14ac:dyDescent="0.2">
      <c r="A20" s="124" t="s">
        <v>196</v>
      </c>
      <c r="B20" s="123">
        <v>13525605</v>
      </c>
      <c r="C20" s="340">
        <f>B20/'- 13 -'!$J$53*100</f>
        <v>0.56445947358088921</v>
      </c>
      <c r="D20" s="123">
        <v>198759</v>
      </c>
      <c r="E20" s="340">
        <f>D20/'- 13 -'!$J$53*100</f>
        <v>8.2947417516232337E-3</v>
      </c>
      <c r="F20" s="123">
        <v>0</v>
      </c>
      <c r="G20" s="340">
        <f>F20/'- 13 -'!$J$53*100</f>
        <v>0</v>
      </c>
      <c r="H20" s="123">
        <v>45929</v>
      </c>
      <c r="I20" s="340">
        <f>H20/'- 13 -'!$J$53*100</f>
        <v>1.9167393371384617E-3</v>
      </c>
      <c r="J20" s="123">
        <v>2450521</v>
      </c>
      <c r="K20" s="340">
        <f>J20/'- 13 -'!$J$53*100</f>
        <v>0.10226675950235974</v>
      </c>
    </row>
    <row r="21" spans="1:12" ht="12.75" customHeight="1" x14ac:dyDescent="0.2">
      <c r="A21" s="125" t="s">
        <v>197</v>
      </c>
      <c r="B21" s="342">
        <f>SUM(B13:B20)</f>
        <v>1148635425</v>
      </c>
      <c r="C21" s="343">
        <f>B21/'- 13 -'!$J$53*100</f>
        <v>47.935611555406282</v>
      </c>
      <c r="D21" s="342">
        <f>SUM(D13:D20)</f>
        <v>388800186</v>
      </c>
      <c r="E21" s="343">
        <f>D21/'- 13 -'!$J$53*100</f>
        <v>16.225665936400762</v>
      </c>
      <c r="F21" s="342">
        <f>SUM(F13:F20)</f>
        <v>9608399</v>
      </c>
      <c r="G21" s="343">
        <f>F21/'- 13 -'!$J$53*100</f>
        <v>0.40098404777421365</v>
      </c>
      <c r="H21" s="342">
        <f>SUM(H13:H20)</f>
        <v>19034869</v>
      </c>
      <c r="I21" s="343">
        <f>H21/'- 13 -'!$J$53*100</f>
        <v>0.79437571446313771</v>
      </c>
      <c r="J21" s="342">
        <f>SUM(J13:J20)</f>
        <v>52855211</v>
      </c>
      <c r="K21" s="343">
        <f>J21/'- 13 -'!$J$53*100</f>
        <v>2.2057885452862793</v>
      </c>
    </row>
    <row r="22" spans="1:12" x14ac:dyDescent="0.2">
      <c r="A22" s="313" t="s">
        <v>80</v>
      </c>
      <c r="B22" s="342">
        <v>69870528</v>
      </c>
      <c r="C22" s="343">
        <f>B22/'- 13 -'!$J$53*100</f>
        <v>2.9158829829570494</v>
      </c>
      <c r="D22" s="342">
        <v>38247855</v>
      </c>
      <c r="E22" s="343">
        <f>D22/'- 13 -'!$J$53*100</f>
        <v>1.5961847251119772</v>
      </c>
      <c r="F22" s="342">
        <v>650870</v>
      </c>
      <c r="G22" s="343">
        <f>F22/'- 13 -'!$J$53*100</f>
        <v>2.7162536357493317E-2</v>
      </c>
      <c r="H22" s="342">
        <v>1882077</v>
      </c>
      <c r="I22" s="343">
        <f>H22/'- 13 -'!$J$53*100</f>
        <v>7.8544079370845094E-2</v>
      </c>
      <c r="J22" s="342">
        <v>7090100</v>
      </c>
      <c r="K22" s="343">
        <f>J22/'- 13 -'!$J$53*100</f>
        <v>0.29588873204827898</v>
      </c>
    </row>
    <row r="23" spans="1:12" x14ac:dyDescent="0.2">
      <c r="A23" s="313" t="s">
        <v>67</v>
      </c>
      <c r="B23" s="128"/>
      <c r="C23" s="341"/>
      <c r="D23" s="128"/>
      <c r="E23" s="341"/>
      <c r="F23" s="128"/>
      <c r="G23" s="341"/>
      <c r="H23" s="128"/>
      <c r="I23" s="341"/>
      <c r="J23" s="128"/>
      <c r="K23" s="341"/>
    </row>
    <row r="24" spans="1:12" x14ac:dyDescent="0.2">
      <c r="A24" s="121" t="s">
        <v>198</v>
      </c>
      <c r="B24" s="120">
        <v>5529808</v>
      </c>
      <c r="C24" s="339">
        <f>B24/'- 13 -'!$J$53*100</f>
        <v>0.23077359664749861</v>
      </c>
      <c r="D24" s="120">
        <v>7609866</v>
      </c>
      <c r="E24" s="339">
        <f>D24/'- 13 -'!$J$53*100</f>
        <v>0.3175799497605547</v>
      </c>
      <c r="F24" s="120">
        <v>80903</v>
      </c>
      <c r="G24" s="339">
        <f>F24/'- 13 -'!$J$53*100</f>
        <v>3.3762973849313718E-3</v>
      </c>
      <c r="H24" s="120">
        <v>1253891</v>
      </c>
      <c r="I24" s="339">
        <f>H24/'- 13 -'!$J$53*100</f>
        <v>5.2328206670815454E-2</v>
      </c>
      <c r="J24" s="120">
        <v>7177780</v>
      </c>
      <c r="K24" s="339">
        <f>J24/'- 13 -'!$J$53*100</f>
        <v>0.29954785166943992</v>
      </c>
    </row>
    <row r="25" spans="1:12" x14ac:dyDescent="0.2">
      <c r="A25" s="121" t="s">
        <v>199</v>
      </c>
      <c r="B25" s="122">
        <v>4069703</v>
      </c>
      <c r="C25" s="340">
        <f>B25/'- 13 -'!$J$53*100</f>
        <v>0.16983953124540943</v>
      </c>
      <c r="D25" s="122">
        <v>349236</v>
      </c>
      <c r="E25" s="340">
        <f>D25/'- 13 -'!$J$53*100</f>
        <v>1.4574547217333011E-2</v>
      </c>
      <c r="F25" s="122">
        <v>71611</v>
      </c>
      <c r="G25" s="340">
        <f>F25/'- 13 -'!$J$53*100</f>
        <v>2.9885175090209317E-3</v>
      </c>
      <c r="H25" s="122">
        <v>47450</v>
      </c>
      <c r="I25" s="340">
        <f>H25/'- 13 -'!$J$53*100</f>
        <v>1.9802147128659452E-3</v>
      </c>
      <c r="J25" s="122">
        <v>1131563</v>
      </c>
      <c r="K25" s="340">
        <f>J25/'- 13 -'!$J$53*100</f>
        <v>4.722313384899321E-2</v>
      </c>
    </row>
    <row r="26" spans="1:12" x14ac:dyDescent="0.2">
      <c r="A26" s="121" t="s">
        <v>200</v>
      </c>
      <c r="B26" s="122"/>
      <c r="C26" s="340">
        <f>B26/'- 13 -'!$J$53*100</f>
        <v>0</v>
      </c>
      <c r="D26" s="122"/>
      <c r="E26" s="340">
        <f>D26/'- 13 -'!$J$53*100</f>
        <v>0</v>
      </c>
      <c r="F26" s="122">
        <v>56425</v>
      </c>
      <c r="G26" s="340">
        <f>F26/'- 13 -'!$J$53*100</f>
        <v>2.3547653355840033E-3</v>
      </c>
      <c r="H26" s="122"/>
      <c r="I26" s="340">
        <f>H26/'- 13 -'!$J$53*100</f>
        <v>0</v>
      </c>
      <c r="J26" s="122"/>
      <c r="K26" s="340">
        <f>J26/'- 13 -'!$J$53*100</f>
        <v>0</v>
      </c>
    </row>
    <row r="27" spans="1:12" ht="19.5" customHeight="1" x14ac:dyDescent="0.2">
      <c r="A27" s="121" t="s">
        <v>222</v>
      </c>
      <c r="B27" s="122">
        <v>3121248</v>
      </c>
      <c r="C27" s="340">
        <f>B27/'- 13 -'!$J$53*100</f>
        <v>0.13025798128774302</v>
      </c>
      <c r="D27" s="122">
        <v>2594544</v>
      </c>
      <c r="E27" s="340">
        <f>D27/'- 13 -'!$J$53*100</f>
        <v>0.10827722238099181</v>
      </c>
      <c r="F27" s="122">
        <v>86549</v>
      </c>
      <c r="G27" s="340">
        <f>F27/'- 13 -'!$J$53*100</f>
        <v>3.6119199827994671E-3</v>
      </c>
      <c r="H27" s="122">
        <v>192988</v>
      </c>
      <c r="I27" s="340">
        <f>H27/'- 13 -'!$J$53*100</f>
        <v>8.0539025712660275E-3</v>
      </c>
      <c r="J27" s="122">
        <v>2289258</v>
      </c>
      <c r="K27" s="340">
        <f>J27/'- 13 -'!$J$53*100</f>
        <v>9.5536825566829686E-2</v>
      </c>
      <c r="L27" s="647" t="s">
        <v>108</v>
      </c>
    </row>
    <row r="28" spans="1:12" ht="12.75" customHeight="1" x14ac:dyDescent="0.2">
      <c r="A28" s="121" t="s">
        <v>201</v>
      </c>
      <c r="B28" s="122"/>
      <c r="C28" s="340">
        <f>B28/'- 13 -'!$J$53*100</f>
        <v>0</v>
      </c>
      <c r="D28" s="122"/>
      <c r="E28" s="340">
        <f>D28/'- 13 -'!$J$53*100</f>
        <v>0</v>
      </c>
      <c r="F28" s="122"/>
      <c r="G28" s="340">
        <f>F28/'- 13 -'!$J$53*100</f>
        <v>0</v>
      </c>
      <c r="H28" s="122"/>
      <c r="I28" s="340">
        <f>H28/'- 13 -'!$J$53*100</f>
        <v>0</v>
      </c>
      <c r="J28" s="122"/>
      <c r="K28" s="340">
        <f>J28/'- 13 -'!$J$53*100</f>
        <v>0</v>
      </c>
      <c r="L28" s="648"/>
    </row>
    <row r="29" spans="1:12" ht="12.75" customHeight="1" x14ac:dyDescent="0.2">
      <c r="A29" s="121" t="s">
        <v>202</v>
      </c>
      <c r="B29" s="122">
        <v>1072542</v>
      </c>
      <c r="C29" s="340">
        <f>B29/'- 13 -'!$J$53*100</f>
        <v>4.4760030528275381E-2</v>
      </c>
      <c r="D29" s="122">
        <v>878838</v>
      </c>
      <c r="E29" s="340">
        <f>D29/'- 13 -'!$J$53*100</f>
        <v>3.6676247372511732E-2</v>
      </c>
      <c r="F29" s="122">
        <v>1036</v>
      </c>
      <c r="G29" s="340">
        <f>F29/'- 13 -'!$J$53*100</f>
        <v>4.3235035669739083E-5</v>
      </c>
      <c r="H29" s="122"/>
      <c r="I29" s="340">
        <f>H29/'- 13 -'!$J$53*100</f>
        <v>0</v>
      </c>
      <c r="J29" s="122"/>
      <c r="K29" s="340">
        <f>J29/'- 13 -'!$J$53*100</f>
        <v>0</v>
      </c>
      <c r="L29" s="648"/>
    </row>
    <row r="30" spans="1:12" ht="12.75" customHeight="1" x14ac:dyDescent="0.2">
      <c r="A30" s="121" t="s">
        <v>203</v>
      </c>
      <c r="B30" s="122">
        <v>211361</v>
      </c>
      <c r="C30" s="340">
        <f>B30/'- 13 -'!$J$53*100</f>
        <v>8.8206567318452923E-3</v>
      </c>
      <c r="D30" s="122">
        <v>21081</v>
      </c>
      <c r="E30" s="340">
        <f>D30/'- 13 -'!$J$53*100</f>
        <v>8.797662036233296E-4</v>
      </c>
      <c r="F30" s="122">
        <v>4774</v>
      </c>
      <c r="G30" s="340">
        <f>F30/'- 13 -'!$J$53*100</f>
        <v>1.9923171842406795E-4</v>
      </c>
      <c r="H30" s="122">
        <v>46223</v>
      </c>
      <c r="I30" s="340">
        <f>H30/'- 13 -'!$J$53*100</f>
        <v>1.9290087391528469E-3</v>
      </c>
      <c r="J30" s="122">
        <v>144151</v>
      </c>
      <c r="K30" s="340">
        <f>J30/'- 13 -'!$J$53*100</f>
        <v>6.0158046591009253E-3</v>
      </c>
    </row>
    <row r="31" spans="1:12" x14ac:dyDescent="0.2">
      <c r="A31" s="121" t="s">
        <v>204</v>
      </c>
      <c r="B31" s="122">
        <v>168661</v>
      </c>
      <c r="C31" s="340">
        <f>B31/'- 13 -'!$J$53*100</f>
        <v>7.0386721535655051E-3</v>
      </c>
      <c r="D31" s="122">
        <v>29705</v>
      </c>
      <c r="E31" s="340">
        <f>D31/'- 13 -'!$J$53*100</f>
        <v>1.2396686627119684E-3</v>
      </c>
      <c r="F31" s="122">
        <v>2232</v>
      </c>
      <c r="G31" s="340">
        <f>F31/'- 13 -'!$J$53*100</f>
        <v>9.3147296925538255E-5</v>
      </c>
      <c r="H31" s="122">
        <v>1510</v>
      </c>
      <c r="I31" s="340">
        <f>H31/'- 13 -'!$J$53*100</f>
        <v>6.301631646844209E-5</v>
      </c>
      <c r="J31" s="122">
        <v>1730895</v>
      </c>
      <c r="K31" s="340">
        <f>J31/'- 13 -'!$J$53*100</f>
        <v>7.2234852379896741E-2</v>
      </c>
    </row>
    <row r="32" spans="1:12" x14ac:dyDescent="0.2">
      <c r="A32" s="121" t="s">
        <v>205</v>
      </c>
      <c r="B32" s="122">
        <v>2721578</v>
      </c>
      <c r="C32" s="340">
        <f>B32/'- 13 -'!$J$53*100</f>
        <v>0.11357868910036403</v>
      </c>
      <c r="D32" s="122">
        <v>101691</v>
      </c>
      <c r="E32" s="340">
        <f>D32/'- 13 -'!$J$53*100</f>
        <v>4.2438359192002286E-3</v>
      </c>
      <c r="F32" s="122">
        <v>79009</v>
      </c>
      <c r="G32" s="340">
        <f>F32/'- 13 -'!$J$53*100</f>
        <v>3.297255727056385E-3</v>
      </c>
      <c r="H32" s="122">
        <v>44102</v>
      </c>
      <c r="I32" s="340">
        <f>H32/'- 13 -'!$J$53*100</f>
        <v>1.8404937674776378E-3</v>
      </c>
      <c r="J32" s="122">
        <v>188759</v>
      </c>
      <c r="K32" s="340">
        <f>J32/'- 13 -'!$J$53*100</f>
        <v>7.8774151524944776E-3</v>
      </c>
    </row>
    <row r="33" spans="1:11" x14ac:dyDescent="0.2">
      <c r="A33" s="121" t="s">
        <v>206</v>
      </c>
      <c r="B33" s="122">
        <v>3543394</v>
      </c>
      <c r="C33" s="340">
        <f>B33/'- 13 -'!$J$53*100</f>
        <v>0.14787525673932378</v>
      </c>
      <c r="D33" s="122">
        <v>237453</v>
      </c>
      <c r="E33" s="340">
        <f>D33/'- 13 -'!$J$53*100</f>
        <v>9.9095452942920409E-3</v>
      </c>
      <c r="F33" s="122">
        <v>709089</v>
      </c>
      <c r="G33" s="340">
        <f>F33/'- 13 -'!$J$53*100</f>
        <v>2.9592170084961015E-2</v>
      </c>
      <c r="H33" s="122">
        <v>754666</v>
      </c>
      <c r="I33" s="340">
        <f>H33/'- 13 -'!$J$53*100</f>
        <v>3.1494219525810149E-2</v>
      </c>
      <c r="J33" s="122">
        <v>-384190</v>
      </c>
      <c r="K33" s="340">
        <f>J33/'- 13 -'!$J$53*100</f>
        <v>-1.603327061192766E-2</v>
      </c>
    </row>
    <row r="34" spans="1:11" x14ac:dyDescent="0.2">
      <c r="A34" s="392" t="s">
        <v>247</v>
      </c>
      <c r="B34" s="122"/>
      <c r="C34" s="340">
        <f>B34/'- 13 -'!$J$53*100</f>
        <v>0</v>
      </c>
      <c r="D34" s="122"/>
      <c r="E34" s="340">
        <f>D34/'- 13 -'!$J$53*100</f>
        <v>0</v>
      </c>
      <c r="F34" s="122">
        <v>21764</v>
      </c>
      <c r="G34" s="340">
        <f>F34/'- 13 -'!$J$53*100</f>
        <v>9.0826961034382362E-4</v>
      </c>
      <c r="H34" s="122"/>
      <c r="I34" s="340">
        <f>H34/'- 13 -'!$J$53*100</f>
        <v>0</v>
      </c>
      <c r="J34" s="122"/>
      <c r="K34" s="340">
        <f>J34/'- 13 -'!$J$53*100</f>
        <v>0</v>
      </c>
    </row>
    <row r="35" spans="1:11" x14ac:dyDescent="0.2">
      <c r="A35" s="121" t="s">
        <v>207</v>
      </c>
      <c r="B35" s="122">
        <v>343059</v>
      </c>
      <c r="C35" s="340">
        <f>B35/'- 13 -'!$J$53*100</f>
        <v>1.4316764577051179E-2</v>
      </c>
      <c r="D35" s="122">
        <v>32178</v>
      </c>
      <c r="E35" s="340">
        <f>D35/'- 13 -'!$J$53*100</f>
        <v>1.3428735306765098E-3</v>
      </c>
      <c r="F35" s="122">
        <v>30527</v>
      </c>
      <c r="G35" s="340">
        <f>F35/'- 13 -'!$J$53*100</f>
        <v>1.2739729091603522E-3</v>
      </c>
      <c r="H35" s="122">
        <v>82499</v>
      </c>
      <c r="I35" s="340">
        <f>H35/'- 13 -'!$J$53*100</f>
        <v>3.4429027101523205E-3</v>
      </c>
      <c r="J35" s="122">
        <v>677730</v>
      </c>
      <c r="K35" s="340">
        <f>J35/'- 13 -'!$J$53*100</f>
        <v>2.8283475602753152E-2</v>
      </c>
    </row>
    <row r="36" spans="1:11" x14ac:dyDescent="0.2">
      <c r="A36" s="121" t="s">
        <v>208</v>
      </c>
      <c r="B36" s="122">
        <v>1124001</v>
      </c>
      <c r="C36" s="340">
        <f>B36/'- 13 -'!$J$53*100</f>
        <v>4.6907551474732044E-2</v>
      </c>
      <c r="D36" s="122">
        <v>100059</v>
      </c>
      <c r="E36" s="340">
        <f>D36/'- 13 -'!$J$53*100</f>
        <v>4.175728218222415E-3</v>
      </c>
      <c r="F36" s="122">
        <v>170</v>
      </c>
      <c r="G36" s="340">
        <f>F36/'- 13 -'!$J$53*100</f>
        <v>7.0945521851888463E-6</v>
      </c>
      <c r="H36" s="122">
        <v>24430</v>
      </c>
      <c r="I36" s="340">
        <f>H36/'- 13 -'!$J$53*100</f>
        <v>1.01952888167155E-3</v>
      </c>
      <c r="J36" s="122">
        <v>2786983</v>
      </c>
      <c r="K36" s="340">
        <f>J36/'- 13 -'!$J$53*100</f>
        <v>0.11630821372196566</v>
      </c>
    </row>
    <row r="37" spans="1:11" x14ac:dyDescent="0.2">
      <c r="A37" s="126" t="s">
        <v>209</v>
      </c>
      <c r="B37" s="122">
        <v>360347</v>
      </c>
      <c r="C37" s="340">
        <f>B37/'- 13 -'!$J$53*100</f>
        <v>1.503823880162497E-2</v>
      </c>
      <c r="D37" s="122">
        <v>272855</v>
      </c>
      <c r="E37" s="340">
        <f>D37/'- 13 -'!$J$53*100</f>
        <v>1.138696492052766E-2</v>
      </c>
      <c r="F37" s="122">
        <v>34844</v>
      </c>
      <c r="G37" s="340">
        <f>F37/'- 13 -'!$J$53*100</f>
        <v>1.4541328020042361E-3</v>
      </c>
      <c r="H37" s="122">
        <v>44747</v>
      </c>
      <c r="I37" s="340">
        <f>H37/'- 13 -'!$J$53*100</f>
        <v>1.8674113331214426E-3</v>
      </c>
      <c r="J37" s="122">
        <v>1286751</v>
      </c>
      <c r="K37" s="340">
        <f>J37/'- 13 -'!$J$53*100</f>
        <v>5.3699541875552544E-2</v>
      </c>
    </row>
    <row r="38" spans="1:11" x14ac:dyDescent="0.2">
      <c r="A38" s="127" t="s">
        <v>210</v>
      </c>
      <c r="B38" s="122">
        <v>13487240</v>
      </c>
      <c r="C38" s="340">
        <f>B38/'- 13 -'!$J$53*100</f>
        <v>0.56285840008333177</v>
      </c>
      <c r="D38" s="122">
        <v>199591</v>
      </c>
      <c r="E38" s="340">
        <f>D38/'- 13 -'!$J$53*100</f>
        <v>8.3294633246707456E-3</v>
      </c>
      <c r="F38" s="122">
        <v>23290</v>
      </c>
      <c r="G38" s="340">
        <f>F38/'- 13 -'!$J$53*100</f>
        <v>9.7195364937087175E-4</v>
      </c>
      <c r="H38" s="122">
        <v>12708</v>
      </c>
      <c r="I38" s="340">
        <f>H38/'- 13 -'!$J$53*100</f>
        <v>5.3033864217282261E-4</v>
      </c>
      <c r="J38" s="122">
        <v>2612879</v>
      </c>
      <c r="K38" s="340">
        <f>J38/'- 13 -'!$J$53*100</f>
        <v>0.10904239070049439</v>
      </c>
    </row>
    <row r="39" spans="1:11" x14ac:dyDescent="0.2">
      <c r="A39" s="125" t="s">
        <v>211</v>
      </c>
      <c r="B39" s="342">
        <f>SUM(B24:B38)</f>
        <v>35752942</v>
      </c>
      <c r="C39" s="343">
        <f>B39/'- 13 -'!$J$53*100</f>
        <v>1.4920653693707648</v>
      </c>
      <c r="D39" s="342">
        <f>SUM(D24:D38)</f>
        <v>12427097</v>
      </c>
      <c r="E39" s="343">
        <f>D39/'- 13 -'!$J$53*100</f>
        <v>0.51861581280531621</v>
      </c>
      <c r="F39" s="342">
        <f>SUM(F24:F38)</f>
        <v>1202223</v>
      </c>
      <c r="G39" s="343">
        <f>F39/'- 13 -'!$J$53*100</f>
        <v>5.0171963598436994E-2</v>
      </c>
      <c r="H39" s="342">
        <f>SUM(H24:H38)</f>
        <v>2505214</v>
      </c>
      <c r="I39" s="343">
        <f>H39/'- 13 -'!$J$53*100</f>
        <v>0.10454924387097464</v>
      </c>
      <c r="J39" s="342">
        <f>SUM(J24:J38)</f>
        <v>19642559</v>
      </c>
      <c r="K39" s="343">
        <f>J39/'- 13 -'!$J$53*100</f>
        <v>0.81973623456559308</v>
      </c>
    </row>
    <row r="40" spans="1:11" x14ac:dyDescent="0.2">
      <c r="A40" s="314" t="s">
        <v>212</v>
      </c>
      <c r="B40" s="128"/>
      <c r="C40" s="341"/>
      <c r="D40" s="128"/>
      <c r="E40" s="341"/>
      <c r="F40" s="128"/>
      <c r="G40" s="341"/>
      <c r="H40" s="128"/>
      <c r="I40" s="341"/>
      <c r="J40" s="128"/>
      <c r="K40" s="341"/>
    </row>
    <row r="41" spans="1:11" x14ac:dyDescent="0.2">
      <c r="A41" s="121" t="s">
        <v>213</v>
      </c>
      <c r="B41" s="122">
        <v>34354431</v>
      </c>
      <c r="C41" s="340">
        <f>B41/'- 13 -'!$J$53*100</f>
        <v>1.4337017854233496</v>
      </c>
      <c r="D41" s="122">
        <v>3005455</v>
      </c>
      <c r="E41" s="340">
        <f>D41/'- 13 -'!$J$53*100</f>
        <v>0.12542563139845142</v>
      </c>
      <c r="F41" s="122">
        <v>239607</v>
      </c>
      <c r="G41" s="340">
        <f>F41/'- 13 -'!$J$53*100</f>
        <v>9.9994374437443745E-3</v>
      </c>
      <c r="H41" s="122">
        <v>1634766</v>
      </c>
      <c r="I41" s="340">
        <f>H41/'- 13 -'!$J$53*100</f>
        <v>6.8223133515131928E-2</v>
      </c>
      <c r="J41" s="122">
        <v>1821358</v>
      </c>
      <c r="K41" s="340">
        <f>J41/'- 13 -'!$J$53*100</f>
        <v>7.601011399359521E-2</v>
      </c>
    </row>
    <row r="42" spans="1:11" x14ac:dyDescent="0.2">
      <c r="A42" s="121" t="s">
        <v>214</v>
      </c>
      <c r="B42" s="122">
        <v>9454644</v>
      </c>
      <c r="C42" s="340">
        <f>B42/'- 13 -'!$J$53*100</f>
        <v>0.39456744264930943</v>
      </c>
      <c r="D42" s="122">
        <v>723673</v>
      </c>
      <c r="E42" s="340">
        <f>D42/'- 13 -'!$J$53*100</f>
        <v>3.0200799197130396E-2</v>
      </c>
      <c r="F42" s="122">
        <v>60621</v>
      </c>
      <c r="G42" s="340">
        <f>F42/'- 13 -'!$J$53*100</f>
        <v>2.5298755765784291E-3</v>
      </c>
      <c r="H42" s="122">
        <v>114974</v>
      </c>
      <c r="I42" s="340">
        <f>H42/'- 13 -'!$J$53*100</f>
        <v>4.7981708408229547E-3</v>
      </c>
      <c r="J42" s="122">
        <v>68558</v>
      </c>
      <c r="K42" s="340">
        <f>J42/'- 13 -'!$J$53*100</f>
        <v>2.8611076983069226E-3</v>
      </c>
    </row>
    <row r="43" spans="1:11" x14ac:dyDescent="0.2">
      <c r="A43" s="121" t="s">
        <v>215</v>
      </c>
      <c r="B43" s="122">
        <v>11586134</v>
      </c>
      <c r="C43" s="340">
        <f>B43/'- 13 -'!$J$53*100</f>
        <v>0.48352018992700457</v>
      </c>
      <c r="D43" s="122">
        <v>908367</v>
      </c>
      <c r="E43" s="340">
        <f>D43/'- 13 -'!$J$53*100</f>
        <v>3.7908571087079034E-2</v>
      </c>
      <c r="F43" s="122">
        <v>127990</v>
      </c>
      <c r="G43" s="340">
        <f>F43/'- 13 -'!$J$53*100</f>
        <v>5.3413631422489427E-3</v>
      </c>
      <c r="H43" s="122">
        <v>41698</v>
      </c>
      <c r="I43" s="340">
        <f>H43/'- 13 -'!$J$53*100</f>
        <v>1.7401684530470851E-3</v>
      </c>
      <c r="J43" s="122">
        <v>424411</v>
      </c>
      <c r="K43" s="340">
        <f>J43/'- 13 -'!$J$53*100</f>
        <v>1.7711799926283432E-2</v>
      </c>
    </row>
    <row r="44" spans="1:11" x14ac:dyDescent="0.2">
      <c r="A44" s="127" t="s">
        <v>216</v>
      </c>
      <c r="B44" s="122">
        <v>23638030</v>
      </c>
      <c r="C44" s="340">
        <f>B44/'- 13 -'!$J$53*100</f>
        <v>0.98647786700034978</v>
      </c>
      <c r="D44" s="122">
        <v>949391</v>
      </c>
      <c r="E44" s="340">
        <f>D44/'- 13 -'!$J$53*100</f>
        <v>3.9620611727344837E-2</v>
      </c>
      <c r="F44" s="122">
        <v>74042</v>
      </c>
      <c r="G44" s="340">
        <f>F44/'- 13 -'!$J$53*100</f>
        <v>3.0899696052691327E-3</v>
      </c>
      <c r="H44" s="122">
        <v>8078</v>
      </c>
      <c r="I44" s="340">
        <f>H44/'- 13 -'!$J$53*100</f>
        <v>3.3711642677620882E-4</v>
      </c>
      <c r="J44" s="122">
        <v>1032184</v>
      </c>
      <c r="K44" s="340">
        <f>J44/'- 13 -'!$J$53*100</f>
        <v>4.307578383951155E-2</v>
      </c>
    </row>
    <row r="45" spans="1:11" x14ac:dyDescent="0.2">
      <c r="A45" s="125" t="s">
        <v>217</v>
      </c>
      <c r="B45" s="342">
        <f>SUM(B41:B44)</f>
        <v>79033239</v>
      </c>
      <c r="C45" s="343">
        <f>B45/'- 13 -'!$J$53*100</f>
        <v>3.298267285000013</v>
      </c>
      <c r="D45" s="342">
        <f>SUM(D41:D44)</f>
        <v>5586886</v>
      </c>
      <c r="E45" s="343">
        <f>D45/'- 13 -'!$J$53*100</f>
        <v>0.23315561341000568</v>
      </c>
      <c r="F45" s="342">
        <f>SUM(F41:F44)</f>
        <v>502260</v>
      </c>
      <c r="G45" s="343">
        <f>F45/'- 13 -'!$J$53*100</f>
        <v>2.0960645767840881E-2</v>
      </c>
      <c r="H45" s="342">
        <f>SUM(H41:H44)</f>
        <v>1799516</v>
      </c>
      <c r="I45" s="343">
        <f>H45/'- 13 -'!$J$53*100</f>
        <v>7.5098589235778182E-2</v>
      </c>
      <c r="J45" s="342">
        <f>SUM(J41:J44)</f>
        <v>3346511</v>
      </c>
      <c r="K45" s="343">
        <f>J45/'- 13 -'!$J$53*100</f>
        <v>0.1396588054576971</v>
      </c>
    </row>
    <row r="46" spans="1:11" x14ac:dyDescent="0.2">
      <c r="A46" s="313" t="s">
        <v>47</v>
      </c>
      <c r="B46" s="128"/>
      <c r="C46" s="341"/>
      <c r="D46" s="128"/>
      <c r="E46" s="341"/>
      <c r="F46" s="128"/>
      <c r="G46" s="341"/>
      <c r="H46" s="128"/>
      <c r="I46" s="341"/>
      <c r="J46" s="128"/>
      <c r="K46" s="341"/>
    </row>
    <row r="47" spans="1:11" ht="14.25" x14ac:dyDescent="0.2">
      <c r="A47" s="127" t="s">
        <v>243</v>
      </c>
      <c r="B47" s="122"/>
      <c r="C47" s="340"/>
      <c r="D47" s="122"/>
      <c r="E47" s="340"/>
      <c r="F47" s="122">
        <v>66900</v>
      </c>
      <c r="G47" s="340"/>
      <c r="H47" s="122">
        <v>28975</v>
      </c>
      <c r="I47" s="340"/>
      <c r="J47" s="122">
        <v>-95875</v>
      </c>
      <c r="K47" s="340"/>
    </row>
    <row r="48" spans="1:11" x14ac:dyDescent="0.2">
      <c r="A48" s="125" t="s">
        <v>220</v>
      </c>
      <c r="B48" s="342"/>
      <c r="C48" s="343"/>
      <c r="D48" s="342"/>
      <c r="E48" s="343"/>
      <c r="F48" s="342">
        <f>F47</f>
        <v>66900</v>
      </c>
      <c r="G48" s="343"/>
      <c r="H48" s="342">
        <f>H47</f>
        <v>28975</v>
      </c>
      <c r="I48" s="343"/>
      <c r="J48" s="342">
        <f>J47</f>
        <v>-95875</v>
      </c>
      <c r="K48" s="343"/>
    </row>
    <row r="49" spans="1:11" ht="5.0999999999999996" customHeight="1" x14ac:dyDescent="0.2">
      <c r="A49" s="23"/>
      <c r="B49" s="32"/>
      <c r="C49" s="129"/>
      <c r="D49" s="57"/>
      <c r="E49" s="129"/>
      <c r="F49" s="57"/>
      <c r="G49" s="129"/>
      <c r="H49" s="57"/>
      <c r="I49" s="129"/>
      <c r="J49" s="57"/>
      <c r="K49" s="129"/>
    </row>
    <row r="50" spans="1:11" x14ac:dyDescent="0.2">
      <c r="A50" s="315" t="s">
        <v>221</v>
      </c>
      <c r="B50" s="344">
        <f>SUM(B48,B45,B39,B22,B21)</f>
        <v>1333292134</v>
      </c>
      <c r="C50" s="345">
        <f>B50/'- 13 -'!$J$53*100</f>
        <v>55.641827192734105</v>
      </c>
      <c r="D50" s="344">
        <f>SUM(D48,D45,D39,D22,D21)</f>
        <v>445062024</v>
      </c>
      <c r="E50" s="345">
        <f>D50/'- 13 -'!$J$53*100</f>
        <v>18.573622087728062</v>
      </c>
      <c r="F50" s="344">
        <f>SUM(F48,F45,F39,F22,F21)</f>
        <v>12030652</v>
      </c>
      <c r="G50" s="345">
        <f>F50/'- 13 -'!$J$53*100</f>
        <v>0.50207110844615621</v>
      </c>
      <c r="H50" s="344">
        <f>SUM(H48,H45,H39,H22,H21)</f>
        <v>25250651</v>
      </c>
      <c r="I50" s="345">
        <f>H50/'- 13 -'!$J$53*100</f>
        <v>1.0537768307617112</v>
      </c>
      <c r="J50" s="344">
        <f>SUM(J48,J45,J39,J22,J21)</f>
        <v>82838506</v>
      </c>
      <c r="K50" s="345">
        <f>J50/'- 13 -'!$J$53*100</f>
        <v>3.4570711985887015</v>
      </c>
    </row>
    <row r="51" spans="1:11" ht="15.95" customHeight="1" x14ac:dyDescent="0.2">
      <c r="A51" s="414" t="s">
        <v>393</v>
      </c>
    </row>
    <row r="52" spans="1:11" x14ac:dyDescent="0.2">
      <c r="A52" s="132"/>
      <c r="B52" s="2">
        <f>+B50-'- 15 -'!B48</f>
        <v>0</v>
      </c>
      <c r="D52" s="2">
        <f>+D50-'- 15 -'!E48</f>
        <v>0</v>
      </c>
      <c r="F52" s="2">
        <f>+F50-'- 15 -'!H48</f>
        <v>0</v>
      </c>
      <c r="H52" s="2">
        <f>H50-'- 16 -'!B48</f>
        <v>0</v>
      </c>
      <c r="J52" s="2">
        <f>+J50-'- 16 -'!D48</f>
        <v>0</v>
      </c>
    </row>
    <row r="54" spans="1:11" x14ac:dyDescent="0.2">
      <c r="F54" s="2">
        <f>+F50-'- 15 -'!H48</f>
        <v>0</v>
      </c>
      <c r="J54" s="2">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69</vt:i4>
      </vt:variant>
    </vt:vector>
  </HeadingPairs>
  <TitlesOfParts>
    <vt:vector size="129"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README!Print_Area</vt:lpstr>
      <vt:lpstr>REVYEAR</vt:lpstr>
      <vt:lpstr>SPRINGYR</vt:lpstr>
      <vt:lpstr>STATDATE</vt:lpstr>
      <vt:lpstr>TAXYEAR</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Barker, Jordan (MET)</cp:lastModifiedBy>
  <cp:lastPrinted>2021-06-29T10:43:48Z</cp:lastPrinted>
  <dcterms:created xsi:type="dcterms:W3CDTF">1999-01-19T20:49:35Z</dcterms:created>
  <dcterms:modified xsi:type="dcterms:W3CDTF">2021-06-29T19:01:03Z</dcterms:modified>
</cp:coreProperties>
</file>