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Edusfb\Frame\REPORTS\Internet Versions\"/>
    </mc:Choice>
  </mc:AlternateContent>
  <bookViews>
    <workbookView xWindow="-15" yWindow="-15" windowWidth="15480" windowHeight="5160" tabRatio="865"/>
  </bookViews>
  <sheets>
    <sheet name="README" sheetId="91" r:id="rId1"/>
    <sheet name="- 3 -" sheetId="5" r:id="rId2"/>
    <sheet name="- 4 -" sheetId="6" r:id="rId3"/>
    <sheet name="- 6 -" sheetId="14" r:id="rId4"/>
    <sheet name="- 7 -" sheetId="15" r:id="rId5"/>
    <sheet name="- 8 -" sheetId="16" r:id="rId6"/>
    <sheet name="- 9 -" sheetId="17" r:id="rId7"/>
    <sheet name="- 10 -" sheetId="21" r:id="rId8"/>
    <sheet name="- 12 -" sheetId="22" r:id="rId9"/>
    <sheet name="- 13 -" sheetId="23" r:id="rId10"/>
    <sheet name="- 15 -" sheetId="18" r:id="rId11"/>
    <sheet name="- 16 -" sheetId="19" r:id="rId12"/>
    <sheet name="- 17 -" sheetId="20" r:id="rId13"/>
    <sheet name="- 18 -" sheetId="8" r:id="rId14"/>
    <sheet name="- 19 -" sheetId="9" r:id="rId15"/>
    <sheet name="- 20 -" sheetId="7" r:id="rId16"/>
    <sheet name="- 21 -" sheetId="10" r:id="rId17"/>
    <sheet name="- 22 -" sheetId="11" r:id="rId18"/>
    <sheet name="- 23 -" sheetId="82" r:id="rId19"/>
    <sheet name="- 24 -" sheetId="25" r:id="rId20"/>
    <sheet name="- 25 -" sheetId="26" r:id="rId21"/>
    <sheet name="- 26 -" sheetId="27" r:id="rId22"/>
    <sheet name="- 27 -" sheetId="28" r:id="rId23"/>
    <sheet name="- 28 -" sheetId="29" r:id="rId24"/>
    <sheet name="- 29 -" sheetId="34" r:id="rId25"/>
    <sheet name="- 30 -" sheetId="35" r:id="rId26"/>
    <sheet name="- 31 -" sheetId="36" r:id="rId27"/>
    <sheet name="- 32 -" sheetId="37" r:id="rId28"/>
    <sheet name="- 33 -" sheetId="38" r:id="rId29"/>
    <sheet name="- 34 -" sheetId="39" r:id="rId30"/>
    <sheet name="- 35 -" sheetId="40" r:id="rId31"/>
    <sheet name="- 36 -" sheetId="41" r:id="rId32"/>
    <sheet name="- 37 -" sheetId="54" r:id="rId33"/>
    <sheet name="- 38 -" sheetId="76" r:id="rId34"/>
    <sheet name="- 40 -" sheetId="42" r:id="rId35"/>
    <sheet name="- 41 -" sheetId="43" r:id="rId36"/>
    <sheet name="- 42 -" sheetId="44" r:id="rId37"/>
    <sheet name="- 43 -" sheetId="45" r:id="rId38"/>
    <sheet name="- 44 -" sheetId="33" r:id="rId39"/>
    <sheet name="- 45 -" sheetId="48" r:id="rId40"/>
    <sheet name="- 47 -" sheetId="49" r:id="rId41"/>
    <sheet name="- 48 - " sheetId="88" r:id="rId42"/>
    <sheet name="- 50 -" sheetId="50" r:id="rId43"/>
    <sheet name="- 51 -" sheetId="51" r:id="rId44"/>
    <sheet name="- 52 -" sheetId="81" r:id="rId45"/>
    <sheet name="- 53 -" sheetId="47" r:id="rId46"/>
    <sheet name="- 54 -" sheetId="46" r:id="rId47"/>
    <sheet name="- 55 -" sheetId="52" r:id="rId48"/>
    <sheet name="- 56 -" sheetId="84" r:id="rId49"/>
    <sheet name="- 57 -" sheetId="85" r:id="rId50"/>
    <sheet name="- 58 -" sheetId="89" r:id="rId51"/>
    <sheet name="- 59 -" sheetId="90" r:id="rId52"/>
    <sheet name="- 60 -" sheetId="78" r:id="rId53"/>
    <sheet name="Data" sheetId="2" state="hidden" r:id="rId54"/>
  </sheets>
  <externalReferences>
    <externalReference r:id="rId55"/>
    <externalReference r:id="rId56"/>
    <externalReference r:id="rId57"/>
    <externalReference r:id="rId58"/>
    <externalReference r:id="rId59"/>
  </externalReferences>
  <definedNames>
    <definedName name="_Fill" localSheetId="50" hidden="1">#REF!</definedName>
    <definedName name="_Fill" localSheetId="0" hidden="1">#REF!</definedName>
    <definedName name="_Fill" hidden="1">#REF!</definedName>
    <definedName name="_Order1" hidden="1">0</definedName>
    <definedName name="AEXP_BF" localSheetId="0">'[1]- 15 -'!$B$2</definedName>
    <definedName name="AEXP_BF">'- 15 -'!$B$2</definedName>
    <definedName name="AEXP_BP" localSheetId="0">'[1]- 18 -'!$B$2</definedName>
    <definedName name="AEXP_BP">'- 18 -'!$B$2</definedName>
    <definedName name="capyear" localSheetId="0">#REF!</definedName>
    <definedName name="capyear">#REF!</definedName>
    <definedName name="DATE_ENTRY" localSheetId="0">#REF!</definedName>
    <definedName name="DATE_ENTRY">#REF!</definedName>
    <definedName name="DIV">[2]Data!$A$9:$A$696</definedName>
    <definedName name="DIVNUM">[3]DATA!$B$1</definedName>
    <definedName name="HTML_CodePage" hidden="1">1252</definedName>
    <definedName name="HTML_Control" localSheetId="18" hidden="1">{"'- 4 -'!$A$1:$G$76","'-3 -'!$A$1:$G$77"}</definedName>
    <definedName name="HTML_Control" localSheetId="41" hidden="1">{"'- 4 -'!$A$1:$G$76","'-3 -'!$A$1:$G$77"}</definedName>
    <definedName name="HTML_Control" localSheetId="44" hidden="1">{"'- 4 -'!$A$1:$G$76","'-3 -'!$A$1:$G$77"}</definedName>
    <definedName name="HTML_Control" localSheetId="48" hidden="1">{"'- 4 -'!$A$1:$G$76","'-3 -'!$A$1:$G$77"}</definedName>
    <definedName name="HTML_Control" localSheetId="49" hidden="1">{"'- 4 -'!$A$1:$G$76","'-3 -'!$A$1:$G$77"}</definedName>
    <definedName name="HTML_Control" localSheetId="52"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Lang" localSheetId="0">[1]Data!$V$4</definedName>
    <definedName name="Lang">Data!$Y$4</definedName>
    <definedName name="LIST">[3]DATA!$D$1:$D$39</definedName>
    <definedName name="LOADED1" localSheetId="0">#REF!</definedName>
    <definedName name="LOADED1">#REF!</definedName>
    <definedName name="LOADED2" localSheetId="0">#REF!</definedName>
    <definedName name="LOADED2">#REF!</definedName>
    <definedName name="LOADED3" localSheetId="0">#REF!</definedName>
    <definedName name="LOADED3">#REF!</definedName>
    <definedName name="NOW" localSheetId="0">#REF!</definedName>
    <definedName name="NOW">#REF!</definedName>
    <definedName name="OD_FINISH" localSheetId="0">#REF!</definedName>
    <definedName name="OD_FINISH">#REF!</definedName>
    <definedName name="OD_FIRST" localSheetId="0">#REF!</definedName>
    <definedName name="OD_FIRST">#REF!</definedName>
    <definedName name="OD_LAST" localSheetId="0">#REF!</definedName>
    <definedName name="OD_LAST">#REF!</definedName>
    <definedName name="OD_START" localSheetId="0">#REF!</definedName>
    <definedName name="OD_START">#REF!</definedName>
    <definedName name="ONE_AM" localSheetId="0">#REF!</definedName>
    <definedName name="ONE_AM">#REF!</definedName>
    <definedName name="ONE_PM" localSheetId="0">#REF!</definedName>
    <definedName name="ONE_PM">#REF!</definedName>
    <definedName name="OPYEAR" localSheetId="0">'[4]- 3 -'!$A$3</definedName>
    <definedName name="OPYEAR">'- 3 -'!$A$3</definedName>
    <definedName name="_xlnm.Print_Area" localSheetId="7">'- 10 -'!$A$1:$L$34</definedName>
    <definedName name="_xlnm.Print_Area" localSheetId="8">'- 12 -'!$A$2:$L$53</definedName>
    <definedName name="_xlnm.Print_Area" localSheetId="9">'- 13 -'!$A$2:$L$55</definedName>
    <definedName name="_xlnm.Print_Area" localSheetId="10">'- 15 -'!$A$1:$I$59</definedName>
    <definedName name="_xlnm.Print_Area" localSheetId="11">'- 16 -'!$A$1:$I$59</definedName>
    <definedName name="_xlnm.Print_Area" localSheetId="12">'- 17 -'!$A$1:$J$59</definedName>
    <definedName name="_xlnm.Print_Area" localSheetId="13">'- 18 -'!$A$1:$G$59</definedName>
    <definedName name="_xlnm.Print_Area" localSheetId="14">'- 19 -'!$A$1:$J$59</definedName>
    <definedName name="_xlnm.Print_Area" localSheetId="15">'- 20 -'!$A$1:$I$59</definedName>
    <definedName name="_xlnm.Print_Area" localSheetId="16">'- 21 -'!$A$1:$I$59</definedName>
    <definedName name="_xlnm.Print_Area" localSheetId="17">'- 22 -'!$A$1:$J$58</definedName>
    <definedName name="_xlnm.Print_Area" localSheetId="18">'- 23 -'!$A$1:$F$59</definedName>
    <definedName name="_xlnm.Print_Area" localSheetId="19">'- 24 -'!$A$1:$I$59</definedName>
    <definedName name="_xlnm.Print_Area" localSheetId="20">'- 25 -'!$A$1:$J$59</definedName>
    <definedName name="_xlnm.Print_Area" localSheetId="21">'- 26 -'!$A$1:$E$59</definedName>
    <definedName name="_xlnm.Print_Area" localSheetId="22">'- 27 -'!$A$1:$J$59</definedName>
    <definedName name="_xlnm.Print_Area" localSheetId="23">'- 28 -'!$A$1:$G$59</definedName>
    <definedName name="_xlnm.Print_Area" localSheetId="24">'- 29 -'!$A$1:$G$59</definedName>
    <definedName name="_xlnm.Print_Area" localSheetId="1">'- 3 -'!$A$1:$F$59</definedName>
    <definedName name="_xlnm.Print_Area" localSheetId="25">'- 30 -'!$A$1:$F$59</definedName>
    <definedName name="_xlnm.Print_Area" localSheetId="26">'- 31 -'!$A$1:$G$59</definedName>
    <definedName name="_xlnm.Print_Area" localSheetId="27">'- 32 -'!$A$1:$F$59</definedName>
    <definedName name="_xlnm.Print_Area" localSheetId="28">'- 33 -'!$A$1:$F$59</definedName>
    <definedName name="_xlnm.Print_Area" localSheetId="29">'- 34 -'!$A$1:$H$59</definedName>
    <definedName name="_xlnm.Print_Area" localSheetId="30">'- 35 -'!$A$1:$E$59</definedName>
    <definedName name="_xlnm.Print_Area" localSheetId="31">'- 36 -'!$A$1:$G$59</definedName>
    <definedName name="_xlnm.Print_Area" localSheetId="32">'- 37 -'!$A$1:$J$59</definedName>
    <definedName name="_xlnm.Print_Area" localSheetId="33">'- 38 -'!$A$1:$H$58</definedName>
    <definedName name="_xlnm.Print_Area" localSheetId="2">'- 4 -'!$A$1:$E$59</definedName>
    <definedName name="_xlnm.Print_Area" localSheetId="34">'- 40 -'!$A$1:$H$59</definedName>
    <definedName name="_xlnm.Print_Area" localSheetId="35">'- 41 -'!$A$1:$I$62</definedName>
    <definedName name="_xlnm.Print_Area" localSheetId="36">'- 42 -'!$A$1:$I$59</definedName>
    <definedName name="_xlnm.Print_Area" localSheetId="37">'- 43 -'!$A$1:$I$59</definedName>
    <definedName name="_xlnm.Print_Area" localSheetId="38">'- 44 -'!$A$1:$C$60</definedName>
    <definedName name="_xlnm.Print_Area" localSheetId="39">'- 45 -'!$A$1:$D$58</definedName>
    <definedName name="_xlnm.Print_Area" localSheetId="40">'- 47 -'!$A$1:$G$57</definedName>
    <definedName name="_xlnm.Print_Area" localSheetId="41">'- 48 - '!$A$1:$F$52</definedName>
    <definedName name="_xlnm.Print_Area" localSheetId="42">'- 50 -'!$A$1:$F$57</definedName>
    <definedName name="_xlnm.Print_Area" localSheetId="43">'- 51 -'!$A$1:$G$59</definedName>
    <definedName name="_xlnm.Print_Area" localSheetId="44">'- 52 -'!$A$1:$G$59</definedName>
    <definedName name="_xlnm.Print_Area" localSheetId="45">'- 53 -'!$A$1:$F$57</definedName>
    <definedName name="_xlnm.Print_Area" localSheetId="46">'- 54 -'!$A$1:$F$59</definedName>
    <definedName name="_xlnm.Print_Area" localSheetId="47">'- 55 -'!$A$1:$F$59</definedName>
    <definedName name="_xlnm.Print_Area" localSheetId="48">'- 56 -'!$A$1:$F$61</definedName>
    <definedName name="_xlnm.Print_Area" localSheetId="49">'- 57 -'!$A$1:$H$56</definedName>
    <definedName name="_xlnm.Print_Area" localSheetId="50">'- 58 -'!$A$1:$I$57</definedName>
    <definedName name="_xlnm.Print_Area" localSheetId="51">'- 59 -'!$A$2:$G$52</definedName>
    <definedName name="_xlnm.Print_Area" localSheetId="3">'- 6 -'!$A$1:$H$59</definedName>
    <definedName name="_xlnm.Print_Area" localSheetId="52">'- 60 -'!$A$1:$I$55</definedName>
    <definedName name="_xlnm.Print_Area" localSheetId="4">'- 7 -'!$A$1:$F$59</definedName>
    <definedName name="_xlnm.Print_Area" localSheetId="5">'- 8 -'!$A$1:$G$59</definedName>
    <definedName name="_xlnm.Print_Area" localSheetId="6">'- 9 -'!$A$1:$D$58</definedName>
    <definedName name="_xlnm.Print_Area" localSheetId="53">Data!$A$3:$N$52</definedName>
    <definedName name="_xlnm.Print_Area" localSheetId="0">README!$B$3:$B$15</definedName>
    <definedName name="REVYEAR" localSheetId="0">'[4]- 42 -'!$B$1</definedName>
    <definedName name="REVYEAR">'- 41 -'!$B$1</definedName>
    <definedName name="STAMP" localSheetId="0">#REF!</definedName>
    <definedName name="STAMP">#REF!</definedName>
    <definedName name="STATDATE" localSheetId="0">'[4]- 6 -'!$B$3</definedName>
    <definedName name="STATDATE">'- 6 -'!$B$3</definedName>
    <definedName name="TAXYEAR" localSheetId="0">'[4]- 46 -'!$B$3</definedName>
    <definedName name="TAXYEAR">'- 45 -'!$B$3</definedName>
    <definedName name="TOTAL1" localSheetId="0">#REF!</definedName>
    <definedName name="TOTAL1">#REF!</definedName>
    <definedName name="TOTAL2" localSheetId="0">#REF!</definedName>
    <definedName name="TOTAL2">#REF!</definedName>
    <definedName name="TOTAL3" localSheetId="0">#REF!</definedName>
    <definedName name="TOTAL3">#REF!</definedName>
    <definedName name="TWO" localSheetId="0">#REF!</definedName>
    <definedName name="TWO">#REF!</definedName>
    <definedName name="YEAR" localSheetId="0">#REF!</definedName>
    <definedName name="YEAR">Data!$B$6</definedName>
    <definedName name="YEARFRENCH">'[5]- 42 -'!$B$1</definedName>
  </definedNames>
  <calcPr calcId="162913"/>
</workbook>
</file>

<file path=xl/calcChain.xml><?xml version="1.0" encoding="utf-8"?>
<calcChain xmlns="http://schemas.openxmlformats.org/spreadsheetml/2006/main">
  <c r="A55" i="52" l="1"/>
  <c r="D51" i="16" l="1"/>
  <c r="D50" i="16"/>
  <c r="D46" i="16"/>
  <c r="D45" i="16"/>
  <c r="D44" i="16"/>
  <c r="D43" i="16"/>
  <c r="D42" i="16"/>
  <c r="D41" i="16"/>
  <c r="D40" i="16"/>
  <c r="D39" i="16"/>
  <c r="D38" i="16"/>
  <c r="D37" i="16"/>
  <c r="D36" i="16"/>
  <c r="D35" i="16"/>
  <c r="D34" i="16"/>
  <c r="D33" i="16"/>
  <c r="D32" i="16"/>
  <c r="D31" i="16"/>
  <c r="D30" i="16"/>
  <c r="D29" i="16"/>
  <c r="D28" i="16"/>
  <c r="D27" i="16"/>
  <c r="D26" i="16"/>
  <c r="D25" i="16"/>
  <c r="D24" i="16"/>
  <c r="D23" i="16"/>
  <c r="D22" i="16"/>
  <c r="D21" i="16"/>
  <c r="D20" i="16"/>
  <c r="D19" i="16"/>
  <c r="D18" i="16"/>
  <c r="D17" i="16"/>
  <c r="D16" i="16"/>
  <c r="D15" i="16"/>
  <c r="D14" i="16"/>
  <c r="D13" i="16"/>
  <c r="D12" i="16"/>
  <c r="D11" i="16"/>
  <c r="I28" i="41" l="1"/>
  <c r="BA3" i="48" l="1"/>
  <c r="P48" i="2" l="1"/>
  <c r="B60" i="2" l="1"/>
  <c r="B61" i="2" s="1"/>
  <c r="B62" i="2" s="1"/>
  <c r="B63" i="2" s="1"/>
  <c r="B64" i="2" s="1"/>
  <c r="B65" i="2" s="1"/>
  <c r="B66" i="2" s="1"/>
  <c r="B67" i="2" s="1"/>
  <c r="B68" i="2" s="1"/>
  <c r="B69" i="2" s="1"/>
  <c r="B70" i="2" s="1"/>
  <c r="B71" i="2" s="1"/>
  <c r="B72" i="2" s="1"/>
  <c r="B73" i="2" s="1"/>
  <c r="B74" i="2" s="1"/>
  <c r="D14" i="43" l="1"/>
  <c r="Q48" i="2" l="1"/>
  <c r="D48" i="44"/>
  <c r="E13" i="43"/>
  <c r="E17" i="43"/>
  <c r="E21" i="43"/>
  <c r="E25" i="43"/>
  <c r="E29" i="43"/>
  <c r="E33" i="43"/>
  <c r="E37" i="43"/>
  <c r="E41" i="43"/>
  <c r="E45" i="43"/>
  <c r="B48" i="38"/>
  <c r="E12" i="43"/>
  <c r="E16" i="43"/>
  <c r="E20" i="43"/>
  <c r="E24" i="43"/>
  <c r="E28" i="43"/>
  <c r="E32" i="43"/>
  <c r="E36" i="43"/>
  <c r="E40" i="43"/>
  <c r="E44" i="43"/>
  <c r="E51" i="43"/>
  <c r="E51" i="46"/>
  <c r="E11" i="43"/>
  <c r="F48" i="44"/>
  <c r="D48" i="45"/>
  <c r="E12" i="46"/>
  <c r="E16" i="46"/>
  <c r="E20" i="46"/>
  <c r="E24" i="46"/>
  <c r="E28" i="46"/>
  <c r="E32" i="46"/>
  <c r="E36" i="46"/>
  <c r="E40" i="46"/>
  <c r="E44" i="46"/>
  <c r="E13" i="46"/>
  <c r="E17" i="46"/>
  <c r="E21" i="46"/>
  <c r="E25" i="46"/>
  <c r="E29" i="46"/>
  <c r="E33" i="46"/>
  <c r="E37" i="46"/>
  <c r="E41" i="46"/>
  <c r="E45" i="46"/>
  <c r="B48" i="45"/>
  <c r="E11" i="46"/>
  <c r="E15" i="46"/>
  <c r="E19" i="46"/>
  <c r="E23" i="46"/>
  <c r="E27" i="46"/>
  <c r="E31" i="46"/>
  <c r="E35" i="46"/>
  <c r="E39" i="46"/>
  <c r="E43" i="46"/>
  <c r="E50" i="46"/>
  <c r="E14" i="46"/>
  <c r="E18" i="46"/>
  <c r="E22" i="46"/>
  <c r="E26" i="46"/>
  <c r="E30" i="46"/>
  <c r="E34" i="46"/>
  <c r="E38" i="46"/>
  <c r="E42" i="46"/>
  <c r="E46" i="46"/>
  <c r="E15" i="43"/>
  <c r="E19" i="43"/>
  <c r="E23" i="43"/>
  <c r="E27" i="43"/>
  <c r="E31" i="43"/>
  <c r="E35" i="43"/>
  <c r="E39" i="43"/>
  <c r="E43" i="43"/>
  <c r="E50" i="43"/>
  <c r="H48" i="44"/>
  <c r="E48" i="52"/>
  <c r="D48" i="37"/>
  <c r="E18" i="43"/>
  <c r="E22" i="43"/>
  <c r="E26" i="43"/>
  <c r="E30" i="43"/>
  <c r="E34" i="43"/>
  <c r="E38" i="43"/>
  <c r="E42" i="43"/>
  <c r="E46" i="43"/>
  <c r="G48" i="43"/>
  <c r="C48" i="47"/>
  <c r="R48" i="2"/>
  <c r="B48" i="37"/>
  <c r="F48" i="36"/>
  <c r="D48" i="36"/>
  <c r="E14" i="43" l="1"/>
  <c r="B48" i="36" l="1"/>
  <c r="F48" i="34" l="1"/>
  <c r="B48" i="29"/>
  <c r="D48" i="35"/>
  <c r="E48" i="29"/>
  <c r="B48" i="35"/>
  <c r="D48" i="34"/>
  <c r="B48" i="34"/>
  <c r="H48" i="28" l="1"/>
  <c r="B48" i="27"/>
  <c r="E48" i="28"/>
  <c r="B48" i="28"/>
  <c r="B48" i="82" l="1"/>
  <c r="F48" i="25"/>
  <c r="B48" i="26"/>
  <c r="H48" i="26"/>
  <c r="D48" i="25"/>
  <c r="H48" i="25"/>
  <c r="E48" i="26"/>
  <c r="B48" i="25"/>
  <c r="D48" i="82"/>
  <c r="H48" i="11" l="1"/>
  <c r="E48" i="11"/>
  <c r="H48" i="9" l="1"/>
  <c r="H48" i="10"/>
  <c r="B48" i="7"/>
  <c r="E48" i="10"/>
  <c r="B48" i="11"/>
  <c r="B48" i="10"/>
  <c r="E48" i="9"/>
  <c r="B48" i="9"/>
  <c r="E48" i="8"/>
  <c r="B48" i="8"/>
  <c r="C52" i="84" l="1"/>
  <c r="C14" i="84" l="1"/>
  <c r="C18" i="84"/>
  <c r="C22" i="84"/>
  <c r="C26" i="84"/>
  <c r="C30" i="84"/>
  <c r="C34" i="84"/>
  <c r="C38" i="84"/>
  <c r="C42" i="84"/>
  <c r="C46" i="84"/>
  <c r="C12" i="84"/>
  <c r="C16" i="84"/>
  <c r="C20" i="84"/>
  <c r="C24" i="84"/>
  <c r="C13" i="84"/>
  <c r="C17" i="84"/>
  <c r="C21" i="84"/>
  <c r="C25" i="84"/>
  <c r="C29" i="84"/>
  <c r="C33" i="84"/>
  <c r="C37" i="84"/>
  <c r="C41" i="84"/>
  <c r="C45" i="84"/>
  <c r="C23" i="84"/>
  <c r="C27" i="84"/>
  <c r="C31" i="84"/>
  <c r="C35" i="84"/>
  <c r="C39" i="84"/>
  <c r="C43" i="84"/>
  <c r="C47" i="84"/>
  <c r="C28" i="84"/>
  <c r="C32" i="84"/>
  <c r="C36" i="84"/>
  <c r="C40" i="84"/>
  <c r="C44" i="84"/>
  <c r="C51" i="84"/>
  <c r="O48" i="2"/>
  <c r="BB3" i="78" l="1"/>
  <c r="BA3" i="78"/>
  <c r="A2" i="78"/>
  <c r="A2" i="90"/>
  <c r="BB3" i="89"/>
  <c r="AY2" i="84"/>
  <c r="AX2" i="84"/>
  <c r="BA3" i="89" s="1"/>
  <c r="A3" i="89" s="1"/>
  <c r="B2" i="50"/>
  <c r="A2" i="88"/>
  <c r="A2" i="49"/>
  <c r="B3" i="48"/>
  <c r="A3" i="88" s="1"/>
  <c r="BB3" i="33"/>
  <c r="A2" i="33"/>
  <c r="BB1" i="43"/>
  <c r="BA1" i="43"/>
  <c r="B1" i="43" s="1"/>
  <c r="BA3" i="33" l="1"/>
  <c r="A3" i="33" s="1"/>
  <c r="BA2" i="42"/>
  <c r="A2" i="42" s="1"/>
  <c r="BB2" i="42"/>
  <c r="B2" i="54"/>
  <c r="B2" i="76" s="1"/>
  <c r="A2" i="41"/>
  <c r="B2" i="40"/>
  <c r="B2" i="39"/>
  <c r="B2" i="8"/>
  <c r="B2" i="35" s="1"/>
  <c r="B2" i="18"/>
  <c r="B2" i="20" s="1"/>
  <c r="B5" i="22"/>
  <c r="B5" i="23" s="1"/>
  <c r="B4" i="22"/>
  <c r="B4" i="23" s="1"/>
  <c r="C5" i="21"/>
  <c r="B2" i="17"/>
  <c r="B3" i="16"/>
  <c r="B2" i="16"/>
  <c r="B2" i="14"/>
  <c r="B2" i="15" s="1"/>
  <c r="BA3" i="14"/>
  <c r="B3" i="14" s="1"/>
  <c r="B3" i="15" s="1"/>
  <c r="BB3" i="14"/>
  <c r="A2" i="6"/>
  <c r="BB3" i="5"/>
  <c r="BA3" i="5"/>
  <c r="A3" i="5" s="1"/>
  <c r="A2" i="5"/>
  <c r="B2" i="19" l="1"/>
  <c r="B2" i="10"/>
  <c r="B2" i="26"/>
  <c r="B2" i="34"/>
  <c r="B2" i="38"/>
  <c r="B2" i="7"/>
  <c r="B2" i="25"/>
  <c r="B2" i="29"/>
  <c r="B2" i="37"/>
  <c r="B2" i="9"/>
  <c r="B2" i="82"/>
  <c r="B2" i="28"/>
  <c r="B2" i="36"/>
  <c r="B2" i="11"/>
  <c r="B2" i="27"/>
  <c r="C15" i="84" l="1"/>
  <c r="C19" i="84"/>
  <c r="N48" i="2"/>
  <c r="M48" i="2"/>
  <c r="I14" i="78" l="1"/>
  <c r="D9" i="78"/>
  <c r="D9" i="90" l="1"/>
  <c r="G9" i="90" s="1"/>
  <c r="B9" i="90"/>
  <c r="A3" i="90" s="1"/>
  <c r="I51" i="89"/>
  <c r="I46" i="89"/>
  <c r="I44" i="89"/>
  <c r="I42" i="89"/>
  <c r="I40" i="89"/>
  <c r="I38" i="89"/>
  <c r="I36" i="89"/>
  <c r="I34" i="89"/>
  <c r="I32" i="89"/>
  <c r="I30" i="89"/>
  <c r="I28" i="89"/>
  <c r="I26" i="89"/>
  <c r="I24" i="89"/>
  <c r="I22" i="89"/>
  <c r="I20" i="89"/>
  <c r="I18" i="89"/>
  <c r="I16" i="89"/>
  <c r="I14" i="89"/>
  <c r="I12" i="89"/>
  <c r="H48" i="89"/>
  <c r="G48" i="89"/>
  <c r="F48" i="89"/>
  <c r="E48" i="89"/>
  <c r="D48" i="89"/>
  <c r="C48" i="89"/>
  <c r="B48" i="89"/>
  <c r="K20" i="85"/>
  <c r="K16" i="85"/>
  <c r="J50" i="85"/>
  <c r="D50" i="85"/>
  <c r="C50" i="85"/>
  <c r="F52" i="84"/>
  <c r="D40" i="84"/>
  <c r="F41" i="85" s="1"/>
  <c r="F19" i="84"/>
  <c r="F15" i="84"/>
  <c r="B49" i="84"/>
  <c r="F48" i="50"/>
  <c r="F46" i="50"/>
  <c r="F45" i="50"/>
  <c r="F44" i="50"/>
  <c r="F43" i="50"/>
  <c r="F42" i="50"/>
  <c r="F41" i="50"/>
  <c r="F40" i="50"/>
  <c r="F39" i="50"/>
  <c r="F38" i="50"/>
  <c r="F37" i="50"/>
  <c r="F36" i="50"/>
  <c r="F35" i="50"/>
  <c r="F34" i="50"/>
  <c r="F33" i="50"/>
  <c r="F32" i="50"/>
  <c r="F31" i="50"/>
  <c r="F30" i="50"/>
  <c r="F29" i="50"/>
  <c r="F28" i="50"/>
  <c r="F27" i="50"/>
  <c r="F26" i="50"/>
  <c r="F25" i="50"/>
  <c r="F24" i="50"/>
  <c r="F23" i="50"/>
  <c r="F22" i="50"/>
  <c r="G22" i="78" s="1"/>
  <c r="F21" i="50"/>
  <c r="F20" i="50"/>
  <c r="F19" i="50"/>
  <c r="F18" i="50"/>
  <c r="F17" i="50"/>
  <c r="F16" i="50"/>
  <c r="G16" i="78" s="1"/>
  <c r="F15" i="50"/>
  <c r="F14" i="50"/>
  <c r="G14" i="78" s="1"/>
  <c r="F13" i="50"/>
  <c r="F12" i="50"/>
  <c r="F11" i="50"/>
  <c r="B3" i="50"/>
  <c r="E48" i="49"/>
  <c r="E53" i="49" s="1"/>
  <c r="D48" i="49"/>
  <c r="D53" i="49" s="1"/>
  <c r="C48" i="49"/>
  <c r="C53" i="49" s="1"/>
  <c r="B48" i="49"/>
  <c r="B53" i="49" s="1"/>
  <c r="K47" i="49"/>
  <c r="F44" i="49"/>
  <c r="K44" i="49" s="1"/>
  <c r="F43" i="49"/>
  <c r="G43" i="49" s="1"/>
  <c r="I43" i="78" s="1"/>
  <c r="G43" i="78" s="1"/>
  <c r="F39" i="49"/>
  <c r="K39" i="49" s="1"/>
  <c r="F36" i="49"/>
  <c r="K36" i="49" s="1"/>
  <c r="F28" i="49"/>
  <c r="K28" i="49" s="1"/>
  <c r="F14" i="49"/>
  <c r="F12" i="49"/>
  <c r="K12" i="49" s="1"/>
  <c r="F11" i="49"/>
  <c r="A3" i="49"/>
  <c r="B51" i="48"/>
  <c r="B50" i="48"/>
  <c r="C49" i="84" l="1"/>
  <c r="F9" i="90"/>
  <c r="G12" i="49"/>
  <c r="I12" i="78" s="1"/>
  <c r="G12" i="78" s="1"/>
  <c r="G39" i="49"/>
  <c r="I39" i="78" s="1"/>
  <c r="G39" i="78" s="1"/>
  <c r="G44" i="49"/>
  <c r="I13" i="89"/>
  <c r="I15" i="89"/>
  <c r="I17" i="89"/>
  <c r="I19" i="89"/>
  <c r="I21" i="89"/>
  <c r="I23" i="89"/>
  <c r="I25" i="89"/>
  <c r="I27" i="89"/>
  <c r="I29" i="89"/>
  <c r="I31" i="89"/>
  <c r="I33" i="89"/>
  <c r="I35" i="89"/>
  <c r="I37" i="89"/>
  <c r="I39" i="89"/>
  <c r="I41" i="89"/>
  <c r="I43" i="89"/>
  <c r="I45" i="89"/>
  <c r="I50" i="89"/>
  <c r="G11" i="49"/>
  <c r="G28" i="49"/>
  <c r="G36" i="49"/>
  <c r="K43" i="49"/>
  <c r="D12" i="84"/>
  <c r="D14" i="84"/>
  <c r="D16" i="84"/>
  <c r="D18" i="84"/>
  <c r="F19" i="85" s="1"/>
  <c r="D21" i="84"/>
  <c r="D23" i="84"/>
  <c r="D25" i="84"/>
  <c r="D27" i="84"/>
  <c r="D29" i="84"/>
  <c r="F29" i="84" s="1"/>
  <c r="D31" i="84"/>
  <c r="D33" i="84"/>
  <c r="D35" i="84"/>
  <c r="D37" i="84"/>
  <c r="D39" i="84"/>
  <c r="F40" i="85" s="1"/>
  <c r="F40" i="84"/>
  <c r="D43" i="84"/>
  <c r="D45" i="84"/>
  <c r="E49" i="84"/>
  <c r="I11" i="89"/>
  <c r="K11" i="49"/>
  <c r="C48" i="50"/>
  <c r="D13" i="84"/>
  <c r="D17" i="84"/>
  <c r="D20" i="84"/>
  <c r="D22" i="84"/>
  <c r="D24" i="84"/>
  <c r="F24" i="84" s="1"/>
  <c r="D26" i="84"/>
  <c r="D28" i="84"/>
  <c r="F28" i="84" s="1"/>
  <c r="D30" i="84"/>
  <c r="D32" i="84"/>
  <c r="D34" i="84"/>
  <c r="D36" i="84"/>
  <c r="D38" i="84"/>
  <c r="D41" i="84"/>
  <c r="F42" i="85" s="1"/>
  <c r="D42" i="84"/>
  <c r="D44" i="84"/>
  <c r="F44" i="84" s="1"/>
  <c r="D46" i="84"/>
  <c r="F47" i="85" s="1"/>
  <c r="D47" i="84"/>
  <c r="F48" i="85" s="1"/>
  <c r="B46" i="48"/>
  <c r="B45" i="48"/>
  <c r="B44" i="48"/>
  <c r="B43" i="48"/>
  <c r="B42" i="48"/>
  <c r="B41" i="48"/>
  <c r="B40" i="48"/>
  <c r="B39" i="48"/>
  <c r="B38" i="48"/>
  <c r="B37" i="48"/>
  <c r="B36" i="48"/>
  <c r="B35" i="48"/>
  <c r="B34" i="48"/>
  <c r="B33" i="48"/>
  <c r="B32" i="48"/>
  <c r="B31" i="48"/>
  <c r="B30" i="48"/>
  <c r="B29" i="48"/>
  <c r="B28" i="48"/>
  <c r="B27" i="48"/>
  <c r="B26" i="48"/>
  <c r="B25" i="48"/>
  <c r="B24" i="48"/>
  <c r="B23" i="48"/>
  <c r="B22" i="48"/>
  <c r="B21" i="48"/>
  <c r="B20" i="48"/>
  <c r="B19" i="48"/>
  <c r="B18" i="48"/>
  <c r="B17" i="48"/>
  <c r="B16" i="48"/>
  <c r="B15" i="48"/>
  <c r="B14" i="48"/>
  <c r="B13" i="48"/>
  <c r="B12" i="48"/>
  <c r="B11" i="48"/>
  <c r="A5" i="48"/>
  <c r="C11" i="48" l="1"/>
  <c r="B11" i="50" s="1"/>
  <c r="C15" i="48"/>
  <c r="B15" i="50" s="1"/>
  <c r="D15" i="50" s="1"/>
  <c r="C19" i="48"/>
  <c r="B19" i="50" s="1"/>
  <c r="D19" i="50" s="1"/>
  <c r="C23" i="48"/>
  <c r="B23" i="50" s="1"/>
  <c r="D23" i="50" s="1"/>
  <c r="C27" i="48"/>
  <c r="B27" i="50" s="1"/>
  <c r="D27" i="50" s="1"/>
  <c r="C31" i="48"/>
  <c r="B31" i="50" s="1"/>
  <c r="D31" i="50" s="1"/>
  <c r="C35" i="48"/>
  <c r="B35" i="50" s="1"/>
  <c r="D35" i="50" s="1"/>
  <c r="C39" i="48"/>
  <c r="B39" i="50" s="1"/>
  <c r="D39" i="50" s="1"/>
  <c r="C43" i="48"/>
  <c r="B43" i="50" s="1"/>
  <c r="D43" i="50" s="1"/>
  <c r="C13" i="48"/>
  <c r="B13" i="50" s="1"/>
  <c r="D13" i="50" s="1"/>
  <c r="C17" i="48"/>
  <c r="B17" i="50" s="1"/>
  <c r="D17" i="50" s="1"/>
  <c r="C21" i="48"/>
  <c r="B21" i="50" s="1"/>
  <c r="D21" i="50" s="1"/>
  <c r="C25" i="48"/>
  <c r="B25" i="50" s="1"/>
  <c r="D25" i="50" s="1"/>
  <c r="C29" i="48"/>
  <c r="B29" i="50" s="1"/>
  <c r="D29" i="50" s="1"/>
  <c r="C33" i="48"/>
  <c r="B33" i="50" s="1"/>
  <c r="D33" i="50" s="1"/>
  <c r="C37" i="48"/>
  <c r="B37" i="50" s="1"/>
  <c r="D37" i="50" s="1"/>
  <c r="C41" i="48"/>
  <c r="B41" i="50" s="1"/>
  <c r="D41" i="50" s="1"/>
  <c r="C45" i="48"/>
  <c r="B45" i="50" s="1"/>
  <c r="D45" i="50" s="1"/>
  <c r="B48" i="48"/>
  <c r="B53" i="48" s="1"/>
  <c r="C51" i="48" s="1"/>
  <c r="F39" i="84"/>
  <c r="I48" i="89"/>
  <c r="F18" i="84"/>
  <c r="C46" i="48"/>
  <c r="B46" i="50" s="1"/>
  <c r="D46" i="50" s="1"/>
  <c r="D11" i="50"/>
  <c r="C12" i="48"/>
  <c r="B12" i="50" s="1"/>
  <c r="D12" i="50" s="1"/>
  <c r="C14" i="48"/>
  <c r="B14" i="50" s="1"/>
  <c r="D14" i="50" s="1"/>
  <c r="C16" i="48"/>
  <c r="B16" i="50" s="1"/>
  <c r="D16" i="50" s="1"/>
  <c r="C18" i="48"/>
  <c r="B18" i="50" s="1"/>
  <c r="D18" i="50" s="1"/>
  <c r="C20" i="48"/>
  <c r="B20" i="50" s="1"/>
  <c r="D20" i="50" s="1"/>
  <c r="C22" i="48"/>
  <c r="B22" i="50" s="1"/>
  <c r="D22" i="50" s="1"/>
  <c r="C24" i="48"/>
  <c r="B24" i="50" s="1"/>
  <c r="D24" i="50" s="1"/>
  <c r="C26" i="48"/>
  <c r="B26" i="50" s="1"/>
  <c r="D26" i="50" s="1"/>
  <c r="C28" i="48"/>
  <c r="B28" i="50" s="1"/>
  <c r="D28" i="50" s="1"/>
  <c r="C30" i="48"/>
  <c r="B30" i="50" s="1"/>
  <c r="D30" i="50" s="1"/>
  <c r="C32" i="48"/>
  <c r="B32" i="50" s="1"/>
  <c r="D32" i="50" s="1"/>
  <c r="C34" i="48"/>
  <c r="B34" i="50" s="1"/>
  <c r="D34" i="50" s="1"/>
  <c r="C36" i="48"/>
  <c r="B36" i="50" s="1"/>
  <c r="D36" i="50" s="1"/>
  <c r="C38" i="48"/>
  <c r="B38" i="50" s="1"/>
  <c r="D38" i="50" s="1"/>
  <c r="C40" i="48"/>
  <c r="B40" i="50" s="1"/>
  <c r="D40" i="50" s="1"/>
  <c r="C42" i="48"/>
  <c r="B42" i="50" s="1"/>
  <c r="D42" i="50" s="1"/>
  <c r="C44" i="48"/>
  <c r="B44" i="50" s="1"/>
  <c r="D44" i="50" s="1"/>
  <c r="I44" i="78"/>
  <c r="G44" i="78" s="1"/>
  <c r="F39" i="85"/>
  <c r="F38" i="84"/>
  <c r="F35" i="85"/>
  <c r="F34" i="84"/>
  <c r="F31" i="85"/>
  <c r="F30" i="84"/>
  <c r="F27" i="85"/>
  <c r="F26" i="84"/>
  <c r="F23" i="85"/>
  <c r="F22" i="84"/>
  <c r="F14" i="85"/>
  <c r="F13" i="84"/>
  <c r="F45" i="84"/>
  <c r="F46" i="85"/>
  <c r="F36" i="85"/>
  <c r="F35" i="84"/>
  <c r="F32" i="85"/>
  <c r="F31" i="84"/>
  <c r="F28" i="85"/>
  <c r="F27" i="84"/>
  <c r="F23" i="84"/>
  <c r="F24" i="85"/>
  <c r="F15" i="85"/>
  <c r="F14" i="84"/>
  <c r="I28" i="78"/>
  <c r="G28" i="78" s="1"/>
  <c r="I11" i="78"/>
  <c r="G11" i="78" s="1"/>
  <c r="F41" i="84"/>
  <c r="F43" i="85"/>
  <c r="F42" i="84"/>
  <c r="F37" i="85"/>
  <c r="F36" i="84"/>
  <c r="F33" i="85"/>
  <c r="F32" i="84"/>
  <c r="F21" i="85"/>
  <c r="F20" i="84"/>
  <c r="F18" i="85"/>
  <c r="F17" i="84"/>
  <c r="F44" i="85"/>
  <c r="F43" i="84"/>
  <c r="F38" i="85"/>
  <c r="F37" i="84"/>
  <c r="F34" i="85"/>
  <c r="F33" i="84"/>
  <c r="F26" i="85"/>
  <c r="F25" i="84"/>
  <c r="F21" i="84"/>
  <c r="F22" i="85"/>
  <c r="F17" i="85"/>
  <c r="F16" i="84"/>
  <c r="F13" i="85"/>
  <c r="D49" i="84"/>
  <c r="F49" i="84" s="1"/>
  <c r="F12" i="84"/>
  <c r="I36" i="78"/>
  <c r="G36" i="78" s="1"/>
  <c r="F46" i="84"/>
  <c r="F47" i="84"/>
  <c r="D48" i="50" l="1"/>
  <c r="C48" i="48"/>
  <c r="C53" i="48" s="1"/>
  <c r="B48" i="50"/>
  <c r="B2" i="46" l="1"/>
  <c r="B2" i="52"/>
  <c r="B2" i="47"/>
  <c r="B2" i="81"/>
  <c r="B2" i="51"/>
  <c r="B2" i="45"/>
  <c r="B2" i="44"/>
  <c r="I48" i="41"/>
  <c r="D50" i="40"/>
  <c r="D27" i="40"/>
  <c r="D14" i="40"/>
  <c r="H50" i="39" l="1"/>
  <c r="F50" i="39"/>
  <c r="D50" i="39"/>
  <c r="H27" i="39"/>
  <c r="F27" i="39"/>
  <c r="D27" i="39"/>
  <c r="F52" i="23" l="1"/>
  <c r="D46" i="23" l="1"/>
  <c r="B46" i="23"/>
  <c r="F46" i="23"/>
  <c r="J29" i="23"/>
  <c r="J49" i="22"/>
  <c r="F49" i="22"/>
  <c r="J35" i="23"/>
  <c r="J14" i="23"/>
  <c r="B40" i="22" l="1"/>
  <c r="J40" i="22"/>
  <c r="D46" i="22"/>
  <c r="F40" i="22"/>
  <c r="H46" i="22"/>
  <c r="D22" i="23"/>
  <c r="D40" i="23"/>
  <c r="B22" i="22"/>
  <c r="F22" i="22"/>
  <c r="D40" i="22"/>
  <c r="B46" i="22"/>
  <c r="F46" i="22"/>
  <c r="J46" i="22"/>
  <c r="B22" i="23"/>
  <c r="F40" i="23"/>
  <c r="J17" i="23"/>
  <c r="J20" i="23"/>
  <c r="H40" i="22"/>
  <c r="J36" i="23"/>
  <c r="J38" i="23"/>
  <c r="J44" i="23"/>
  <c r="J15" i="23"/>
  <c r="J32" i="23"/>
  <c r="J34" i="23"/>
  <c r="D22" i="22"/>
  <c r="H22" i="22"/>
  <c r="J37" i="23"/>
  <c r="J39" i="23"/>
  <c r="J45" i="23"/>
  <c r="J19" i="23"/>
  <c r="J33" i="23"/>
  <c r="B40" i="23"/>
  <c r="J22" i="22"/>
  <c r="J18" i="23"/>
  <c r="J21" i="23"/>
  <c r="F22" i="23"/>
  <c r="J23" i="23"/>
  <c r="J25" i="23"/>
  <c r="J26" i="23"/>
  <c r="J27" i="23"/>
  <c r="J28" i="23"/>
  <c r="J30" i="23"/>
  <c r="J31" i="23"/>
  <c r="J42" i="23"/>
  <c r="J43" i="23"/>
  <c r="J48" i="23"/>
  <c r="M48" i="22"/>
  <c r="J16" i="23"/>
  <c r="H51" i="23"/>
  <c r="H50" i="23"/>
  <c r="H49" i="23"/>
  <c r="D23" i="21"/>
  <c r="D22" i="21"/>
  <c r="D21" i="21"/>
  <c r="I19" i="21"/>
  <c r="D19" i="21"/>
  <c r="F19" i="21" l="1"/>
  <c r="E19" i="21"/>
  <c r="D54" i="23"/>
  <c r="B51" i="22"/>
  <c r="C22" i="21"/>
  <c r="F54" i="23"/>
  <c r="H51" i="22"/>
  <c r="C23" i="21"/>
  <c r="F51" i="22"/>
  <c r="J46" i="23"/>
  <c r="D51" i="22"/>
  <c r="C19" i="21"/>
  <c r="C21" i="21"/>
  <c r="J22" i="23"/>
  <c r="B54" i="23"/>
  <c r="K24" i="21"/>
  <c r="H27" i="21"/>
  <c r="H52" i="23"/>
  <c r="J49" i="23"/>
  <c r="J50" i="23"/>
  <c r="G27" i="21"/>
  <c r="J40" i="23"/>
  <c r="J51" i="22"/>
  <c r="D18" i="21"/>
  <c r="C18" i="21" s="1"/>
  <c r="I17" i="21"/>
  <c r="F17" i="21" s="1"/>
  <c r="E17" i="21" s="1"/>
  <c r="D17" i="21"/>
  <c r="C17" i="21"/>
  <c r="D16" i="21"/>
  <c r="C16" i="21" s="1"/>
  <c r="F15" i="21"/>
  <c r="D15" i="21"/>
  <c r="G48" i="16"/>
  <c r="F48" i="16"/>
  <c r="D48" i="16"/>
  <c r="C48" i="16"/>
  <c r="B48" i="16"/>
  <c r="K19" i="21" l="1"/>
  <c r="K17" i="21"/>
  <c r="C15" i="21"/>
  <c r="D27" i="21"/>
  <c r="E15" i="21"/>
  <c r="B3" i="17"/>
  <c r="C27" i="21" l="1"/>
  <c r="K15" i="21"/>
  <c r="A3" i="41" l="1"/>
  <c r="B3" i="54"/>
  <c r="B3" i="40"/>
  <c r="B3" i="76"/>
  <c r="B3" i="39"/>
  <c r="B3" i="37"/>
  <c r="B3" i="36"/>
  <c r="B3" i="29"/>
  <c r="B3" i="28"/>
  <c r="B3" i="27"/>
  <c r="B3" i="38"/>
  <c r="B3" i="35"/>
  <c r="B3" i="34"/>
  <c r="B3" i="25"/>
  <c r="B3" i="8"/>
  <c r="B3" i="26"/>
  <c r="B3" i="82"/>
  <c r="B3" i="11"/>
  <c r="B3" i="10"/>
  <c r="B3" i="7"/>
  <c r="B3" i="9"/>
  <c r="B3" i="18"/>
  <c r="B3" i="19" s="1"/>
  <c r="B3" i="20" s="1"/>
  <c r="C2" i="23"/>
  <c r="D2" i="22"/>
  <c r="C2" i="21"/>
  <c r="A53" i="42" l="1"/>
  <c r="A62" i="43" l="1"/>
  <c r="G24" i="78"/>
  <c r="F25" i="85"/>
  <c r="F29" i="85"/>
  <c r="F30" i="85"/>
  <c r="F45" i="85"/>
  <c r="G48" i="78"/>
  <c r="F50" i="85" l="1"/>
  <c r="F13" i="49"/>
  <c r="G13" i="49" s="1"/>
  <c r="F15" i="49"/>
  <c r="G15" i="49" s="1"/>
  <c r="F16" i="49"/>
  <c r="K16" i="49" s="1"/>
  <c r="F17" i="49"/>
  <c r="K17" i="49" s="1"/>
  <c r="F18" i="49"/>
  <c r="F19" i="49"/>
  <c r="G19" i="49" s="1"/>
  <c r="F20" i="49"/>
  <c r="K20" i="49" s="1"/>
  <c r="F21" i="49"/>
  <c r="K21" i="49" s="1"/>
  <c r="F22" i="49"/>
  <c r="K22" i="49" s="1"/>
  <c r="F23" i="49"/>
  <c r="G23" i="49" s="1"/>
  <c r="F24" i="49"/>
  <c r="G24" i="49" s="1"/>
  <c r="I24" i="78" s="1"/>
  <c r="F25" i="49"/>
  <c r="G25" i="49" s="1"/>
  <c r="F26" i="49"/>
  <c r="G26" i="49" s="1"/>
  <c r="F27" i="49"/>
  <c r="G27" i="49" s="1"/>
  <c r="F29" i="49"/>
  <c r="G29" i="49" s="1"/>
  <c r="I29" i="78" s="1"/>
  <c r="F30" i="49"/>
  <c r="F31" i="49"/>
  <c r="G31" i="49" s="1"/>
  <c r="F32" i="49"/>
  <c r="G32" i="49" s="1"/>
  <c r="F33" i="49"/>
  <c r="G33" i="49" s="1"/>
  <c r="F34" i="49"/>
  <c r="G34" i="49" s="1"/>
  <c r="F35" i="49"/>
  <c r="K35" i="49" s="1"/>
  <c r="F37" i="49"/>
  <c r="K37" i="49" s="1"/>
  <c r="F38" i="49"/>
  <c r="G38" i="49" s="1"/>
  <c r="F40" i="49"/>
  <c r="K40" i="49" s="1"/>
  <c r="F41" i="49"/>
  <c r="G41" i="49" s="1"/>
  <c r="F42" i="49"/>
  <c r="G42" i="49" s="1"/>
  <c r="I42" i="78" s="1"/>
  <c r="F45" i="49"/>
  <c r="K45" i="49" s="1"/>
  <c r="F46" i="49"/>
  <c r="G46" i="49" s="1"/>
  <c r="I46" i="78" s="1"/>
  <c r="K14" i="49"/>
  <c r="G17" i="78"/>
  <c r="G19" i="78"/>
  <c r="G13" i="78"/>
  <c r="G15" i="78"/>
  <c r="G23" i="78"/>
  <c r="G18" i="78"/>
  <c r="G20" i="78"/>
  <c r="G21" i="78"/>
  <c r="G25" i="78"/>
  <c r="G26" i="78"/>
  <c r="G27" i="78"/>
  <c r="G29" i="78"/>
  <c r="G30" i="78"/>
  <c r="G31" i="78"/>
  <c r="G32" i="78"/>
  <c r="G33" i="78"/>
  <c r="G34" i="78"/>
  <c r="G35" i="78"/>
  <c r="G37" i="78"/>
  <c r="G38" i="78"/>
  <c r="G40" i="78"/>
  <c r="G41" i="78"/>
  <c r="G42" i="78"/>
  <c r="G46" i="78"/>
  <c r="G45" i="78"/>
  <c r="E16" i="21"/>
  <c r="F16" i="21"/>
  <c r="E18" i="21"/>
  <c r="F18" i="21"/>
  <c r="E21" i="21"/>
  <c r="F21" i="21"/>
  <c r="E22" i="21"/>
  <c r="F22" i="21"/>
  <c r="E23" i="21"/>
  <c r="F23" i="21"/>
  <c r="I23" i="21"/>
  <c r="I27" i="21" s="1"/>
  <c r="J51" i="23"/>
  <c r="J52" i="23" s="1"/>
  <c r="J54" i="23" s="1"/>
  <c r="H54" i="23"/>
  <c r="K32" i="49" l="1"/>
  <c r="K42" i="49"/>
  <c r="I27" i="78"/>
  <c r="G37" i="49"/>
  <c r="I37" i="78" s="1"/>
  <c r="K27" i="49"/>
  <c r="K15" i="49"/>
  <c r="K30" i="49"/>
  <c r="G30" i="49"/>
  <c r="G21" i="49"/>
  <c r="I21" i="78" s="1"/>
  <c r="K18" i="49"/>
  <c r="G18" i="49"/>
  <c r="I18" i="78" s="1"/>
  <c r="K38" i="49"/>
  <c r="K46" i="49"/>
  <c r="E27" i="21"/>
  <c r="F27" i="21"/>
  <c r="I32" i="78"/>
  <c r="K34" i="49"/>
  <c r="K31" i="49"/>
  <c r="K25" i="49"/>
  <c r="G16" i="49"/>
  <c r="I34" i="78"/>
  <c r="I25" i="78"/>
  <c r="G40" i="49"/>
  <c r="G20" i="49"/>
  <c r="G22" i="49"/>
  <c r="G17" i="49"/>
  <c r="K33" i="49"/>
  <c r="I26" i="78"/>
  <c r="G45" i="49"/>
  <c r="K41" i="49"/>
  <c r="G35" i="49"/>
  <c r="K26" i="49"/>
  <c r="K13" i="49"/>
  <c r="I41" i="78"/>
  <c r="I38" i="78"/>
  <c r="I33" i="78"/>
  <c r="I31" i="78"/>
  <c r="I13" i="78"/>
  <c r="K24" i="49"/>
  <c r="K19" i="49"/>
  <c r="K16" i="21"/>
  <c r="I23" i="78"/>
  <c r="I19" i="78"/>
  <c r="I15" i="78"/>
  <c r="K21" i="21"/>
  <c r="K18" i="21"/>
  <c r="F48" i="49"/>
  <c r="G48" i="49" s="1"/>
  <c r="I48" i="78" s="1"/>
  <c r="I54" i="23"/>
  <c r="N32" i="23" s="1"/>
  <c r="K22" i="21"/>
  <c r="K23" i="21"/>
  <c r="E51" i="22"/>
  <c r="N25" i="23" s="1"/>
  <c r="K22" i="23"/>
  <c r="N13" i="23" s="1"/>
  <c r="K46" i="23"/>
  <c r="N16" i="23" s="1"/>
  <c r="K40" i="23"/>
  <c r="N15" i="23" s="1"/>
  <c r="G54" i="23"/>
  <c r="N31" i="23" s="1"/>
  <c r="E54" i="23"/>
  <c r="N30" i="23" s="1"/>
  <c r="C54" i="23"/>
  <c r="N29" i="23" s="1"/>
  <c r="I51" i="22"/>
  <c r="N27" i="23" s="1"/>
  <c r="K49" i="23"/>
  <c r="N17" i="23" s="1"/>
  <c r="C51" i="22"/>
  <c r="N24" i="23" s="1"/>
  <c r="K52" i="23"/>
  <c r="G51" i="22"/>
  <c r="N26" i="23" s="1"/>
  <c r="K51" i="22"/>
  <c r="N28" i="23" s="1"/>
  <c r="K51" i="23"/>
  <c r="K22" i="22"/>
  <c r="K43" i="23"/>
  <c r="K27" i="23"/>
  <c r="C40" i="23"/>
  <c r="K21" i="23"/>
  <c r="K42" i="23"/>
  <c r="K18" i="23"/>
  <c r="K31" i="23"/>
  <c r="C30" i="23"/>
  <c r="E25" i="23"/>
  <c r="E40" i="23"/>
  <c r="G42" i="22"/>
  <c r="K38" i="22"/>
  <c r="C30" i="22"/>
  <c r="E15" i="22"/>
  <c r="K33" i="23"/>
  <c r="G26" i="23"/>
  <c r="K19" i="23"/>
  <c r="K45" i="23"/>
  <c r="G39" i="22"/>
  <c r="K37" i="23"/>
  <c r="E36" i="22"/>
  <c r="K33" i="22"/>
  <c r="E20" i="22"/>
  <c r="E22" i="22"/>
  <c r="E28" i="23"/>
  <c r="G21" i="23"/>
  <c r="C22" i="23"/>
  <c r="E43" i="22"/>
  <c r="K38" i="23"/>
  <c r="E37" i="22"/>
  <c r="K34" i="22"/>
  <c r="E33" i="22"/>
  <c r="K20" i="23"/>
  <c r="I18" i="22"/>
  <c r="E16" i="22"/>
  <c r="G40" i="22"/>
  <c r="C18" i="22"/>
  <c r="C31" i="23"/>
  <c r="G25" i="23"/>
  <c r="I42" i="22"/>
  <c r="K39" i="22"/>
  <c r="G35" i="22"/>
  <c r="C15" i="22"/>
  <c r="G28" i="23"/>
  <c r="E21" i="23"/>
  <c r="G43" i="22"/>
  <c r="C39" i="22"/>
  <c r="G37" i="22"/>
  <c r="K35" i="23"/>
  <c r="G33" i="22"/>
  <c r="E19" i="22"/>
  <c r="I46" i="22"/>
  <c r="K34" i="23"/>
  <c r="G27" i="23"/>
  <c r="C21" i="23"/>
  <c r="I43" i="22"/>
  <c r="E39" i="22"/>
  <c r="I37" i="22"/>
  <c r="C36" i="22"/>
  <c r="I33" i="22"/>
  <c r="E40" i="22"/>
  <c r="C19" i="22"/>
  <c r="I16" i="22"/>
  <c r="C22" i="22"/>
  <c r="K18" i="22"/>
  <c r="K46" i="22"/>
  <c r="K14" i="23"/>
  <c r="K17" i="22"/>
  <c r="I27" i="22"/>
  <c r="G29" i="22"/>
  <c r="I30" i="22"/>
  <c r="E35" i="22"/>
  <c r="K43" i="22"/>
  <c r="E44" i="22"/>
  <c r="I44" i="22"/>
  <c r="C45" i="22"/>
  <c r="G45" i="22"/>
  <c r="K45" i="22"/>
  <c r="E15" i="23"/>
  <c r="C16" i="23"/>
  <c r="C17" i="23"/>
  <c r="C19" i="23"/>
  <c r="G19" i="23"/>
  <c r="C29" i="23"/>
  <c r="E30" i="23"/>
  <c r="E42" i="23"/>
  <c r="C38" i="23"/>
  <c r="C43" i="23"/>
  <c r="E36" i="23"/>
  <c r="E43" i="23"/>
  <c r="G36" i="23"/>
  <c r="E17" i="22"/>
  <c r="I17" i="22"/>
  <c r="E21" i="22"/>
  <c r="I21" i="22"/>
  <c r="C23" i="22"/>
  <c r="G23" i="22"/>
  <c r="K23" i="22"/>
  <c r="E25" i="22"/>
  <c r="I25" i="22"/>
  <c r="C26" i="22"/>
  <c r="G26" i="22"/>
  <c r="K26" i="22"/>
  <c r="G27" i="22"/>
  <c r="C28" i="22"/>
  <c r="G28" i="22"/>
  <c r="K28" i="22"/>
  <c r="I29" i="22"/>
  <c r="G30" i="22"/>
  <c r="C31" i="22"/>
  <c r="G31" i="22"/>
  <c r="K31" i="22"/>
  <c r="E32" i="22"/>
  <c r="C35" i="22"/>
  <c r="E16" i="23"/>
  <c r="E27" i="23"/>
  <c r="G30" i="23"/>
  <c r="E32" i="23"/>
  <c r="C33" i="23"/>
  <c r="G33" i="23"/>
  <c r="E34" i="23"/>
  <c r="G45" i="23"/>
  <c r="C42" i="23"/>
  <c r="E45" i="23"/>
  <c r="C45" i="23"/>
  <c r="G39" i="23"/>
  <c r="C37" i="23"/>
  <c r="E39" i="23"/>
  <c r="E46" i="23"/>
  <c r="E35" i="23"/>
  <c r="K54" i="23"/>
  <c r="K23" i="23"/>
  <c r="N14" i="23" s="1"/>
  <c r="I52" i="23"/>
  <c r="K26" i="23"/>
  <c r="I51" i="23"/>
  <c r="K30" i="23"/>
  <c r="G22" i="23"/>
  <c r="K25" i="23"/>
  <c r="I49" i="23"/>
  <c r="K28" i="23"/>
  <c r="K16" i="23"/>
  <c r="C26" i="23"/>
  <c r="C18" i="23"/>
  <c r="K42" i="22"/>
  <c r="C42" i="22"/>
  <c r="K36" i="22"/>
  <c r="I15" i="22"/>
  <c r="G40" i="23"/>
  <c r="K29" i="23"/>
  <c r="C23" i="23"/>
  <c r="E22" i="23"/>
  <c r="C43" i="22"/>
  <c r="I38" i="22"/>
  <c r="C37" i="22"/>
  <c r="I34" i="22"/>
  <c r="C33" i="22"/>
  <c r="G18" i="22"/>
  <c r="K32" i="23"/>
  <c r="E26" i="23"/>
  <c r="G18" i="23"/>
  <c r="K44" i="23"/>
  <c r="I39" i="22"/>
  <c r="C38" i="22"/>
  <c r="G36" i="22"/>
  <c r="C34" i="22"/>
  <c r="I40" i="22"/>
  <c r="G19" i="22"/>
  <c r="K17" i="23"/>
  <c r="G22" i="22"/>
  <c r="I19" i="22"/>
  <c r="I22" i="22"/>
  <c r="C28" i="23"/>
  <c r="C25" i="23"/>
  <c r="E42" i="22"/>
  <c r="K37" i="22"/>
  <c r="G15" i="22"/>
  <c r="G31" i="23"/>
  <c r="G23" i="23"/>
  <c r="E18" i="23"/>
  <c r="K39" i="23"/>
  <c r="E38" i="22"/>
  <c r="I36" i="22"/>
  <c r="E34" i="22"/>
  <c r="K40" i="22"/>
  <c r="G16" i="22"/>
  <c r="E46" i="22"/>
  <c r="E31" i="23"/>
  <c r="E23" i="23"/>
  <c r="K15" i="23"/>
  <c r="G46" i="22"/>
  <c r="G38" i="22"/>
  <c r="K36" i="23"/>
  <c r="G34" i="22"/>
  <c r="K32" i="22"/>
  <c r="K19" i="22"/>
  <c r="E18" i="22"/>
  <c r="K15" i="22"/>
  <c r="C40" i="22"/>
  <c r="C16" i="22"/>
  <c r="C46" i="22"/>
  <c r="C17" i="22"/>
  <c r="C27" i="22"/>
  <c r="C29" i="22"/>
  <c r="K29" i="22"/>
  <c r="I32" i="22"/>
  <c r="K35" i="22"/>
  <c r="C44" i="22"/>
  <c r="G44" i="22"/>
  <c r="K44" i="22"/>
  <c r="E45" i="22"/>
  <c r="I45" i="22"/>
  <c r="C15" i="23"/>
  <c r="G15" i="23"/>
  <c r="G16" i="23"/>
  <c r="E17" i="23"/>
  <c r="E19" i="23"/>
  <c r="C27" i="23"/>
  <c r="E29" i="23"/>
  <c r="E44" i="23"/>
  <c r="G37" i="23"/>
  <c r="G46" i="23"/>
  <c r="C39" i="23"/>
  <c r="G44" i="23"/>
  <c r="G38" i="23"/>
  <c r="K16" i="22"/>
  <c r="G17" i="22"/>
  <c r="C21" i="22"/>
  <c r="G21" i="22"/>
  <c r="K21" i="22"/>
  <c r="E23" i="22"/>
  <c r="I23" i="22"/>
  <c r="C25" i="22"/>
  <c r="G25" i="22"/>
  <c r="K25" i="22"/>
  <c r="E26" i="22"/>
  <c r="I26" i="22"/>
  <c r="E27" i="22"/>
  <c r="K27" i="22"/>
  <c r="E28" i="22"/>
  <c r="I28" i="22"/>
  <c r="E29" i="22"/>
  <c r="E30" i="22"/>
  <c r="K30" i="22"/>
  <c r="E31" i="22"/>
  <c r="I31" i="22"/>
  <c r="C32" i="22"/>
  <c r="G32" i="22"/>
  <c r="I35" i="22"/>
  <c r="G17" i="23"/>
  <c r="G29" i="23"/>
  <c r="C32" i="23"/>
  <c r="G32" i="23"/>
  <c r="E33" i="23"/>
  <c r="C34" i="23"/>
  <c r="G34" i="23"/>
  <c r="G42" i="23"/>
  <c r="G35" i="23"/>
  <c r="C36" i="23"/>
  <c r="G43" i="23"/>
  <c r="E38" i="23"/>
  <c r="C44" i="23"/>
  <c r="E37" i="23"/>
  <c r="C46" i="23"/>
  <c r="C35" i="23"/>
  <c r="K48" i="49" l="1"/>
  <c r="K27" i="21"/>
  <c r="I30" i="78"/>
  <c r="I16" i="78"/>
  <c r="I40" i="78"/>
  <c r="I22" i="78"/>
  <c r="I20" i="78"/>
  <c r="I17" i="78"/>
  <c r="N18" i="23"/>
  <c r="N20" i="23" s="1"/>
  <c r="I35" i="78"/>
  <c r="I45" i="78"/>
  <c r="N34" i="23"/>
  <c r="B48" i="33" l="1"/>
  <c r="H51" i="39" l="1"/>
  <c r="F51" i="39"/>
  <c r="D51" i="40"/>
  <c r="D51" i="39"/>
  <c r="J51" i="9"/>
  <c r="G51" i="9"/>
  <c r="C51" i="15"/>
  <c r="E51" i="15" s="1"/>
  <c r="G50" i="8"/>
  <c r="E50" i="7"/>
  <c r="J50" i="9"/>
  <c r="G50" i="9"/>
  <c r="E46" i="7"/>
  <c r="G46" i="9"/>
  <c r="E45" i="7"/>
  <c r="J45" i="9"/>
  <c r="G45" i="9"/>
  <c r="C45" i="15"/>
  <c r="E45" i="15" s="1"/>
  <c r="G44" i="8"/>
  <c r="E44" i="7"/>
  <c r="J44" i="9"/>
  <c r="E43" i="7"/>
  <c r="J43" i="9"/>
  <c r="G43" i="9"/>
  <c r="C43" i="15"/>
  <c r="E43" i="15" s="1"/>
  <c r="E42" i="7"/>
  <c r="J42" i="9"/>
  <c r="G42" i="9"/>
  <c r="C42" i="15"/>
  <c r="E42" i="15" s="1"/>
  <c r="G41" i="8"/>
  <c r="E41" i="7"/>
  <c r="J41" i="9"/>
  <c r="G41" i="9"/>
  <c r="E40" i="7"/>
  <c r="G40" i="9"/>
  <c r="C40" i="15"/>
  <c r="E40" i="15" s="1"/>
  <c r="E39" i="7"/>
  <c r="J39" i="9"/>
  <c r="G39" i="9"/>
  <c r="C39" i="15"/>
  <c r="E39" i="15" s="1"/>
  <c r="E38" i="7"/>
  <c r="G38" i="9"/>
  <c r="C38" i="15"/>
  <c r="E38" i="15" s="1"/>
  <c r="G37" i="8"/>
  <c r="E37" i="7"/>
  <c r="G37" i="9"/>
  <c r="C37" i="15"/>
  <c r="E37" i="15" s="1"/>
  <c r="E36" i="7"/>
  <c r="J36" i="9"/>
  <c r="G36" i="9"/>
  <c r="C36" i="15"/>
  <c r="E36" i="15" s="1"/>
  <c r="E35" i="7"/>
  <c r="G35" i="9"/>
  <c r="C35" i="15"/>
  <c r="E35" i="15" s="1"/>
  <c r="E34" i="7"/>
  <c r="G34" i="9"/>
  <c r="C34" i="15"/>
  <c r="E34" i="15" s="1"/>
  <c r="E33" i="7"/>
  <c r="J33" i="9"/>
  <c r="G33" i="9"/>
  <c r="C33" i="15"/>
  <c r="E33" i="15" s="1"/>
  <c r="E32" i="7"/>
  <c r="G32" i="9"/>
  <c r="C32" i="15"/>
  <c r="E32" i="15" s="1"/>
  <c r="E31" i="7"/>
  <c r="J31" i="9"/>
  <c r="G31" i="9"/>
  <c r="C31" i="15"/>
  <c r="E31" i="15" s="1"/>
  <c r="E30" i="7"/>
  <c r="J30" i="9"/>
  <c r="G30" i="9"/>
  <c r="C30" i="15"/>
  <c r="E30" i="15" s="1"/>
  <c r="G29" i="8"/>
  <c r="E29" i="7"/>
  <c r="G29" i="9"/>
  <c r="G28" i="8"/>
  <c r="E28" i="7"/>
  <c r="J28" i="9"/>
  <c r="G28" i="9"/>
  <c r="E27" i="7"/>
  <c r="J27" i="9"/>
  <c r="G27" i="9"/>
  <c r="E26" i="7"/>
  <c r="G26" i="9"/>
  <c r="C26" i="15"/>
  <c r="E26" i="15" s="1"/>
  <c r="E25" i="7"/>
  <c r="G25" i="9"/>
  <c r="E24" i="7"/>
  <c r="G24" i="9"/>
  <c r="C24" i="15"/>
  <c r="E24" i="15" s="1"/>
  <c r="E23" i="7"/>
  <c r="J23" i="9"/>
  <c r="G23" i="9"/>
  <c r="G22" i="8"/>
  <c r="E22" i="7"/>
  <c r="J22" i="9"/>
  <c r="G22" i="9"/>
  <c r="G21" i="8"/>
  <c r="E21" i="7"/>
  <c r="J21" i="9"/>
  <c r="G21" i="9"/>
  <c r="E20" i="7"/>
  <c r="J20" i="9"/>
  <c r="G20" i="9"/>
  <c r="E19" i="7"/>
  <c r="J19" i="9"/>
  <c r="G19" i="9"/>
  <c r="E18" i="7"/>
  <c r="J18" i="9"/>
  <c r="G18" i="9"/>
  <c r="E17" i="7"/>
  <c r="J17" i="9"/>
  <c r="G17" i="9"/>
  <c r="C17" i="15"/>
  <c r="E17" i="15" s="1"/>
  <c r="E16" i="7"/>
  <c r="J16" i="9"/>
  <c r="G16" i="9"/>
  <c r="C16" i="15"/>
  <c r="E16" i="15" s="1"/>
  <c r="E15" i="7"/>
  <c r="J15" i="9"/>
  <c r="G15" i="9"/>
  <c r="C15" i="15"/>
  <c r="E15" i="15" s="1"/>
  <c r="G14" i="8"/>
  <c r="E14" i="7"/>
  <c r="J14" i="9"/>
  <c r="E13" i="7"/>
  <c r="G13" i="9"/>
  <c r="C13" i="15"/>
  <c r="E13" i="15" s="1"/>
  <c r="G51" i="81"/>
  <c r="G46" i="81"/>
  <c r="G44" i="81"/>
  <c r="G43" i="81"/>
  <c r="G42" i="81"/>
  <c r="G41" i="81"/>
  <c r="G40" i="81"/>
  <c r="G39" i="81"/>
  <c r="G38" i="81"/>
  <c r="G37" i="81"/>
  <c r="G36" i="81"/>
  <c r="G35" i="81"/>
  <c r="G34" i="81"/>
  <c r="G33" i="81"/>
  <c r="G32" i="81"/>
  <c r="G31" i="81"/>
  <c r="G30" i="81"/>
  <c r="G29" i="81"/>
  <c r="G28" i="81"/>
  <c r="G27" i="81"/>
  <c r="G26" i="81"/>
  <c r="G25" i="81"/>
  <c r="G24" i="81"/>
  <c r="G23" i="81"/>
  <c r="G22" i="81"/>
  <c r="G20" i="81"/>
  <c r="G19" i="81"/>
  <c r="G17" i="81"/>
  <c r="G16" i="81"/>
  <c r="G15" i="81"/>
  <c r="G14" i="81"/>
  <c r="G13" i="81"/>
  <c r="E12" i="7"/>
  <c r="J12" i="9"/>
  <c r="G12" i="9"/>
  <c r="G12" i="81"/>
  <c r="H48" i="14"/>
  <c r="G48" i="14"/>
  <c r="F48" i="14"/>
  <c r="C48" i="43"/>
  <c r="A53" i="44" s="1"/>
  <c r="D48" i="52"/>
  <c r="C48" i="52"/>
  <c r="B48" i="52"/>
  <c r="D48" i="46"/>
  <c r="C48" i="46"/>
  <c r="B48" i="46"/>
  <c r="F48" i="47"/>
  <c r="E48" i="47"/>
  <c r="D48" i="47"/>
  <c r="F48" i="81"/>
  <c r="E48" i="81"/>
  <c r="D48" i="81"/>
  <c r="C48" i="81"/>
  <c r="B48" i="81"/>
  <c r="G48" i="51"/>
  <c r="F48" i="51"/>
  <c r="E48" i="51"/>
  <c r="D48" i="51"/>
  <c r="C48" i="51"/>
  <c r="A54" i="47" l="1"/>
  <c r="G11" i="81"/>
  <c r="B48" i="51"/>
  <c r="B48" i="14"/>
  <c r="C11" i="15"/>
  <c r="E11" i="15" s="1"/>
  <c r="C48" i="39"/>
  <c r="H14" i="20"/>
  <c r="H18" i="20"/>
  <c r="H22" i="20"/>
  <c r="H26" i="20"/>
  <c r="H30" i="20"/>
  <c r="H34" i="20"/>
  <c r="H38" i="20"/>
  <c r="H42" i="20"/>
  <c r="H46" i="20"/>
  <c r="I13" i="7"/>
  <c r="H13" i="7"/>
  <c r="G13" i="7"/>
  <c r="F13" i="7"/>
  <c r="I15" i="7"/>
  <c r="D15" i="7"/>
  <c r="H15" i="7"/>
  <c r="G15" i="7"/>
  <c r="F15" i="7"/>
  <c r="I17" i="7"/>
  <c r="D17" i="7"/>
  <c r="H17" i="7"/>
  <c r="G17" i="7"/>
  <c r="F17" i="7"/>
  <c r="I19" i="7"/>
  <c r="D19" i="7"/>
  <c r="H19" i="7"/>
  <c r="G19" i="7"/>
  <c r="F19" i="7"/>
  <c r="I21" i="7"/>
  <c r="H21" i="7"/>
  <c r="F21" i="7"/>
  <c r="G21" i="7"/>
  <c r="I23" i="7"/>
  <c r="H23" i="7"/>
  <c r="D23" i="7"/>
  <c r="G23" i="7"/>
  <c r="F23" i="7"/>
  <c r="D25" i="7"/>
  <c r="F25" i="7"/>
  <c r="I25" i="7"/>
  <c r="G25" i="7"/>
  <c r="H25" i="7"/>
  <c r="I27" i="7"/>
  <c r="H27" i="7"/>
  <c r="G27" i="7"/>
  <c r="F27" i="7"/>
  <c r="I29" i="7"/>
  <c r="G29" i="7"/>
  <c r="F29" i="7"/>
  <c r="H29" i="7"/>
  <c r="I31" i="7"/>
  <c r="F31" i="7"/>
  <c r="G31" i="7"/>
  <c r="H31" i="7"/>
  <c r="I33" i="7"/>
  <c r="H33" i="7"/>
  <c r="F33" i="7"/>
  <c r="G33" i="7"/>
  <c r="I35" i="7"/>
  <c r="F35" i="7"/>
  <c r="G35" i="7"/>
  <c r="H35" i="7"/>
  <c r="E37" i="41"/>
  <c r="E37" i="16"/>
  <c r="E39" i="41"/>
  <c r="E39" i="16"/>
  <c r="E43" i="41"/>
  <c r="E43" i="16"/>
  <c r="E45" i="16"/>
  <c r="E45" i="41"/>
  <c r="G18" i="81"/>
  <c r="C41" i="15"/>
  <c r="E41" i="15" s="1"/>
  <c r="C50" i="15"/>
  <c r="E50" i="15" s="1"/>
  <c r="E48" i="14"/>
  <c r="E11" i="7"/>
  <c r="G11" i="8"/>
  <c r="B48" i="15"/>
  <c r="W13" i="2" s="1"/>
  <c r="G48" i="39"/>
  <c r="H15" i="20"/>
  <c r="H19" i="20"/>
  <c r="H23" i="20"/>
  <c r="H27" i="20"/>
  <c r="H31" i="20"/>
  <c r="H35" i="20"/>
  <c r="H39" i="20"/>
  <c r="H43" i="20"/>
  <c r="H50" i="20"/>
  <c r="E16" i="41"/>
  <c r="E16" i="16"/>
  <c r="E24" i="41"/>
  <c r="E24" i="16"/>
  <c r="E26" i="41"/>
  <c r="E26" i="16"/>
  <c r="E30" i="41"/>
  <c r="E30" i="16"/>
  <c r="E32" i="16"/>
  <c r="E32" i="41"/>
  <c r="E34" i="41"/>
  <c r="E34" i="16"/>
  <c r="I37" i="7"/>
  <c r="F37" i="7"/>
  <c r="H37" i="7"/>
  <c r="G37" i="7"/>
  <c r="I39" i="7"/>
  <c r="F39" i="7"/>
  <c r="G39" i="7"/>
  <c r="H39" i="7"/>
  <c r="D39" i="7"/>
  <c r="I41" i="7"/>
  <c r="F41" i="7"/>
  <c r="H41" i="7"/>
  <c r="G41" i="7"/>
  <c r="I43" i="7"/>
  <c r="F43" i="7"/>
  <c r="G43" i="7"/>
  <c r="D43" i="7"/>
  <c r="H43" i="7"/>
  <c r="I45" i="7"/>
  <c r="F45" i="7"/>
  <c r="H45" i="7"/>
  <c r="G45" i="7"/>
  <c r="I50" i="7"/>
  <c r="D50" i="7"/>
  <c r="G50" i="7"/>
  <c r="H50" i="7"/>
  <c r="F50" i="7"/>
  <c r="E51" i="16"/>
  <c r="C12" i="15"/>
  <c r="E12" i="15" s="1"/>
  <c r="G50" i="81"/>
  <c r="C14" i="15"/>
  <c r="E14" i="15" s="1"/>
  <c r="C18" i="15"/>
  <c r="E18" i="15" s="1"/>
  <c r="C20" i="15"/>
  <c r="E20" i="15" s="1"/>
  <c r="C22" i="15"/>
  <c r="E22" i="15" s="1"/>
  <c r="C28" i="15"/>
  <c r="E28" i="15" s="1"/>
  <c r="D48" i="38"/>
  <c r="D48" i="14"/>
  <c r="J11" i="9"/>
  <c r="E48" i="39"/>
  <c r="D48" i="43"/>
  <c r="I12" i="7"/>
  <c r="D12" i="7"/>
  <c r="F12" i="7"/>
  <c r="H12" i="7"/>
  <c r="G12" i="7"/>
  <c r="H16" i="20"/>
  <c r="H20" i="20"/>
  <c r="H24" i="20"/>
  <c r="H28" i="20"/>
  <c r="H32" i="20"/>
  <c r="H36" i="20"/>
  <c r="J36" i="20" s="1"/>
  <c r="H40" i="20"/>
  <c r="H44" i="20"/>
  <c r="H51" i="20"/>
  <c r="I14" i="7"/>
  <c r="F14" i="7"/>
  <c r="D14" i="7"/>
  <c r="H14" i="7"/>
  <c r="G14" i="7"/>
  <c r="I16" i="7"/>
  <c r="F16" i="7"/>
  <c r="H16" i="7"/>
  <c r="G16" i="7"/>
  <c r="I18" i="7"/>
  <c r="G18" i="7"/>
  <c r="F18" i="7"/>
  <c r="D18" i="7"/>
  <c r="H18" i="7"/>
  <c r="H20" i="7"/>
  <c r="G20" i="7"/>
  <c r="F20" i="7" s="1"/>
  <c r="D20" i="7"/>
  <c r="I20" i="7"/>
  <c r="G22" i="7"/>
  <c r="F22" i="7"/>
  <c r="I22" i="7"/>
  <c r="H22" i="7" s="1"/>
  <c r="I24" i="7"/>
  <c r="H24" i="7"/>
  <c r="F24" i="7"/>
  <c r="G24" i="7"/>
  <c r="G26" i="7"/>
  <c r="I26" i="7"/>
  <c r="H26" i="7" s="1"/>
  <c r="F26" i="7"/>
  <c r="I28" i="7"/>
  <c r="F28" i="7"/>
  <c r="D28" i="7"/>
  <c r="G28" i="7"/>
  <c r="H28" i="7"/>
  <c r="I30" i="7"/>
  <c r="F30" i="7"/>
  <c r="D30" i="7"/>
  <c r="G30" i="7"/>
  <c r="H30" i="7"/>
  <c r="I32" i="7"/>
  <c r="H32" i="7"/>
  <c r="G32" i="7"/>
  <c r="F32" i="7"/>
  <c r="I34" i="7"/>
  <c r="G34" i="7"/>
  <c r="F34" i="7"/>
  <c r="H34" i="7"/>
  <c r="E36" i="16"/>
  <c r="E36" i="41"/>
  <c r="E38" i="41"/>
  <c r="E38" i="16"/>
  <c r="E40" i="41"/>
  <c r="E40" i="16"/>
  <c r="E42" i="41"/>
  <c r="E42" i="16"/>
  <c r="C44" i="15"/>
  <c r="E44" i="15" s="1"/>
  <c r="C46" i="15"/>
  <c r="E46" i="15" s="1"/>
  <c r="E51" i="7"/>
  <c r="B48" i="47"/>
  <c r="H11" i="20"/>
  <c r="G11" i="9"/>
  <c r="C48" i="14"/>
  <c r="C48" i="40"/>
  <c r="H13" i="20"/>
  <c r="H17" i="20"/>
  <c r="H21" i="20"/>
  <c r="H25" i="20"/>
  <c r="H29" i="20"/>
  <c r="H33" i="20"/>
  <c r="H37" i="20"/>
  <c r="H41" i="20"/>
  <c r="H45" i="20"/>
  <c r="E13" i="41"/>
  <c r="E13" i="16"/>
  <c r="E15" i="16"/>
  <c r="E15" i="41"/>
  <c r="E17" i="16"/>
  <c r="E17" i="41"/>
  <c r="E31" i="41"/>
  <c r="E31" i="16"/>
  <c r="E33" i="16"/>
  <c r="E33" i="41"/>
  <c r="E35" i="16"/>
  <c r="E35" i="41"/>
  <c r="I36" i="7"/>
  <c r="H36" i="7"/>
  <c r="F36" i="7"/>
  <c r="D36" i="7"/>
  <c r="G36" i="7"/>
  <c r="I38" i="7"/>
  <c r="F38" i="7"/>
  <c r="H38" i="7"/>
  <c r="G38" i="7"/>
  <c r="I40" i="7"/>
  <c r="F40" i="7"/>
  <c r="H40" i="7"/>
  <c r="G40" i="7"/>
  <c r="I42" i="7"/>
  <c r="F42" i="7"/>
  <c r="H42" i="7"/>
  <c r="G42" i="7"/>
  <c r="I44" i="7"/>
  <c r="H44" i="7"/>
  <c r="F44" i="7"/>
  <c r="D44" i="7"/>
  <c r="G44" i="7"/>
  <c r="I46" i="7"/>
  <c r="G46" i="7"/>
  <c r="F46" i="7"/>
  <c r="H46" i="7"/>
  <c r="G21" i="81"/>
  <c r="G45" i="81"/>
  <c r="C19" i="15"/>
  <c r="E19" i="15" s="1"/>
  <c r="C21" i="15"/>
  <c r="E21" i="15" s="1"/>
  <c r="C23" i="15"/>
  <c r="E23" i="15" s="1"/>
  <c r="C25" i="15"/>
  <c r="E25" i="15" s="1"/>
  <c r="C27" i="15"/>
  <c r="E27" i="15" s="1"/>
  <c r="C29" i="15"/>
  <c r="E29" i="15" s="1"/>
  <c r="E27" i="41" l="1"/>
  <c r="E21" i="41"/>
  <c r="I51" i="7"/>
  <c r="F51" i="7"/>
  <c r="D51" i="7"/>
  <c r="H51" i="7"/>
  <c r="G51" i="7"/>
  <c r="E44" i="41"/>
  <c r="E44" i="16"/>
  <c r="E28" i="41"/>
  <c r="E28" i="16"/>
  <c r="E27" i="16" s="1"/>
  <c r="E20" i="16"/>
  <c r="E20" i="41"/>
  <c r="E12" i="16"/>
  <c r="E12" i="41"/>
  <c r="E50" i="16"/>
  <c r="E50" i="41"/>
  <c r="J46" i="20"/>
  <c r="J38" i="20"/>
  <c r="J30" i="20"/>
  <c r="J22" i="20"/>
  <c r="J14" i="20"/>
  <c r="G48" i="81"/>
  <c r="E29" i="41"/>
  <c r="E29" i="16"/>
  <c r="E25" i="16"/>
  <c r="E25" i="41"/>
  <c r="J45" i="20"/>
  <c r="J37" i="20"/>
  <c r="J29" i="20"/>
  <c r="J21" i="20"/>
  <c r="J13" i="20"/>
  <c r="J51" i="20"/>
  <c r="J40" i="20"/>
  <c r="J32" i="20"/>
  <c r="J24" i="20"/>
  <c r="J16" i="20"/>
  <c r="J43" i="20"/>
  <c r="J35" i="20"/>
  <c r="J27" i="20"/>
  <c r="J19" i="20"/>
  <c r="E23" i="41"/>
  <c r="E23" i="16"/>
  <c r="E19" i="41"/>
  <c r="E19" i="16"/>
  <c r="E46" i="41"/>
  <c r="E46" i="16"/>
  <c r="E22" i="41"/>
  <c r="E22" i="16"/>
  <c r="E21" i="16" s="1"/>
  <c r="E18" i="16"/>
  <c r="E18" i="41"/>
  <c r="E48" i="7"/>
  <c r="H11" i="7"/>
  <c r="G11" i="7"/>
  <c r="D11" i="7"/>
  <c r="F11" i="7"/>
  <c r="I11" i="7"/>
  <c r="J42" i="20"/>
  <c r="J34" i="20"/>
  <c r="J26" i="20"/>
  <c r="J18" i="20"/>
  <c r="J41" i="20"/>
  <c r="J33" i="20"/>
  <c r="J25" i="20"/>
  <c r="J17" i="20"/>
  <c r="J44" i="20"/>
  <c r="J28" i="20"/>
  <c r="J20" i="20"/>
  <c r="E14" i="41"/>
  <c r="E14" i="16"/>
  <c r="J50" i="20"/>
  <c r="J39" i="20"/>
  <c r="J31" i="20"/>
  <c r="J23" i="20"/>
  <c r="J15" i="20"/>
  <c r="E41" i="16"/>
  <c r="E41" i="41"/>
  <c r="H12" i="20"/>
  <c r="H48" i="20" s="1"/>
  <c r="C48" i="15"/>
  <c r="H52" i="20" l="1"/>
  <c r="E11" i="16"/>
  <c r="E48" i="16" s="1"/>
  <c r="E11" i="41"/>
  <c r="E48" i="15"/>
  <c r="J48" i="20" s="1"/>
  <c r="J11" i="20"/>
  <c r="J12" i="20"/>
  <c r="F48" i="7"/>
  <c r="H48" i="7"/>
  <c r="I48" i="7"/>
  <c r="G48" i="7"/>
  <c r="E48" i="41" l="1"/>
  <c r="V14" i="2"/>
  <c r="F50" i="46" l="1"/>
  <c r="F45" i="46"/>
  <c r="F38" i="46"/>
  <c r="F35" i="46"/>
  <c r="F25" i="46"/>
  <c r="F23" i="46"/>
  <c r="F15" i="46"/>
  <c r="F33" i="46"/>
  <c r="F27" i="46"/>
  <c r="F51" i="46"/>
  <c r="F50" i="52" l="1"/>
  <c r="B50" i="43" s="1"/>
  <c r="F50" i="43" s="1"/>
  <c r="H50" i="43" s="1"/>
  <c r="G45" i="8"/>
  <c r="F22" i="46"/>
  <c r="F31" i="46"/>
  <c r="F39" i="46"/>
  <c r="F44" i="46"/>
  <c r="F17" i="46"/>
  <c r="F46" i="46"/>
  <c r="F43" i="46"/>
  <c r="F24" i="46"/>
  <c r="F26" i="46"/>
  <c r="F28" i="46"/>
  <c r="F29" i="46"/>
  <c r="F30" i="46"/>
  <c r="F32" i="46"/>
  <c r="F34" i="46"/>
  <c r="F36" i="46"/>
  <c r="F37" i="46"/>
  <c r="G44" i="9"/>
  <c r="G29" i="10"/>
  <c r="H43" i="18"/>
  <c r="F42" i="46"/>
  <c r="F14" i="46"/>
  <c r="F21" i="46"/>
  <c r="B35" i="20"/>
  <c r="F12" i="46"/>
  <c r="F13" i="46"/>
  <c r="F16" i="46"/>
  <c r="F18" i="46"/>
  <c r="J37" i="9"/>
  <c r="G38" i="11"/>
  <c r="E33" i="18" l="1"/>
  <c r="D33" i="10"/>
  <c r="D42" i="9"/>
  <c r="G20" i="8"/>
  <c r="D11" i="10"/>
  <c r="G50" i="10"/>
  <c r="D44" i="10"/>
  <c r="J22" i="11"/>
  <c r="F21" i="41"/>
  <c r="G21" i="41" s="1"/>
  <c r="J17" i="11"/>
  <c r="G40" i="11"/>
  <c r="G36" i="11"/>
  <c r="G32" i="11"/>
  <c r="G27" i="11"/>
  <c r="G22" i="11"/>
  <c r="J13" i="11"/>
  <c r="G43" i="11"/>
  <c r="B20" i="76"/>
  <c r="D20" i="27"/>
  <c r="D20" i="76" s="1"/>
  <c r="D27" i="7"/>
  <c r="D18" i="9"/>
  <c r="D40" i="9"/>
  <c r="G25" i="8"/>
  <c r="B18" i="18"/>
  <c r="D18" i="8"/>
  <c r="B27" i="18"/>
  <c r="D27" i="8"/>
  <c r="B31" i="39"/>
  <c r="D16" i="11"/>
  <c r="B15" i="18"/>
  <c r="D15" i="8"/>
  <c r="G51" i="26"/>
  <c r="B51" i="18"/>
  <c r="D51" i="8"/>
  <c r="G28" i="29"/>
  <c r="G34" i="8"/>
  <c r="D35" i="20"/>
  <c r="B19" i="39"/>
  <c r="B43" i="76"/>
  <c r="D43" i="27"/>
  <c r="D43" i="76" s="1"/>
  <c r="G30" i="26"/>
  <c r="D13" i="7"/>
  <c r="G24" i="8"/>
  <c r="G40" i="10"/>
  <c r="G36" i="10"/>
  <c r="D15" i="11"/>
  <c r="J33" i="11"/>
  <c r="J31" i="26"/>
  <c r="B11" i="40"/>
  <c r="G25" i="28"/>
  <c r="G12" i="28"/>
  <c r="D17" i="28"/>
  <c r="G44" i="28"/>
  <c r="G40" i="28"/>
  <c r="G20" i="28"/>
  <c r="D13" i="11"/>
  <c r="E18" i="18"/>
  <c r="D18" i="10"/>
  <c r="D20" i="8"/>
  <c r="B28" i="39"/>
  <c r="J32" i="26"/>
  <c r="J42" i="26"/>
  <c r="D13" i="9"/>
  <c r="D12" i="8"/>
  <c r="D43" i="8"/>
  <c r="H41" i="18"/>
  <c r="G31" i="26"/>
  <c r="B37" i="76"/>
  <c r="D37" i="27"/>
  <c r="D37" i="76" s="1"/>
  <c r="B21" i="76"/>
  <c r="D21" i="27"/>
  <c r="D21" i="76" s="1"/>
  <c r="B27" i="19"/>
  <c r="B45" i="39"/>
  <c r="B35" i="39"/>
  <c r="B33" i="39"/>
  <c r="B21" i="39"/>
  <c r="B12" i="39"/>
  <c r="J46" i="26"/>
  <c r="J24" i="26"/>
  <c r="J13" i="26"/>
  <c r="D37" i="9"/>
  <c r="D27" i="9"/>
  <c r="B17" i="18"/>
  <c r="D17" i="8"/>
  <c r="B26" i="18"/>
  <c r="D26" i="8"/>
  <c r="J12" i="26"/>
  <c r="B27" i="20"/>
  <c r="B19" i="20"/>
  <c r="B40" i="39"/>
  <c r="B29" i="39"/>
  <c r="B20" i="39"/>
  <c r="G42" i="28"/>
  <c r="J45" i="26"/>
  <c r="B28" i="76"/>
  <c r="D28" i="27"/>
  <c r="D28" i="76" s="1"/>
  <c r="J25" i="26"/>
  <c r="J22" i="26"/>
  <c r="J44" i="26"/>
  <c r="J33" i="26"/>
  <c r="J28" i="26"/>
  <c r="G17" i="26"/>
  <c r="G43" i="26"/>
  <c r="G37" i="26"/>
  <c r="G32" i="26"/>
  <c r="G19" i="26"/>
  <c r="B37" i="19"/>
  <c r="D39" i="11"/>
  <c r="D19" i="11"/>
  <c r="D33" i="11"/>
  <c r="D18" i="11"/>
  <c r="G21" i="10"/>
  <c r="G13" i="10"/>
  <c r="G34" i="10"/>
  <c r="G26" i="10"/>
  <c r="G17" i="10"/>
  <c r="D32" i="7"/>
  <c r="J24" i="9"/>
  <c r="J40" i="9"/>
  <c r="J34" i="9"/>
  <c r="J26" i="9"/>
  <c r="B22" i="19"/>
  <c r="F41" i="46"/>
  <c r="D25" i="11"/>
  <c r="F20" i="46"/>
  <c r="B38" i="20"/>
  <c r="D38" i="7"/>
  <c r="J21" i="26"/>
  <c r="G45" i="10"/>
  <c r="D11" i="26"/>
  <c r="B41" i="19"/>
  <c r="B16" i="19"/>
  <c r="G33" i="10"/>
  <c r="H11" i="18"/>
  <c r="D38" i="10"/>
  <c r="D51" i="10"/>
  <c r="G41" i="11"/>
  <c r="G11" i="11"/>
  <c r="B38" i="18"/>
  <c r="D38" i="8"/>
  <c r="D28" i="11"/>
  <c r="B39" i="39"/>
  <c r="B35" i="19"/>
  <c r="E48" i="43"/>
  <c r="D32" i="10"/>
  <c r="D46" i="10"/>
  <c r="J36" i="11"/>
  <c r="D31" i="11"/>
  <c r="G37" i="11"/>
  <c r="G33" i="11"/>
  <c r="G28" i="11"/>
  <c r="G24" i="11"/>
  <c r="G18" i="11"/>
  <c r="G14" i="11"/>
  <c r="G44" i="11"/>
  <c r="F13" i="41"/>
  <c r="G13" i="41" s="1"/>
  <c r="D36" i="9"/>
  <c r="G18" i="8"/>
  <c r="G35" i="8"/>
  <c r="B16" i="18"/>
  <c r="D16" i="8"/>
  <c r="D25" i="8"/>
  <c r="B40" i="18"/>
  <c r="D40" i="8"/>
  <c r="H16" i="18"/>
  <c r="G14" i="9"/>
  <c r="G51" i="11"/>
  <c r="G16" i="26"/>
  <c r="B14" i="76"/>
  <c r="D14" i="27"/>
  <c r="D14" i="76" s="1"/>
  <c r="G14" i="10"/>
  <c r="J11" i="26"/>
  <c r="G20" i="11"/>
  <c r="G26" i="8"/>
  <c r="G16" i="8"/>
  <c r="B33" i="20"/>
  <c r="D33" i="20" s="1"/>
  <c r="B17" i="39"/>
  <c r="B42" i="39"/>
  <c r="G24" i="26"/>
  <c r="G46" i="26"/>
  <c r="D35" i="7"/>
  <c r="J35" i="9"/>
  <c r="D44" i="9"/>
  <c r="G50" i="26"/>
  <c r="D41" i="11"/>
  <c r="G39" i="10"/>
  <c r="D22" i="11"/>
  <c r="D31" i="7"/>
  <c r="J18" i="11"/>
  <c r="G23" i="8"/>
  <c r="G41" i="28"/>
  <c r="G34" i="28"/>
  <c r="D43" i="28"/>
  <c r="D26" i="28"/>
  <c r="D29" i="7"/>
  <c r="D22" i="9"/>
  <c r="B31" i="19"/>
  <c r="D22" i="10"/>
  <c r="B37" i="18"/>
  <c r="D37" i="8"/>
  <c r="B33" i="18"/>
  <c r="D33" i="8"/>
  <c r="H36" i="18"/>
  <c r="J40" i="26"/>
  <c r="G17" i="28"/>
  <c r="H27" i="18"/>
  <c r="B23" i="76"/>
  <c r="D23" i="27"/>
  <c r="D23" i="76" s="1"/>
  <c r="B15" i="76"/>
  <c r="D15" i="27"/>
  <c r="D15" i="76" s="1"/>
  <c r="G18" i="26"/>
  <c r="G17" i="8"/>
  <c r="G31" i="8"/>
  <c r="H30" i="18"/>
  <c r="D15" i="19"/>
  <c r="D15" i="26"/>
  <c r="D13" i="26"/>
  <c r="B20" i="19"/>
  <c r="H20" i="18"/>
  <c r="H15" i="18"/>
  <c r="B30" i="18"/>
  <c r="D30" i="8"/>
  <c r="B44" i="20"/>
  <c r="B29" i="20"/>
  <c r="B21" i="20"/>
  <c r="B34" i="40"/>
  <c r="D34" i="40" s="1"/>
  <c r="B24" i="39"/>
  <c r="B44" i="40"/>
  <c r="D44" i="40" s="1"/>
  <c r="B33" i="40"/>
  <c r="D33" i="40" s="1"/>
  <c r="B17" i="40"/>
  <c r="D17" i="40" s="1"/>
  <c r="B25" i="76"/>
  <c r="D25" i="27"/>
  <c r="D25" i="76" s="1"/>
  <c r="B32" i="76"/>
  <c r="D32" i="27"/>
  <c r="D32" i="76" s="1"/>
  <c r="B46" i="76"/>
  <c r="D46" i="27"/>
  <c r="D46" i="76" s="1"/>
  <c r="B36" i="76"/>
  <c r="D36" i="27"/>
  <c r="D36" i="76" s="1"/>
  <c r="J29" i="26"/>
  <c r="J23" i="26"/>
  <c r="J18" i="26"/>
  <c r="J41" i="26"/>
  <c r="J17" i="26"/>
  <c r="G39" i="26"/>
  <c r="G33" i="26"/>
  <c r="G25" i="26"/>
  <c r="B39" i="19"/>
  <c r="D43" i="11"/>
  <c r="D34" i="11"/>
  <c r="D37" i="11"/>
  <c r="D24" i="11"/>
  <c r="G35" i="10"/>
  <c r="G27" i="10"/>
  <c r="G23" i="10"/>
  <c r="D34" i="7"/>
  <c r="J29" i="9"/>
  <c r="D24" i="7"/>
  <c r="D16" i="7"/>
  <c r="D15" i="9"/>
  <c r="D11" i="9"/>
  <c r="F40" i="46"/>
  <c r="F26" i="45"/>
  <c r="F43" i="45"/>
  <c r="B38" i="19"/>
  <c r="D11" i="11"/>
  <c r="B50" i="39"/>
  <c r="D51" i="9"/>
  <c r="B16" i="39"/>
  <c r="J38" i="26"/>
  <c r="F20" i="45"/>
  <c r="D26" i="9"/>
  <c r="B11" i="18"/>
  <c r="D11" i="8"/>
  <c r="G13" i="8"/>
  <c r="G19" i="10"/>
  <c r="B13" i="19"/>
  <c r="H35" i="18"/>
  <c r="D45" i="9"/>
  <c r="B51" i="19"/>
  <c r="H40" i="18"/>
  <c r="H33" i="18"/>
  <c r="D37" i="10"/>
  <c r="D45" i="10"/>
  <c r="G40" i="8"/>
  <c r="B50" i="19"/>
  <c r="B18" i="76"/>
  <c r="D18" i="27"/>
  <c r="D18" i="76" s="1"/>
  <c r="G23" i="26"/>
  <c r="B34" i="76"/>
  <c r="D34" i="27"/>
  <c r="D34" i="76" s="1"/>
  <c r="D28" i="10"/>
  <c r="D17" i="10"/>
  <c r="D12" i="9"/>
  <c r="B26" i="76"/>
  <c r="D26" i="27"/>
  <c r="D26" i="76" s="1"/>
  <c r="D14" i="10"/>
  <c r="B44" i="76"/>
  <c r="D44" i="27"/>
  <c r="D44" i="76" s="1"/>
  <c r="E23" i="18"/>
  <c r="D23" i="10"/>
  <c r="D31" i="10"/>
  <c r="D50" i="10"/>
  <c r="G23" i="11"/>
  <c r="G34" i="11"/>
  <c r="G29" i="11"/>
  <c r="G25" i="11"/>
  <c r="G19" i="11"/>
  <c r="G15" i="11"/>
  <c r="G45" i="11"/>
  <c r="J50" i="26"/>
  <c r="D41" i="7"/>
  <c r="D32" i="9"/>
  <c r="G33" i="8"/>
  <c r="B14" i="18"/>
  <c r="D14" i="8"/>
  <c r="B22" i="18"/>
  <c r="D22" i="8"/>
  <c r="B36" i="18"/>
  <c r="D36" i="8"/>
  <c r="G51" i="10"/>
  <c r="B16" i="76"/>
  <c r="D16" i="27"/>
  <c r="D16" i="76" s="1"/>
  <c r="J15" i="26"/>
  <c r="D14" i="11"/>
  <c r="D51" i="11"/>
  <c r="G38" i="8"/>
  <c r="B11" i="39"/>
  <c r="B22" i="20"/>
  <c r="B30" i="20"/>
  <c r="B39" i="20"/>
  <c r="B15" i="39"/>
  <c r="B36" i="39"/>
  <c r="G20" i="26"/>
  <c r="G38" i="26"/>
  <c r="J25" i="9"/>
  <c r="D34" i="9"/>
  <c r="B28" i="18"/>
  <c r="D28" i="8"/>
  <c r="D40" i="11"/>
  <c r="G22" i="10"/>
  <c r="B23" i="19"/>
  <c r="J23" i="11"/>
  <c r="B27" i="40"/>
  <c r="D42" i="8"/>
  <c r="G24" i="28"/>
  <c r="D23" i="28"/>
  <c r="D24" i="28"/>
  <c r="D25" i="10"/>
  <c r="B32" i="19"/>
  <c r="H18" i="18"/>
  <c r="D39" i="8"/>
  <c r="B22" i="39"/>
  <c r="J36" i="26"/>
  <c r="D28" i="9"/>
  <c r="H23" i="18"/>
  <c r="D31" i="9"/>
  <c r="B14" i="39"/>
  <c r="B41" i="76"/>
  <c r="D41" i="27"/>
  <c r="D41" i="76" s="1"/>
  <c r="B33" i="76"/>
  <c r="D33" i="27"/>
  <c r="D33" i="76" s="1"/>
  <c r="G26" i="26"/>
  <c r="D33" i="7"/>
  <c r="D38" i="9"/>
  <c r="G27" i="28"/>
  <c r="B44" i="39"/>
  <c r="B37" i="39"/>
  <c r="B32" i="39"/>
  <c r="B45" i="76"/>
  <c r="D45" i="27"/>
  <c r="D45" i="76" s="1"/>
  <c r="J26" i="26"/>
  <c r="J20" i="26"/>
  <c r="D31" i="19"/>
  <c r="D31" i="26"/>
  <c r="D12" i="26"/>
  <c r="D33" i="9"/>
  <c r="D19" i="9"/>
  <c r="G30" i="28"/>
  <c r="B37" i="40"/>
  <c r="D37" i="40" s="1"/>
  <c r="B25" i="40"/>
  <c r="D25" i="40" s="1"/>
  <c r="B35" i="40"/>
  <c r="D35" i="40" s="1"/>
  <c r="B22" i="40"/>
  <c r="D22" i="40" s="1"/>
  <c r="B30" i="76"/>
  <c r="D30" i="27"/>
  <c r="D30" i="76" s="1"/>
  <c r="J43" i="26"/>
  <c r="J27" i="26"/>
  <c r="G45" i="26"/>
  <c r="J37" i="26"/>
  <c r="J30" i="26"/>
  <c r="G27" i="26"/>
  <c r="J19" i="26"/>
  <c r="G13" i="26"/>
  <c r="G40" i="26"/>
  <c r="G35" i="26"/>
  <c r="G29" i="26"/>
  <c r="B43" i="19"/>
  <c r="B15" i="19"/>
  <c r="D35" i="11"/>
  <c r="D44" i="11"/>
  <c r="D29" i="11"/>
  <c r="G28" i="10"/>
  <c r="G41" i="10"/>
  <c r="G24" i="10"/>
  <c r="D45" i="7"/>
  <c r="D26" i="7"/>
  <c r="D17" i="9"/>
  <c r="G43" i="10"/>
  <c r="B42" i="19"/>
  <c r="J51" i="26"/>
  <c r="G50" i="11"/>
  <c r="D38" i="11"/>
  <c r="B38" i="40"/>
  <c r="D38" i="40" s="1"/>
  <c r="D50" i="11"/>
  <c r="B28" i="19"/>
  <c r="F19" i="46"/>
  <c r="D35" i="9"/>
  <c r="F35" i="45"/>
  <c r="B27" i="39"/>
  <c r="D23" i="11"/>
  <c r="B11" i="19"/>
  <c r="D50" i="9"/>
  <c r="D16" i="19"/>
  <c r="D16" i="26"/>
  <c r="H22" i="18"/>
  <c r="D30" i="10"/>
  <c r="D43" i="10"/>
  <c r="H42" i="18"/>
  <c r="B50" i="18"/>
  <c r="D50" i="8"/>
  <c r="B23" i="39"/>
  <c r="G44" i="10"/>
  <c r="H37" i="18"/>
  <c r="B43" i="39"/>
  <c r="D27" i="11"/>
  <c r="F44" i="45"/>
  <c r="G42" i="8"/>
  <c r="D42" i="10"/>
  <c r="D35" i="10"/>
  <c r="D15" i="10"/>
  <c r="B30" i="19"/>
  <c r="D27" i="10"/>
  <c r="D39" i="10"/>
  <c r="D41" i="10"/>
  <c r="J50" i="28"/>
  <c r="J21" i="11"/>
  <c r="G39" i="11"/>
  <c r="G35" i="11"/>
  <c r="G30" i="11"/>
  <c r="G26" i="11"/>
  <c r="G21" i="11"/>
  <c r="G16" i="11"/>
  <c r="G42" i="11"/>
  <c r="G31" i="11"/>
  <c r="B51" i="41"/>
  <c r="C51" i="41" s="1"/>
  <c r="D18" i="28"/>
  <c r="D37" i="7"/>
  <c r="D24" i="9"/>
  <c r="G27" i="8"/>
  <c r="G43" i="8"/>
  <c r="B19" i="18"/>
  <c r="D19" i="8"/>
  <c r="B34" i="18"/>
  <c r="D34" i="8"/>
  <c r="B51" i="39"/>
  <c r="H14" i="18"/>
  <c r="B22" i="76"/>
  <c r="D22" i="27"/>
  <c r="D22" i="76" s="1"/>
  <c r="G16" i="10"/>
  <c r="B51" i="76"/>
  <c r="D51" i="27"/>
  <c r="D51" i="76" s="1"/>
  <c r="G51" i="8"/>
  <c r="F15" i="45"/>
  <c r="F13" i="45"/>
  <c r="G19" i="8"/>
  <c r="G36" i="8"/>
  <c r="B11" i="20"/>
  <c r="B37" i="20"/>
  <c r="B34" i="39"/>
  <c r="G14" i="26"/>
  <c r="G34" i="26"/>
  <c r="J13" i="9"/>
  <c r="D16" i="9"/>
  <c r="B24" i="18"/>
  <c r="D24" i="8"/>
  <c r="D45" i="11"/>
  <c r="D32" i="11"/>
  <c r="D21" i="11"/>
  <c r="G11" i="10"/>
  <c r="G42" i="26"/>
  <c r="G39" i="8"/>
  <c r="G31" i="10"/>
  <c r="B30" i="40"/>
  <c r="D30" i="40" s="1"/>
  <c r="G51" i="28"/>
  <c r="D13" i="28"/>
  <c r="G40" i="29"/>
  <c r="G11" i="28"/>
  <c r="D33" i="29"/>
  <c r="J43" i="28"/>
  <c r="G39" i="28"/>
  <c r="G28" i="28"/>
  <c r="G23" i="28"/>
  <c r="G14" i="28"/>
  <c r="G21" i="28"/>
  <c r="H32" i="18"/>
  <c r="H39" i="18"/>
  <c r="H26" i="18"/>
  <c r="D34" i="10"/>
  <c r="D23" i="8"/>
  <c r="B35" i="18"/>
  <c r="D35" i="8"/>
  <c r="B30" i="39"/>
  <c r="J34" i="26"/>
  <c r="D21" i="9"/>
  <c r="B32" i="18"/>
  <c r="D32" i="8"/>
  <c r="H25" i="18"/>
  <c r="E21" i="18"/>
  <c r="D21" i="10"/>
  <c r="B34" i="20"/>
  <c r="D34" i="20" s="1"/>
  <c r="B35" i="76"/>
  <c r="D35" i="27"/>
  <c r="D35" i="76" s="1"/>
  <c r="G44" i="26"/>
  <c r="B19" i="40"/>
  <c r="D19" i="40" s="1"/>
  <c r="D14" i="19"/>
  <c r="D14" i="26"/>
  <c r="H17" i="18"/>
  <c r="D41" i="9"/>
  <c r="B25" i="20"/>
  <c r="B17" i="20"/>
  <c r="B39" i="40"/>
  <c r="D39" i="40" s="1"/>
  <c r="B25" i="39"/>
  <c r="B29" i="40"/>
  <c r="D29" i="40" s="1"/>
  <c r="B31" i="76"/>
  <c r="D31" i="27"/>
  <c r="D31" i="76" s="1"/>
  <c r="B24" i="76"/>
  <c r="D24" i="27"/>
  <c r="D24" i="76" s="1"/>
  <c r="J16" i="26"/>
  <c r="J39" i="26"/>
  <c r="J35" i="26"/>
  <c r="G28" i="26"/>
  <c r="G21" i="26"/>
  <c r="J14" i="26"/>
  <c r="G41" i="26"/>
  <c r="G36" i="26"/>
  <c r="G15" i="26"/>
  <c r="B44" i="19"/>
  <c r="B26" i="19"/>
  <c r="B19" i="19"/>
  <c r="D36" i="11"/>
  <c r="D17" i="11"/>
  <c r="D30" i="11"/>
  <c r="D26" i="11"/>
  <c r="G30" i="10"/>
  <c r="G20" i="10"/>
  <c r="G15" i="10"/>
  <c r="G42" i="10"/>
  <c r="G32" i="10"/>
  <c r="G25" i="10"/>
  <c r="D40" i="7"/>
  <c r="D22" i="7"/>
  <c r="J32" i="9"/>
  <c r="D30" i="9"/>
  <c r="G11" i="26"/>
  <c r="B21" i="19"/>
  <c r="B36" i="19"/>
  <c r="G38" i="28"/>
  <c r="F41" i="45"/>
  <c r="F24" i="45"/>
  <c r="J38" i="9"/>
  <c r="G22" i="26"/>
  <c r="B38" i="39"/>
  <c r="G37" i="10"/>
  <c r="G38" i="10"/>
  <c r="D51" i="19"/>
  <c r="D51" i="26"/>
  <c r="H38" i="18"/>
  <c r="E48" i="46"/>
  <c r="F11" i="46"/>
  <c r="F51" i="52"/>
  <c r="B51" i="43" s="1"/>
  <c r="F51" i="43" s="1"/>
  <c r="H51" i="43" s="1"/>
  <c r="F50" i="45"/>
  <c r="B48" i="44"/>
  <c r="B17" i="19"/>
  <c r="G18" i="10"/>
  <c r="B21" i="40"/>
  <c r="D21" i="40" s="1"/>
  <c r="B27" i="76"/>
  <c r="D27" i="27"/>
  <c r="D27" i="76" s="1"/>
  <c r="H44" i="18"/>
  <c r="H24" i="18"/>
  <c r="D40" i="10"/>
  <c r="H50" i="18"/>
  <c r="G15" i="8"/>
  <c r="D42" i="11"/>
  <c r="B38" i="76"/>
  <c r="D38" i="27"/>
  <c r="D38" i="76" s="1"/>
  <c r="G30" i="8"/>
  <c r="G32" i="8"/>
  <c r="B29" i="19"/>
  <c r="B23" i="18"/>
  <c r="H45" i="18"/>
  <c r="H19" i="18"/>
  <c r="H29" i="18"/>
  <c r="B43" i="18"/>
  <c r="E31" i="20"/>
  <c r="J41" i="11"/>
  <c r="E40" i="18"/>
  <c r="E30" i="18"/>
  <c r="E37" i="18"/>
  <c r="E32" i="18"/>
  <c r="B14" i="19"/>
  <c r="E14" i="18"/>
  <c r="E42" i="18"/>
  <c r="E38" i="18"/>
  <c r="E27" i="20"/>
  <c r="B32" i="20"/>
  <c r="B16" i="20"/>
  <c r="B14" i="20"/>
  <c r="E43" i="18"/>
  <c r="F14" i="45"/>
  <c r="E34" i="18"/>
  <c r="E17" i="18"/>
  <c r="H31" i="18"/>
  <c r="D21" i="7"/>
  <c r="G17" i="18" l="1"/>
  <c r="G34" i="18"/>
  <c r="D48" i="9"/>
  <c r="E31" i="5"/>
  <c r="G48" i="26"/>
  <c r="G43" i="18"/>
  <c r="D16" i="20"/>
  <c r="G42" i="18"/>
  <c r="G40" i="18"/>
  <c r="D14" i="20"/>
  <c r="D32" i="20"/>
  <c r="G38" i="18"/>
  <c r="G14" i="18"/>
  <c r="D48" i="7"/>
  <c r="G32" i="18"/>
  <c r="G37" i="18"/>
  <c r="G30" i="18"/>
  <c r="G31" i="20"/>
  <c r="D43" i="18"/>
  <c r="E29" i="5"/>
  <c r="E19" i="5"/>
  <c r="D23" i="18"/>
  <c r="G11" i="29"/>
  <c r="G17" i="29"/>
  <c r="H21" i="18"/>
  <c r="J51" i="11"/>
  <c r="B18" i="41"/>
  <c r="B31" i="41"/>
  <c r="F11" i="41"/>
  <c r="G30" i="29"/>
  <c r="J51" i="28"/>
  <c r="E13" i="20"/>
  <c r="E35" i="20"/>
  <c r="J46" i="11"/>
  <c r="D44" i="29"/>
  <c r="J24" i="28"/>
  <c r="B24" i="40"/>
  <c r="D24" i="40" s="1"/>
  <c r="B51" i="40"/>
  <c r="E29" i="20"/>
  <c r="F16" i="41"/>
  <c r="G16" i="41" s="1"/>
  <c r="F39" i="41"/>
  <c r="G39" i="41" s="1"/>
  <c r="F46" i="41"/>
  <c r="G46" i="41" s="1"/>
  <c r="D17" i="29"/>
  <c r="J12" i="28"/>
  <c r="J28" i="11"/>
  <c r="D36" i="29"/>
  <c r="D14" i="29"/>
  <c r="J40" i="28"/>
  <c r="F25" i="41"/>
  <c r="G25" i="41" s="1"/>
  <c r="D24" i="19"/>
  <c r="D24" i="26"/>
  <c r="D28" i="19"/>
  <c r="D28" i="26"/>
  <c r="D33" i="19"/>
  <c r="D33" i="26"/>
  <c r="D37" i="19"/>
  <c r="D37" i="26"/>
  <c r="D45" i="19"/>
  <c r="D45" i="26"/>
  <c r="D43" i="19"/>
  <c r="D43" i="26"/>
  <c r="B36" i="40"/>
  <c r="D36" i="40" s="1"/>
  <c r="G37" i="29"/>
  <c r="D32" i="28"/>
  <c r="J24" i="11"/>
  <c r="J12" i="11"/>
  <c r="J30" i="28"/>
  <c r="G16" i="29"/>
  <c r="G32" i="28"/>
  <c r="G37" i="28"/>
  <c r="E50" i="20"/>
  <c r="B12" i="41"/>
  <c r="B17" i="41"/>
  <c r="B41" i="41"/>
  <c r="F28" i="41"/>
  <c r="G28" i="41" s="1"/>
  <c r="J19" i="28"/>
  <c r="G13" i="28"/>
  <c r="G31" i="29"/>
  <c r="F27" i="41"/>
  <c r="G27" i="41" s="1"/>
  <c r="F35" i="41"/>
  <c r="G35" i="41" s="1"/>
  <c r="E12" i="20"/>
  <c r="D18" i="19"/>
  <c r="D18" i="26"/>
  <c r="B13" i="39"/>
  <c r="F23" i="41"/>
  <c r="G23" i="41" s="1"/>
  <c r="D28" i="29"/>
  <c r="J26" i="28"/>
  <c r="G19" i="28"/>
  <c r="G16" i="19"/>
  <c r="D16" i="28"/>
  <c r="G36" i="28"/>
  <c r="E30" i="20"/>
  <c r="J33" i="28"/>
  <c r="J44" i="28"/>
  <c r="G41" i="19"/>
  <c r="D41" i="28"/>
  <c r="H13" i="18"/>
  <c r="D25" i="9"/>
  <c r="B42" i="40"/>
  <c r="D42" i="40" s="1"/>
  <c r="D20" i="28"/>
  <c r="B37" i="41"/>
  <c r="J46" i="9"/>
  <c r="E17" i="20"/>
  <c r="E26" i="18"/>
  <c r="G26" i="18" s="1"/>
  <c r="D26" i="10"/>
  <c r="G46" i="8"/>
  <c r="D39" i="9"/>
  <c r="B29" i="18"/>
  <c r="D29" i="8"/>
  <c r="E46" i="20"/>
  <c r="D34" i="28"/>
  <c r="E44" i="5"/>
  <c r="F45" i="45"/>
  <c r="F48" i="46"/>
  <c r="F38" i="39"/>
  <c r="D38" i="39"/>
  <c r="H38" i="39"/>
  <c r="F14" i="19"/>
  <c r="G21" i="18"/>
  <c r="D32" i="18"/>
  <c r="D11" i="20"/>
  <c r="B18" i="19"/>
  <c r="E18" i="5" s="1"/>
  <c r="E42" i="5"/>
  <c r="E22" i="5"/>
  <c r="G35" i="28"/>
  <c r="F37" i="39"/>
  <c r="D37" i="39"/>
  <c r="H37" i="39"/>
  <c r="F22" i="39"/>
  <c r="D22" i="39"/>
  <c r="H22" i="39"/>
  <c r="D14" i="18"/>
  <c r="D11" i="18"/>
  <c r="F16" i="39"/>
  <c r="H16" i="39"/>
  <c r="D16" i="39"/>
  <c r="F37" i="45"/>
  <c r="F42" i="45"/>
  <c r="F24" i="39"/>
  <c r="H24" i="39"/>
  <c r="D24" i="39"/>
  <c r="D21" i="20"/>
  <c r="D44" i="20"/>
  <c r="E15" i="5"/>
  <c r="F15" i="19"/>
  <c r="E27" i="5"/>
  <c r="E36" i="5"/>
  <c r="J48" i="26"/>
  <c r="D40" i="18"/>
  <c r="D38" i="18"/>
  <c r="E11" i="5"/>
  <c r="D38" i="20"/>
  <c r="D26" i="18"/>
  <c r="B33" i="19"/>
  <c r="E33" i="5" s="1"/>
  <c r="B34" i="19"/>
  <c r="B42" i="18"/>
  <c r="B51" i="20"/>
  <c r="F29" i="45"/>
  <c r="B45" i="19"/>
  <c r="H28" i="18"/>
  <c r="F23" i="45"/>
  <c r="E51" i="18"/>
  <c r="F19" i="45"/>
  <c r="B20" i="18"/>
  <c r="G12" i="8"/>
  <c r="B18" i="39"/>
  <c r="D20" i="11"/>
  <c r="G32" i="29"/>
  <c r="J29" i="11"/>
  <c r="B14" i="41"/>
  <c r="B29" i="41"/>
  <c r="D19" i="29"/>
  <c r="G12" i="10"/>
  <c r="F24" i="41"/>
  <c r="G24" i="41" s="1"/>
  <c r="G19" i="29"/>
  <c r="E22" i="20"/>
  <c r="E25" i="20"/>
  <c r="B19" i="41"/>
  <c r="D38" i="29"/>
  <c r="D35" i="29"/>
  <c r="J23" i="28"/>
  <c r="F15" i="41"/>
  <c r="G15" i="41" s="1"/>
  <c r="F43" i="41"/>
  <c r="G43" i="41" s="1"/>
  <c r="B40" i="40"/>
  <c r="D40" i="40" s="1"/>
  <c r="B50" i="40"/>
  <c r="G27" i="20"/>
  <c r="E41" i="20"/>
  <c r="B39" i="41"/>
  <c r="B45" i="41"/>
  <c r="J39" i="28"/>
  <c r="D13" i="29"/>
  <c r="J39" i="11"/>
  <c r="J38" i="28"/>
  <c r="B13" i="76"/>
  <c r="D13" i="27"/>
  <c r="D13" i="76" s="1"/>
  <c r="F20" i="41"/>
  <c r="G20" i="41" s="1"/>
  <c r="D12" i="11"/>
  <c r="D20" i="19"/>
  <c r="D20" i="26"/>
  <c r="D27" i="19"/>
  <c r="D27" i="26"/>
  <c r="D32" i="19"/>
  <c r="D32" i="26"/>
  <c r="D36" i="19"/>
  <c r="D36" i="26"/>
  <c r="D42" i="19"/>
  <c r="D42" i="26"/>
  <c r="B13" i="18"/>
  <c r="D13" i="8"/>
  <c r="B46" i="39"/>
  <c r="B28" i="40"/>
  <c r="D28" i="40" s="1"/>
  <c r="G33" i="28"/>
  <c r="G40" i="19"/>
  <c r="D40" i="28"/>
  <c r="J11" i="11"/>
  <c r="D30" i="29"/>
  <c r="D41" i="29"/>
  <c r="B31" i="18"/>
  <c r="D31" i="8"/>
  <c r="B41" i="18"/>
  <c r="D41" i="8"/>
  <c r="G31" i="19"/>
  <c r="D31" i="28"/>
  <c r="G27" i="29"/>
  <c r="D28" i="28"/>
  <c r="E51" i="20"/>
  <c r="E26" i="20"/>
  <c r="B16" i="41"/>
  <c r="B34" i="41"/>
  <c r="F14" i="41"/>
  <c r="G14" i="41" s="1"/>
  <c r="D42" i="7"/>
  <c r="J27" i="28"/>
  <c r="G12" i="11"/>
  <c r="D37" i="28"/>
  <c r="G29" i="29"/>
  <c r="F41" i="41"/>
  <c r="G41" i="41" s="1"/>
  <c r="F34" i="41"/>
  <c r="G34" i="41" s="1"/>
  <c r="B20" i="41"/>
  <c r="B26" i="39"/>
  <c r="G15" i="29"/>
  <c r="E36" i="18"/>
  <c r="D36" i="10"/>
  <c r="J36" i="28"/>
  <c r="B21" i="41"/>
  <c r="G26" i="29"/>
  <c r="B27" i="41"/>
  <c r="J44" i="11"/>
  <c r="J20" i="11"/>
  <c r="B50" i="41"/>
  <c r="G18" i="28"/>
  <c r="D29" i="9"/>
  <c r="B26" i="41"/>
  <c r="J46" i="28"/>
  <c r="E29" i="18"/>
  <c r="D29" i="10"/>
  <c r="D46" i="11"/>
  <c r="D46" i="9"/>
  <c r="F30" i="41"/>
  <c r="G30" i="41" s="1"/>
  <c r="H46" i="18"/>
  <c r="G22" i="29"/>
  <c r="B41" i="39"/>
  <c r="G50" i="29"/>
  <c r="B21" i="18"/>
  <c r="D21" i="8"/>
  <c r="D23" i="29"/>
  <c r="D50" i="19"/>
  <c r="D50" i="26"/>
  <c r="B39" i="76"/>
  <c r="D39" i="27"/>
  <c r="D39" i="76" s="1"/>
  <c r="D23" i="9"/>
  <c r="E24" i="20"/>
  <c r="B45" i="40"/>
  <c r="D45" i="40" s="1"/>
  <c r="G45" i="28"/>
  <c r="B46" i="19"/>
  <c r="E14" i="20"/>
  <c r="E38" i="5"/>
  <c r="H25" i="39"/>
  <c r="F25" i="39"/>
  <c r="D25" i="39"/>
  <c r="D25" i="20"/>
  <c r="E39" i="5"/>
  <c r="F34" i="39"/>
  <c r="H34" i="39"/>
  <c r="D34" i="39"/>
  <c r="E14" i="5"/>
  <c r="E37" i="5"/>
  <c r="F23" i="39"/>
  <c r="H23" i="39"/>
  <c r="D23" i="39"/>
  <c r="F16" i="19"/>
  <c r="D11" i="27"/>
  <c r="D11" i="76" s="1"/>
  <c r="B11" i="76"/>
  <c r="D28" i="18"/>
  <c r="F15" i="39"/>
  <c r="H15" i="39"/>
  <c r="D15" i="39"/>
  <c r="D30" i="20"/>
  <c r="B12" i="76"/>
  <c r="D12" i="27"/>
  <c r="D12" i="76" s="1"/>
  <c r="D33" i="18"/>
  <c r="F42" i="39"/>
  <c r="D42" i="39"/>
  <c r="H42" i="39"/>
  <c r="F39" i="39"/>
  <c r="D39" i="39"/>
  <c r="H39" i="39"/>
  <c r="F39" i="45"/>
  <c r="F29" i="39"/>
  <c r="H29" i="39"/>
  <c r="D29" i="39"/>
  <c r="D27" i="20"/>
  <c r="D17" i="18"/>
  <c r="F12" i="39"/>
  <c r="D12" i="39"/>
  <c r="H12" i="39"/>
  <c r="F33" i="39"/>
  <c r="D33" i="39"/>
  <c r="H33" i="39"/>
  <c r="F45" i="39"/>
  <c r="D45" i="39"/>
  <c r="H45" i="39"/>
  <c r="G18" i="18"/>
  <c r="D11" i="40"/>
  <c r="F19" i="39"/>
  <c r="D19" i="39"/>
  <c r="H19" i="39"/>
  <c r="D15" i="18"/>
  <c r="F31" i="39"/>
  <c r="D31" i="39"/>
  <c r="H31" i="39"/>
  <c r="B28" i="20"/>
  <c r="E41" i="18"/>
  <c r="B46" i="40"/>
  <c r="D46" i="40" s="1"/>
  <c r="B39" i="18"/>
  <c r="G23" i="19"/>
  <c r="B24" i="19"/>
  <c r="E24" i="5" s="1"/>
  <c r="E42" i="20"/>
  <c r="B41" i="20"/>
  <c r="B24" i="20"/>
  <c r="F16" i="45"/>
  <c r="B25" i="18"/>
  <c r="D11" i="19"/>
  <c r="B12" i="20"/>
  <c r="B18" i="20"/>
  <c r="E45" i="20"/>
  <c r="D20" i="9"/>
  <c r="E20" i="18"/>
  <c r="D20" i="10"/>
  <c r="J26" i="11"/>
  <c r="J31" i="11"/>
  <c r="F31" i="41"/>
  <c r="G31" i="41" s="1"/>
  <c r="B24" i="41"/>
  <c r="B43" i="41"/>
  <c r="D40" i="29"/>
  <c r="J25" i="11"/>
  <c r="J16" i="28"/>
  <c r="D11" i="29"/>
  <c r="G12" i="26"/>
  <c r="F18" i="41"/>
  <c r="G18" i="41" s="1"/>
  <c r="F38" i="41"/>
  <c r="G38" i="41" s="1"/>
  <c r="E16" i="20"/>
  <c r="E21" i="20"/>
  <c r="D34" i="29"/>
  <c r="J43" i="11"/>
  <c r="J42" i="28"/>
  <c r="B38" i="41"/>
  <c r="F22" i="41"/>
  <c r="G22" i="41" s="1"/>
  <c r="E39" i="20"/>
  <c r="F29" i="41"/>
  <c r="G29" i="41" s="1"/>
  <c r="B31" i="40"/>
  <c r="D31" i="40" s="1"/>
  <c r="B16" i="40"/>
  <c r="D16" i="40" s="1"/>
  <c r="B15" i="40"/>
  <c r="D15" i="40" s="1"/>
  <c r="E20" i="20"/>
  <c r="E40" i="20"/>
  <c r="F36" i="41"/>
  <c r="G36" i="41" s="1"/>
  <c r="B42" i="41"/>
  <c r="F45" i="41"/>
  <c r="G45" i="41" s="1"/>
  <c r="D25" i="29"/>
  <c r="J37" i="28"/>
  <c r="J42" i="11"/>
  <c r="J35" i="11"/>
  <c r="J11" i="28"/>
  <c r="E28" i="20"/>
  <c r="G41" i="29"/>
  <c r="D45" i="28"/>
  <c r="F17" i="41"/>
  <c r="G17" i="41" s="1"/>
  <c r="F37" i="41"/>
  <c r="G37" i="41" s="1"/>
  <c r="B12" i="19"/>
  <c r="D19" i="19"/>
  <c r="D19" i="26"/>
  <c r="D26" i="19"/>
  <c r="D26" i="26"/>
  <c r="D30" i="19"/>
  <c r="D30" i="26"/>
  <c r="D35" i="19"/>
  <c r="D35" i="26"/>
  <c r="D41" i="19"/>
  <c r="D41" i="26"/>
  <c r="D23" i="19"/>
  <c r="D23" i="26"/>
  <c r="B19" i="76"/>
  <c r="D19" i="27"/>
  <c r="D19" i="76" s="1"/>
  <c r="D14" i="28"/>
  <c r="G50" i="28"/>
  <c r="B44" i="41"/>
  <c r="D11" i="28"/>
  <c r="G11" i="19"/>
  <c r="B29" i="76"/>
  <c r="D29" i="27"/>
  <c r="D29" i="76" s="1"/>
  <c r="G26" i="28"/>
  <c r="B36" i="41"/>
  <c r="D20" i="29"/>
  <c r="D31" i="29"/>
  <c r="G23" i="29"/>
  <c r="G45" i="29"/>
  <c r="G31" i="28"/>
  <c r="G22" i="28"/>
  <c r="D39" i="28"/>
  <c r="E18" i="20"/>
  <c r="B15" i="41"/>
  <c r="B25" i="41"/>
  <c r="D16" i="29"/>
  <c r="G42" i="19"/>
  <c r="D42" i="28"/>
  <c r="J40" i="11"/>
  <c r="E12" i="18"/>
  <c r="D12" i="10"/>
  <c r="E24" i="18"/>
  <c r="D24" i="10"/>
  <c r="J31" i="28"/>
  <c r="D35" i="28"/>
  <c r="B11" i="41"/>
  <c r="E23" i="20"/>
  <c r="J15" i="11"/>
  <c r="F50" i="41"/>
  <c r="D32" i="29"/>
  <c r="D39" i="19"/>
  <c r="F39" i="19" s="1"/>
  <c r="D39" i="26"/>
  <c r="E43" i="20"/>
  <c r="G13" i="11"/>
  <c r="D17" i="19"/>
  <c r="D17" i="26"/>
  <c r="F33" i="41"/>
  <c r="G33" i="41" s="1"/>
  <c r="J19" i="11"/>
  <c r="F31" i="45"/>
  <c r="B45" i="18"/>
  <c r="D45" i="8"/>
  <c r="F51" i="41"/>
  <c r="B46" i="18"/>
  <c r="D46" i="8"/>
  <c r="D46" i="7"/>
  <c r="G46" i="11"/>
  <c r="J50" i="11"/>
  <c r="B44" i="18"/>
  <c r="D44" i="8"/>
  <c r="D36" i="28"/>
  <c r="H34" i="18"/>
  <c r="D22" i="19"/>
  <c r="D22" i="26"/>
  <c r="D21" i="19"/>
  <c r="D21" i="26"/>
  <c r="F42" i="41"/>
  <c r="G42" i="41" s="1"/>
  <c r="D24" i="29"/>
  <c r="F21" i="45"/>
  <c r="F40" i="45"/>
  <c r="F22" i="45"/>
  <c r="F51" i="19"/>
  <c r="F30" i="39"/>
  <c r="D30" i="39"/>
  <c r="H30" i="39"/>
  <c r="D34" i="18"/>
  <c r="D50" i="18"/>
  <c r="F32" i="39"/>
  <c r="H32" i="39"/>
  <c r="D32" i="39"/>
  <c r="F44" i="39"/>
  <c r="D44" i="39"/>
  <c r="H44" i="39"/>
  <c r="F14" i="39"/>
  <c r="D14" i="39"/>
  <c r="H14" i="39"/>
  <c r="E23" i="5"/>
  <c r="D36" i="18"/>
  <c r="G23" i="18"/>
  <c r="E35" i="5"/>
  <c r="D29" i="20"/>
  <c r="D30" i="18"/>
  <c r="E20" i="5"/>
  <c r="E30" i="5"/>
  <c r="D37" i="18"/>
  <c r="D16" i="18"/>
  <c r="B42" i="76"/>
  <c r="D42" i="27"/>
  <c r="D42" i="76" s="1"/>
  <c r="D51" i="18"/>
  <c r="D27" i="18"/>
  <c r="G33" i="18"/>
  <c r="F27" i="45"/>
  <c r="E39" i="18"/>
  <c r="E15" i="18"/>
  <c r="F30" i="45"/>
  <c r="B25" i="19"/>
  <c r="E25" i="5" s="1"/>
  <c r="D12" i="19"/>
  <c r="E25" i="18"/>
  <c r="E50" i="18"/>
  <c r="I50" i="45"/>
  <c r="I50" i="44" s="1"/>
  <c r="F50" i="42" s="1"/>
  <c r="E43" i="5"/>
  <c r="B26" i="40"/>
  <c r="D26" i="40" s="1"/>
  <c r="F12" i="45"/>
  <c r="E34" i="20"/>
  <c r="F36" i="45"/>
  <c r="B50" i="20"/>
  <c r="E44" i="18"/>
  <c r="E11" i="18"/>
  <c r="F51" i="45"/>
  <c r="F38" i="45"/>
  <c r="G17" i="11"/>
  <c r="J27" i="11"/>
  <c r="B22" i="41"/>
  <c r="B33" i="41"/>
  <c r="D21" i="29"/>
  <c r="J34" i="11"/>
  <c r="G51" i="29"/>
  <c r="E44" i="20"/>
  <c r="E32" i="20"/>
  <c r="E37" i="20"/>
  <c r="D15" i="29"/>
  <c r="J16" i="11"/>
  <c r="J29" i="28"/>
  <c r="B30" i="41"/>
  <c r="B14" i="40"/>
  <c r="B32" i="40"/>
  <c r="D32" i="40" s="1"/>
  <c r="E15" i="20"/>
  <c r="E33" i="20"/>
  <c r="B35" i="41"/>
  <c r="F40" i="41"/>
  <c r="G40" i="41" s="1"/>
  <c r="B46" i="41"/>
  <c r="D42" i="29"/>
  <c r="J18" i="28"/>
  <c r="J38" i="11"/>
  <c r="J14" i="11"/>
  <c r="D18" i="29"/>
  <c r="J14" i="28"/>
  <c r="B40" i="41"/>
  <c r="F12" i="41"/>
  <c r="G12" i="41" s="1"/>
  <c r="F32" i="41"/>
  <c r="G32" i="41" s="1"/>
  <c r="B17" i="76"/>
  <c r="D17" i="27"/>
  <c r="D17" i="76" s="1"/>
  <c r="H12" i="18"/>
  <c r="D25" i="26"/>
  <c r="D25" i="19"/>
  <c r="D29" i="19"/>
  <c r="D29" i="26"/>
  <c r="D34" i="19"/>
  <c r="D34" i="26"/>
  <c r="D40" i="19"/>
  <c r="D40" i="26"/>
  <c r="D46" i="19"/>
  <c r="D46" i="26"/>
  <c r="D51" i="29"/>
  <c r="D44" i="19"/>
  <c r="D44" i="26"/>
  <c r="G46" i="28"/>
  <c r="B28" i="41"/>
  <c r="B20" i="40"/>
  <c r="D20" i="40" s="1"/>
  <c r="B12" i="40"/>
  <c r="D12" i="40" s="1"/>
  <c r="G43" i="28"/>
  <c r="G42" i="29"/>
  <c r="J32" i="11"/>
  <c r="J37" i="11"/>
  <c r="J21" i="28"/>
  <c r="F26" i="41"/>
  <c r="G26" i="41" s="1"/>
  <c r="D21" i="28"/>
  <c r="G16" i="28"/>
  <c r="G19" i="19"/>
  <c r="D19" i="28"/>
  <c r="G30" i="19"/>
  <c r="D30" i="28"/>
  <c r="B13" i="41"/>
  <c r="B23" i="41"/>
  <c r="J22" i="28"/>
  <c r="D12" i="28"/>
  <c r="D22" i="28"/>
  <c r="D44" i="28"/>
  <c r="J30" i="11"/>
  <c r="D12" i="29"/>
  <c r="J25" i="28"/>
  <c r="B32" i="41"/>
  <c r="F44" i="41"/>
  <c r="G44" i="41" s="1"/>
  <c r="J41" i="28"/>
  <c r="E16" i="18"/>
  <c r="D16" i="10"/>
  <c r="D43" i="9"/>
  <c r="E38" i="20"/>
  <c r="E19" i="18"/>
  <c r="D19" i="10"/>
  <c r="G46" i="10"/>
  <c r="D38" i="19"/>
  <c r="D38" i="26"/>
  <c r="B46" i="20"/>
  <c r="E50" i="5"/>
  <c r="D17" i="20"/>
  <c r="E17" i="5"/>
  <c r="D35" i="18"/>
  <c r="E26" i="5"/>
  <c r="E32" i="5"/>
  <c r="D24" i="18"/>
  <c r="D37" i="20"/>
  <c r="D19" i="18"/>
  <c r="F43" i="39"/>
  <c r="H43" i="39"/>
  <c r="D43" i="39"/>
  <c r="F33" i="45"/>
  <c r="F34" i="45"/>
  <c r="B40" i="76"/>
  <c r="D40" i="27"/>
  <c r="D40" i="76" s="1"/>
  <c r="F31" i="19"/>
  <c r="F36" i="39"/>
  <c r="D36" i="39"/>
  <c r="H36" i="39"/>
  <c r="D39" i="20"/>
  <c r="D22" i="20"/>
  <c r="H11" i="39"/>
  <c r="D11" i="39"/>
  <c r="F11" i="39"/>
  <c r="D22" i="18"/>
  <c r="F28" i="45"/>
  <c r="F17" i="39"/>
  <c r="H17" i="39"/>
  <c r="D17" i="39"/>
  <c r="E16" i="5"/>
  <c r="F17" i="45"/>
  <c r="F20" i="39"/>
  <c r="D20" i="39"/>
  <c r="H20" i="39"/>
  <c r="F40" i="39"/>
  <c r="H40" i="39"/>
  <c r="D40" i="39"/>
  <c r="D19" i="20"/>
  <c r="F21" i="39"/>
  <c r="D21" i="39"/>
  <c r="H21" i="39"/>
  <c r="F35" i="39"/>
  <c r="D35" i="39"/>
  <c r="H35" i="39"/>
  <c r="E41" i="5"/>
  <c r="F28" i="39"/>
  <c r="D28" i="39"/>
  <c r="H28" i="39"/>
  <c r="D18" i="18"/>
  <c r="B41" i="40"/>
  <c r="D41" i="40" s="1"/>
  <c r="B40" i="20"/>
  <c r="B31" i="20"/>
  <c r="D31" i="20" s="1"/>
  <c r="B20" i="20"/>
  <c r="F11" i="45"/>
  <c r="E27" i="18"/>
  <c r="E35" i="18"/>
  <c r="B36" i="20"/>
  <c r="E31" i="18"/>
  <c r="E28" i="18"/>
  <c r="D13" i="19"/>
  <c r="E22" i="18"/>
  <c r="B40" i="19"/>
  <c r="B15" i="20"/>
  <c r="E46" i="18"/>
  <c r="H51" i="18"/>
  <c r="B42" i="20"/>
  <c r="B12" i="18"/>
  <c r="B18" i="40"/>
  <c r="D18" i="40" s="1"/>
  <c r="B45" i="20"/>
  <c r="B26" i="20"/>
  <c r="F18" i="45"/>
  <c r="E36" i="20"/>
  <c r="G21" i="19"/>
  <c r="G45" i="19"/>
  <c r="G24" i="19"/>
  <c r="G43" i="19"/>
  <c r="G20" i="19"/>
  <c r="G39" i="19"/>
  <c r="G18" i="19"/>
  <c r="E11" i="20"/>
  <c r="B48" i="39" l="1"/>
  <c r="H48" i="39" s="1"/>
  <c r="H48" i="18"/>
  <c r="G50" i="44"/>
  <c r="E50" i="42" s="1"/>
  <c r="B48" i="19"/>
  <c r="G11" i="20"/>
  <c r="I18" i="19"/>
  <c r="I20" i="19"/>
  <c r="I24" i="19"/>
  <c r="I45" i="19"/>
  <c r="I21" i="19"/>
  <c r="I39" i="19"/>
  <c r="I43" i="19"/>
  <c r="F19" i="41"/>
  <c r="G19" i="41" s="1"/>
  <c r="E13" i="18"/>
  <c r="D13" i="10"/>
  <c r="D29" i="29"/>
  <c r="D26" i="29"/>
  <c r="G33" i="29"/>
  <c r="G13" i="29"/>
  <c r="G44" i="29"/>
  <c r="J45" i="11"/>
  <c r="E45" i="18"/>
  <c r="J35" i="28"/>
  <c r="D26" i="20"/>
  <c r="D12" i="18"/>
  <c r="G46" i="18"/>
  <c r="G27" i="18"/>
  <c r="D20" i="20"/>
  <c r="G19" i="18"/>
  <c r="D25" i="28"/>
  <c r="G25" i="19"/>
  <c r="D13" i="41"/>
  <c r="C13" i="41"/>
  <c r="F44" i="19"/>
  <c r="F40" i="19"/>
  <c r="D48" i="19"/>
  <c r="F25" i="19"/>
  <c r="D40" i="41"/>
  <c r="C40" i="41"/>
  <c r="G33" i="20"/>
  <c r="D30" i="41"/>
  <c r="C30" i="41"/>
  <c r="G37" i="20"/>
  <c r="G44" i="20"/>
  <c r="D22" i="41"/>
  <c r="C22" i="41"/>
  <c r="F12" i="19"/>
  <c r="G39" i="18"/>
  <c r="F22" i="19"/>
  <c r="D44" i="18"/>
  <c r="G23" i="20"/>
  <c r="D36" i="41"/>
  <c r="C36" i="41"/>
  <c r="F23" i="19"/>
  <c r="F26" i="19"/>
  <c r="G28" i="20"/>
  <c r="G20" i="18"/>
  <c r="D18" i="20"/>
  <c r="D41" i="20"/>
  <c r="G41" i="18"/>
  <c r="G48" i="10"/>
  <c r="G14" i="20"/>
  <c r="G33" i="19"/>
  <c r="D33" i="28"/>
  <c r="G46" i="19"/>
  <c r="D46" i="28"/>
  <c r="G15" i="28"/>
  <c r="G36" i="18"/>
  <c r="F26" i="39"/>
  <c r="D26" i="39"/>
  <c r="H26" i="39"/>
  <c r="D13" i="18"/>
  <c r="F27" i="19"/>
  <c r="D45" i="41"/>
  <c r="C45" i="41"/>
  <c r="G41" i="20"/>
  <c r="G25" i="20"/>
  <c r="D29" i="41"/>
  <c r="C29" i="41"/>
  <c r="F18" i="39"/>
  <c r="D18" i="39"/>
  <c r="H18" i="39"/>
  <c r="D42" i="18"/>
  <c r="G46" i="20"/>
  <c r="D29" i="18"/>
  <c r="G12" i="20"/>
  <c r="D41" i="41"/>
  <c r="C41" i="41"/>
  <c r="D12" i="41"/>
  <c r="C12" i="41"/>
  <c r="F43" i="19"/>
  <c r="F28" i="19"/>
  <c r="E21" i="5"/>
  <c r="G50" i="45"/>
  <c r="E19" i="20"/>
  <c r="E48" i="20" s="1"/>
  <c r="G18" i="29"/>
  <c r="D46" i="29"/>
  <c r="J34" i="28"/>
  <c r="G39" i="29"/>
  <c r="G36" i="29"/>
  <c r="J32" i="28"/>
  <c r="D37" i="29"/>
  <c r="J20" i="28"/>
  <c r="D45" i="29"/>
  <c r="G24" i="29"/>
  <c r="D22" i="29"/>
  <c r="F13" i="19"/>
  <c r="G28" i="18"/>
  <c r="D36" i="20"/>
  <c r="G35" i="18"/>
  <c r="D40" i="20"/>
  <c r="D46" i="20"/>
  <c r="G16" i="18"/>
  <c r="D32" i="41"/>
  <c r="C32" i="41"/>
  <c r="I30" i="19"/>
  <c r="D28" i="41"/>
  <c r="C28" i="41"/>
  <c r="F34" i="19"/>
  <c r="E12" i="5"/>
  <c r="G44" i="18"/>
  <c r="D50" i="20"/>
  <c r="G50" i="18"/>
  <c r="G25" i="18"/>
  <c r="G15" i="18"/>
  <c r="F32" i="45"/>
  <c r="G15" i="19"/>
  <c r="D15" i="28"/>
  <c r="F17" i="19"/>
  <c r="G43" i="20"/>
  <c r="B48" i="41"/>
  <c r="C25" i="41"/>
  <c r="D25" i="41"/>
  <c r="G18" i="20"/>
  <c r="G29" i="19"/>
  <c r="D29" i="28"/>
  <c r="F41" i="19"/>
  <c r="F19" i="19"/>
  <c r="D42" i="41"/>
  <c r="C42" i="41"/>
  <c r="G40" i="20"/>
  <c r="G39" i="20"/>
  <c r="D38" i="41"/>
  <c r="C38" i="41"/>
  <c r="G21" i="20"/>
  <c r="D24" i="41"/>
  <c r="C24" i="41"/>
  <c r="G45" i="20"/>
  <c r="D24" i="20"/>
  <c r="D48" i="11"/>
  <c r="D48" i="8"/>
  <c r="I23" i="19"/>
  <c r="D28" i="20"/>
  <c r="G29" i="18"/>
  <c r="D26" i="41"/>
  <c r="C26" i="41"/>
  <c r="D50" i="41"/>
  <c r="C50" i="41"/>
  <c r="D27" i="41"/>
  <c r="C27" i="41"/>
  <c r="D21" i="41"/>
  <c r="C21" i="41"/>
  <c r="G50" i="19"/>
  <c r="D50" i="28"/>
  <c r="D16" i="41"/>
  <c r="C16" i="41"/>
  <c r="G51" i="20"/>
  <c r="I31" i="19"/>
  <c r="I40" i="19"/>
  <c r="F42" i="19"/>
  <c r="F20" i="19"/>
  <c r="D20" i="18"/>
  <c r="G51" i="18"/>
  <c r="E28" i="5"/>
  <c r="G30" i="20"/>
  <c r="I16" i="19"/>
  <c r="F13" i="39"/>
  <c r="D13" i="39"/>
  <c r="H13" i="39"/>
  <c r="F45" i="19"/>
  <c r="F24" i="19"/>
  <c r="G13" i="20"/>
  <c r="D18" i="41"/>
  <c r="C18" i="41"/>
  <c r="G22" i="19"/>
  <c r="G36" i="19"/>
  <c r="F46" i="45"/>
  <c r="G37" i="19"/>
  <c r="B13" i="40"/>
  <c r="D13" i="40" s="1"/>
  <c r="J17" i="28"/>
  <c r="G17" i="19"/>
  <c r="G38" i="29"/>
  <c r="G35" i="29"/>
  <c r="J28" i="28"/>
  <c r="D50" i="29"/>
  <c r="J13" i="28"/>
  <c r="G12" i="29"/>
  <c r="G14" i="29"/>
  <c r="J45" i="28"/>
  <c r="G21" i="29"/>
  <c r="G25" i="29"/>
  <c r="D15" i="20"/>
  <c r="G22" i="18"/>
  <c r="G48" i="28"/>
  <c r="F38" i="19"/>
  <c r="B43" i="20"/>
  <c r="B43" i="40"/>
  <c r="D43" i="40" s="1"/>
  <c r="G38" i="20"/>
  <c r="D23" i="41"/>
  <c r="C23" i="41"/>
  <c r="I19" i="19"/>
  <c r="F29" i="19"/>
  <c r="D46" i="41"/>
  <c r="C46" i="41"/>
  <c r="D35" i="41"/>
  <c r="C35" i="41"/>
  <c r="G15" i="20"/>
  <c r="G32" i="20"/>
  <c r="D33" i="41"/>
  <c r="C33" i="41"/>
  <c r="G11" i="18"/>
  <c r="D48" i="26"/>
  <c r="G34" i="20"/>
  <c r="E34" i="5"/>
  <c r="D45" i="18"/>
  <c r="C11" i="41"/>
  <c r="D11" i="41"/>
  <c r="G24" i="18"/>
  <c r="I42" i="19"/>
  <c r="F35" i="19"/>
  <c r="D12" i="20"/>
  <c r="F11" i="19"/>
  <c r="G42" i="20"/>
  <c r="D39" i="18"/>
  <c r="D48" i="27"/>
  <c r="D48" i="76" s="1"/>
  <c r="G24" i="20"/>
  <c r="D21" i="18"/>
  <c r="F41" i="39"/>
  <c r="H41" i="39"/>
  <c r="D41" i="39"/>
  <c r="E46" i="5"/>
  <c r="G27" i="19"/>
  <c r="D27" i="28"/>
  <c r="D20" i="41"/>
  <c r="C20" i="41"/>
  <c r="D41" i="18"/>
  <c r="F36" i="19"/>
  <c r="D39" i="41"/>
  <c r="C39" i="41"/>
  <c r="D19" i="41"/>
  <c r="C19" i="41"/>
  <c r="G22" i="20"/>
  <c r="D14" i="41"/>
  <c r="C14" i="41"/>
  <c r="D51" i="20"/>
  <c r="G48" i="9"/>
  <c r="E13" i="5"/>
  <c r="F18" i="19"/>
  <c r="D17" i="41"/>
  <c r="C17" i="41"/>
  <c r="G50" i="20"/>
  <c r="F37" i="19"/>
  <c r="G11" i="41"/>
  <c r="G12" i="19"/>
  <c r="G35" i="19"/>
  <c r="G14" i="19"/>
  <c r="B13" i="20"/>
  <c r="G28" i="19"/>
  <c r="B48" i="18"/>
  <c r="G34" i="19"/>
  <c r="E45" i="5"/>
  <c r="G34" i="29"/>
  <c r="B23" i="40"/>
  <c r="D23" i="40" s="1"/>
  <c r="D39" i="29"/>
  <c r="D27" i="29"/>
  <c r="G43" i="29"/>
  <c r="J15" i="28"/>
  <c r="D43" i="29"/>
  <c r="G20" i="29"/>
  <c r="G46" i="29"/>
  <c r="G36" i="20"/>
  <c r="D45" i="20"/>
  <c r="D42" i="20"/>
  <c r="E51" i="5"/>
  <c r="G31" i="18"/>
  <c r="J48" i="9"/>
  <c r="G29" i="28"/>
  <c r="G38" i="19"/>
  <c r="D38" i="28"/>
  <c r="F46" i="19"/>
  <c r="G48" i="11"/>
  <c r="C50" i="45"/>
  <c r="G50" i="42" s="1"/>
  <c r="E50" i="45"/>
  <c r="H50" i="42" s="1"/>
  <c r="I50" i="43"/>
  <c r="B50" i="42" s="1"/>
  <c r="C50" i="44"/>
  <c r="C50" i="42" s="1"/>
  <c r="E50" i="44"/>
  <c r="D50" i="42" s="1"/>
  <c r="F21" i="19"/>
  <c r="D46" i="18"/>
  <c r="G12" i="18"/>
  <c r="D15" i="41"/>
  <c r="C15" i="41"/>
  <c r="I11" i="19"/>
  <c r="D44" i="41"/>
  <c r="C44" i="41"/>
  <c r="F30" i="19"/>
  <c r="G20" i="20"/>
  <c r="G16" i="20"/>
  <c r="D43" i="41"/>
  <c r="C43" i="41"/>
  <c r="D25" i="18"/>
  <c r="G48" i="8"/>
  <c r="F50" i="19"/>
  <c r="F25" i="45"/>
  <c r="D34" i="41"/>
  <c r="C34" i="41"/>
  <c r="G26" i="20"/>
  <c r="D31" i="18"/>
  <c r="F46" i="39"/>
  <c r="D46" i="39"/>
  <c r="H46" i="39"/>
  <c r="F32" i="19"/>
  <c r="B50" i="76"/>
  <c r="D50" i="27"/>
  <c r="D50" i="76" s="1"/>
  <c r="G17" i="20"/>
  <c r="D37" i="41"/>
  <c r="C37" i="41"/>
  <c r="I41" i="19"/>
  <c r="G51" i="19"/>
  <c r="D51" i="28"/>
  <c r="F33" i="19"/>
  <c r="G29" i="20"/>
  <c r="G35" i="20"/>
  <c r="D31" i="41"/>
  <c r="C31" i="41"/>
  <c r="G44" i="19"/>
  <c r="G26" i="19"/>
  <c r="G13" i="19"/>
  <c r="B48" i="76"/>
  <c r="I51" i="45"/>
  <c r="E40" i="5"/>
  <c r="G32" i="19"/>
  <c r="B23" i="20"/>
  <c r="B43" i="85"/>
  <c r="E43" i="85" s="1"/>
  <c r="B24" i="85"/>
  <c r="E24" i="85" s="1"/>
  <c r="B29" i="85"/>
  <c r="E29" i="85" s="1"/>
  <c r="F48" i="41" l="1"/>
  <c r="G48" i="41" s="1"/>
  <c r="E48" i="18"/>
  <c r="G48" i="18" s="1"/>
  <c r="D48" i="39"/>
  <c r="F48" i="39"/>
  <c r="B48" i="40"/>
  <c r="D48" i="40" s="1"/>
  <c r="E48" i="5"/>
  <c r="G48" i="20"/>
  <c r="G24" i="85"/>
  <c r="K24" i="85"/>
  <c r="B26" i="85"/>
  <c r="E26" i="85" s="1"/>
  <c r="I51" i="19"/>
  <c r="I38" i="19"/>
  <c r="I34" i="19"/>
  <c r="I28" i="19"/>
  <c r="D13" i="20"/>
  <c r="I14" i="19"/>
  <c r="I27" i="19"/>
  <c r="D43" i="20"/>
  <c r="I17" i="19"/>
  <c r="I37" i="19"/>
  <c r="I36" i="19"/>
  <c r="I50" i="19"/>
  <c r="I15" i="19"/>
  <c r="G13" i="18"/>
  <c r="B21" i="85"/>
  <c r="E21" i="85" s="1"/>
  <c r="B45" i="85"/>
  <c r="E45" i="85" s="1"/>
  <c r="B34" i="85"/>
  <c r="E34" i="85" s="1"/>
  <c r="G43" i="85"/>
  <c r="K43" i="85"/>
  <c r="D23" i="20"/>
  <c r="I13" i="19"/>
  <c r="I26" i="19"/>
  <c r="J48" i="28"/>
  <c r="I12" i="19"/>
  <c r="I46" i="19"/>
  <c r="G45" i="18"/>
  <c r="B22" i="85"/>
  <c r="E22" i="85" s="1"/>
  <c r="B14" i="85"/>
  <c r="E14" i="85" s="1"/>
  <c r="I32" i="19"/>
  <c r="I51" i="43"/>
  <c r="B51" i="42" s="1"/>
  <c r="C51" i="44"/>
  <c r="C51" i="42" s="1"/>
  <c r="E51" i="45"/>
  <c r="H51" i="42" s="1"/>
  <c r="C51" i="45"/>
  <c r="G51" i="42" s="1"/>
  <c r="E51" i="44"/>
  <c r="D51" i="42" s="1"/>
  <c r="G51" i="44"/>
  <c r="E51" i="42" s="1"/>
  <c r="I51" i="44"/>
  <c r="F51" i="42" s="1"/>
  <c r="D48" i="41"/>
  <c r="C48" i="41"/>
  <c r="G19" i="20"/>
  <c r="I33" i="19"/>
  <c r="F48" i="19"/>
  <c r="I25" i="19"/>
  <c r="F48" i="45"/>
  <c r="G51" i="45"/>
  <c r="G29" i="85"/>
  <c r="K29" i="85"/>
  <c r="B46" i="85"/>
  <c r="E46" i="85" s="1"/>
  <c r="B17" i="85"/>
  <c r="E17" i="85" s="1"/>
  <c r="G48" i="29"/>
  <c r="D48" i="29"/>
  <c r="I44" i="19"/>
  <c r="D48" i="18"/>
  <c r="I35" i="19"/>
  <c r="D48" i="28"/>
  <c r="I22" i="19"/>
  <c r="I29" i="19"/>
  <c r="J48" i="11"/>
  <c r="D48" i="10"/>
  <c r="G48" i="19"/>
  <c r="B48" i="20"/>
  <c r="B31" i="85" l="1"/>
  <c r="E31" i="85" s="1"/>
  <c r="I48" i="19"/>
  <c r="B38" i="85"/>
  <c r="E38" i="85" s="1"/>
  <c r="B42" i="85"/>
  <c r="E42" i="85" s="1"/>
  <c r="G14" i="85"/>
  <c r="K14" i="85"/>
  <c r="G22" i="85"/>
  <c r="K22" i="85"/>
  <c r="K45" i="85"/>
  <c r="G45" i="85"/>
  <c r="B23" i="85"/>
  <c r="E23" i="85" s="1"/>
  <c r="G46" i="85"/>
  <c r="K46" i="85"/>
  <c r="B27" i="85"/>
  <c r="E27" i="85" s="1"/>
  <c r="B40" i="85"/>
  <c r="E40" i="85" s="1"/>
  <c r="B19" i="85"/>
  <c r="E19" i="85" s="1"/>
  <c r="B48" i="85"/>
  <c r="E48" i="85" s="1"/>
  <c r="G34" i="85"/>
  <c r="K34" i="85"/>
  <c r="G21" i="85"/>
  <c r="K21" i="85"/>
  <c r="G26" i="85"/>
  <c r="K26" i="85"/>
  <c r="B37" i="85"/>
  <c r="E37" i="85" s="1"/>
  <c r="D48" i="20"/>
  <c r="B52" i="20"/>
  <c r="B53" i="20"/>
  <c r="G17" i="85"/>
  <c r="K17" i="85"/>
  <c r="B32" i="85"/>
  <c r="E32" i="85" s="1"/>
  <c r="B28" i="85"/>
  <c r="E28" i="85" s="1"/>
  <c r="B47" i="85"/>
  <c r="E47" i="85" s="1"/>
  <c r="B33" i="85"/>
  <c r="E33" i="85" s="1"/>
  <c r="B41" i="85"/>
  <c r="E41" i="85" s="1"/>
  <c r="B18" i="85"/>
  <c r="E18" i="85" s="1"/>
  <c r="G18" i="85" l="1"/>
  <c r="K18" i="85"/>
  <c r="G41" i="85"/>
  <c r="K41" i="85"/>
  <c r="G47" i="85"/>
  <c r="K47" i="85"/>
  <c r="G32" i="85"/>
  <c r="K32" i="85"/>
  <c r="B35" i="85"/>
  <c r="E35" i="85" s="1"/>
  <c r="G48" i="85"/>
  <c r="K48" i="85"/>
  <c r="G23" i="85"/>
  <c r="K23" i="85"/>
  <c r="G31" i="85"/>
  <c r="K31" i="85"/>
  <c r="G40" i="85"/>
  <c r="K40" i="85"/>
  <c r="G42" i="85"/>
  <c r="K42" i="85"/>
  <c r="B39" i="85"/>
  <c r="E39" i="85" s="1"/>
  <c r="G28" i="85"/>
  <c r="K28" i="85"/>
  <c r="B15" i="85"/>
  <c r="E15" i="85" s="1"/>
  <c r="G33" i="85"/>
  <c r="K33" i="85"/>
  <c r="G37" i="85"/>
  <c r="K37" i="85"/>
  <c r="G27" i="85"/>
  <c r="K27" i="85"/>
  <c r="B36" i="85"/>
  <c r="E36" i="85" s="1"/>
  <c r="B30" i="85"/>
  <c r="E30" i="85" s="1"/>
  <c r="G19" i="85"/>
  <c r="K19" i="85"/>
  <c r="B25" i="85"/>
  <c r="E25" i="85" s="1"/>
  <c r="G38" i="85"/>
  <c r="K38" i="85"/>
  <c r="B44" i="85"/>
  <c r="E44" i="85" s="1"/>
  <c r="B48" i="5"/>
  <c r="B13" i="85"/>
  <c r="V11" i="2" l="1"/>
  <c r="G15" i="85"/>
  <c r="K15" i="85"/>
  <c r="B50" i="85"/>
  <c r="E13" i="85"/>
  <c r="G44" i="85"/>
  <c r="K44" i="85"/>
  <c r="K25" i="85"/>
  <c r="G25" i="85"/>
  <c r="K30" i="85"/>
  <c r="G30" i="85"/>
  <c r="G36" i="85"/>
  <c r="K36" i="85"/>
  <c r="G39" i="85"/>
  <c r="K39" i="85"/>
  <c r="G35" i="85"/>
  <c r="K35" i="85"/>
  <c r="G13" i="85" l="1"/>
  <c r="K13" i="85"/>
  <c r="E50" i="85"/>
  <c r="G50" i="85" l="1"/>
  <c r="K50" i="85"/>
  <c r="F35" i="52" l="1"/>
  <c r="B35" i="43" s="1"/>
  <c r="F35" i="43" s="1"/>
  <c r="H35" i="43" s="1"/>
  <c r="F15" i="52"/>
  <c r="B15" i="43" s="1"/>
  <c r="F15" i="43" s="1"/>
  <c r="H15" i="43" s="1"/>
  <c r="F20" i="52"/>
  <c r="B20" i="43" s="1"/>
  <c r="F20" i="43" s="1"/>
  <c r="H20" i="43" s="1"/>
  <c r="F28" i="52"/>
  <c r="B28" i="43" s="1"/>
  <c r="F28" i="43" s="1"/>
  <c r="H28" i="43" s="1"/>
  <c r="F13" i="52"/>
  <c r="B13" i="43" s="1"/>
  <c r="F13" i="43" s="1"/>
  <c r="H13" i="43" s="1"/>
  <c r="F41" i="52"/>
  <c r="B41" i="43" s="1"/>
  <c r="F41" i="43" s="1"/>
  <c r="H41" i="43" s="1"/>
  <c r="F40" i="52"/>
  <c r="B40" i="43" s="1"/>
  <c r="F40" i="43" s="1"/>
  <c r="H40" i="43" s="1"/>
  <c r="F19" i="52"/>
  <c r="B19" i="43" s="1"/>
  <c r="F19" i="43" s="1"/>
  <c r="H19" i="43" s="1"/>
  <c r="F42" i="52"/>
  <c r="B42" i="43" s="1"/>
  <c r="F42" i="43" s="1"/>
  <c r="H42" i="43" s="1"/>
  <c r="F21" i="52"/>
  <c r="B21" i="43" s="1"/>
  <c r="F21" i="43" s="1"/>
  <c r="H21" i="43" s="1"/>
  <c r="F39" i="52"/>
  <c r="B39" i="43" s="1"/>
  <c r="F39" i="43" s="1"/>
  <c r="H39" i="43" s="1"/>
  <c r="F44" i="52"/>
  <c r="B44" i="43" s="1"/>
  <c r="F44" i="43" s="1"/>
  <c r="H44" i="43" s="1"/>
  <c r="F26" i="52"/>
  <c r="B26" i="43" s="1"/>
  <c r="F26" i="43" s="1"/>
  <c r="H26" i="43" s="1"/>
  <c r="F22" i="52"/>
  <c r="B22" i="43" s="1"/>
  <c r="F22" i="43" s="1"/>
  <c r="H22" i="43" s="1"/>
  <c r="F43" i="52"/>
  <c r="B43" i="43" s="1"/>
  <c r="F43" i="43" s="1"/>
  <c r="H43" i="43" s="1"/>
  <c r="F14" i="52"/>
  <c r="B14" i="43" s="1"/>
  <c r="F14" i="43" s="1"/>
  <c r="H14" i="43" s="1"/>
  <c r="F31" i="52"/>
  <c r="B31" i="43" s="1"/>
  <c r="F31" i="43" s="1"/>
  <c r="H31" i="43" s="1"/>
  <c r="F24" i="52"/>
  <c r="B24" i="43" s="1"/>
  <c r="F24" i="43" s="1"/>
  <c r="H24" i="43" s="1"/>
  <c r="F27" i="52"/>
  <c r="B27" i="43" s="1"/>
  <c r="F27" i="43" s="1"/>
  <c r="H27" i="43" s="1"/>
  <c r="F12" i="52"/>
  <c r="B12" i="43" s="1"/>
  <c r="F12" i="43" s="1"/>
  <c r="H12" i="43" s="1"/>
  <c r="F18" i="52"/>
  <c r="B18" i="43" s="1"/>
  <c r="F18" i="43" s="1"/>
  <c r="H18" i="43" s="1"/>
  <c r="F30" i="52"/>
  <c r="B30" i="43" s="1"/>
  <c r="F30" i="43" s="1"/>
  <c r="H30" i="43" s="1"/>
  <c r="F36" i="52"/>
  <c r="B36" i="43" s="1"/>
  <c r="F36" i="43" s="1"/>
  <c r="H36" i="43" s="1"/>
  <c r="F38" i="52"/>
  <c r="B38" i="43" s="1"/>
  <c r="F38" i="43" s="1"/>
  <c r="H38" i="43" s="1"/>
  <c r="F37" i="52"/>
  <c r="B37" i="43" s="1"/>
  <c r="F37" i="43" s="1"/>
  <c r="H37" i="43" s="1"/>
  <c r="F17" i="52"/>
  <c r="B17" i="43" s="1"/>
  <c r="F17" i="43" s="1"/>
  <c r="H17" i="43" s="1"/>
  <c r="F33" i="52"/>
  <c r="B33" i="43" s="1"/>
  <c r="F33" i="43" s="1"/>
  <c r="H33" i="43" s="1"/>
  <c r="F29" i="52"/>
  <c r="B29" i="43" s="1"/>
  <c r="F29" i="43" s="1"/>
  <c r="H29" i="43" s="1"/>
  <c r="F23" i="52"/>
  <c r="B23" i="43" s="1"/>
  <c r="F23" i="43" s="1"/>
  <c r="H23" i="43" s="1"/>
  <c r="F16" i="52"/>
  <c r="B16" i="43" s="1"/>
  <c r="F16" i="43" s="1"/>
  <c r="H16" i="43" s="1"/>
  <c r="F45" i="52"/>
  <c r="B45" i="43" s="1"/>
  <c r="F45" i="43" s="1"/>
  <c r="H45" i="43" s="1"/>
  <c r="F34" i="52"/>
  <c r="B34" i="43" s="1"/>
  <c r="F34" i="43" s="1"/>
  <c r="H34" i="43" s="1"/>
  <c r="F25" i="52"/>
  <c r="B25" i="43" s="1"/>
  <c r="F25" i="43" s="1"/>
  <c r="H25" i="43" s="1"/>
  <c r="F32" i="52"/>
  <c r="B32" i="43" s="1"/>
  <c r="F32" i="43" s="1"/>
  <c r="H32" i="43" s="1"/>
  <c r="F46" i="52"/>
  <c r="B46" i="43" s="1"/>
  <c r="F46" i="43" s="1"/>
  <c r="H46" i="43" s="1"/>
  <c r="F11" i="52"/>
  <c r="F48" i="52" l="1"/>
  <c r="B11" i="43"/>
  <c r="I45" i="45"/>
  <c r="I22" i="45"/>
  <c r="I22" i="43" s="1"/>
  <c r="B22" i="42" s="1"/>
  <c r="I21" i="45"/>
  <c r="I21" i="43" s="1"/>
  <c r="B21" i="42" s="1"/>
  <c r="I23" i="45"/>
  <c r="I23" i="43" s="1"/>
  <c r="B23" i="42" s="1"/>
  <c r="I43" i="45"/>
  <c r="I43" i="43" s="1"/>
  <c r="B43" i="42" s="1"/>
  <c r="I39" i="45"/>
  <c r="I46" i="45"/>
  <c r="I46" i="43" s="1"/>
  <c r="B46" i="42" s="1"/>
  <c r="I25" i="45"/>
  <c r="I25" i="43" s="1"/>
  <c r="B25" i="42" s="1"/>
  <c r="I29" i="45"/>
  <c r="I37" i="45"/>
  <c r="I37" i="43" s="1"/>
  <c r="B37" i="42" s="1"/>
  <c r="I18" i="45"/>
  <c r="I18" i="43" s="1"/>
  <c r="B18" i="42" s="1"/>
  <c r="I31" i="45"/>
  <c r="I31" i="43" s="1"/>
  <c r="B31" i="42" s="1"/>
  <c r="I26" i="45"/>
  <c r="I26" i="43" s="1"/>
  <c r="B26" i="42" s="1"/>
  <c r="I42" i="45"/>
  <c r="I42" i="43" s="1"/>
  <c r="B42" i="42" s="1"/>
  <c r="I13" i="45"/>
  <c r="I13" i="43" s="1"/>
  <c r="B13" i="42" s="1"/>
  <c r="I35" i="45"/>
  <c r="I35" i="43" s="1"/>
  <c r="B35" i="42" s="1"/>
  <c r="I17" i="45"/>
  <c r="I41" i="45"/>
  <c r="I41" i="43" s="1"/>
  <c r="B41" i="42" s="1"/>
  <c r="I32" i="45"/>
  <c r="I32" i="43" s="1"/>
  <c r="B32" i="42" s="1"/>
  <c r="I36" i="45"/>
  <c r="I36" i="43" s="1"/>
  <c r="B36" i="42" s="1"/>
  <c r="I20" i="45"/>
  <c r="I19" i="45"/>
  <c r="I19" i="43" s="1"/>
  <c r="B19" i="42" s="1"/>
  <c r="I30" i="45"/>
  <c r="I30" i="43" s="1"/>
  <c r="B30" i="42" s="1"/>
  <c r="I15" i="45"/>
  <c r="I15" i="43" s="1"/>
  <c r="B15" i="42" s="1"/>
  <c r="I34" i="45"/>
  <c r="I34" i="43" s="1"/>
  <c r="B34" i="42" s="1"/>
  <c r="I27" i="45"/>
  <c r="I27" i="43" s="1"/>
  <c r="B27" i="42" s="1"/>
  <c r="I40" i="45"/>
  <c r="I40" i="43" s="1"/>
  <c r="B40" i="42" s="1"/>
  <c r="I16" i="45"/>
  <c r="I16" i="43" s="1"/>
  <c r="B16" i="42" s="1"/>
  <c r="I33" i="45"/>
  <c r="I33" i="43" s="1"/>
  <c r="B33" i="42" s="1"/>
  <c r="I38" i="45"/>
  <c r="I38" i="43" s="1"/>
  <c r="B38" i="42" s="1"/>
  <c r="I12" i="45"/>
  <c r="I12" i="43" s="1"/>
  <c r="B12" i="42" s="1"/>
  <c r="I14" i="45"/>
  <c r="I14" i="43" s="1"/>
  <c r="B14" i="42" s="1"/>
  <c r="I44" i="45"/>
  <c r="I44" i="43" s="1"/>
  <c r="B44" i="42" s="1"/>
  <c r="I28" i="45"/>
  <c r="I28" i="43" s="1"/>
  <c r="B28" i="42" s="1"/>
  <c r="I24" i="45"/>
  <c r="I24" i="43" s="1"/>
  <c r="B24" i="42" s="1"/>
  <c r="G39" i="44" l="1"/>
  <c r="E39" i="42" s="1"/>
  <c r="I39" i="44"/>
  <c r="F39" i="42" s="1"/>
  <c r="C39" i="45"/>
  <c r="G39" i="42" s="1"/>
  <c r="E39" i="44"/>
  <c r="D39" i="42" s="1"/>
  <c r="C39" i="44"/>
  <c r="C39" i="42" s="1"/>
  <c r="G39" i="45"/>
  <c r="E39" i="45"/>
  <c r="H39" i="42" s="1"/>
  <c r="B48" i="43"/>
  <c r="F11" i="43"/>
  <c r="G29" i="45"/>
  <c r="I29" i="44"/>
  <c r="F29" i="42" s="1"/>
  <c r="E29" i="44"/>
  <c r="D29" i="42" s="1"/>
  <c r="C29" i="44"/>
  <c r="C29" i="42" s="1"/>
  <c r="C29" i="45"/>
  <c r="G29" i="42" s="1"/>
  <c r="E29" i="45"/>
  <c r="H29" i="42" s="1"/>
  <c r="G29" i="44"/>
  <c r="E29" i="42" s="1"/>
  <c r="C44" i="44"/>
  <c r="C44" i="42" s="1"/>
  <c r="G44" i="44"/>
  <c r="E44" i="42" s="1"/>
  <c r="C44" i="45"/>
  <c r="G44" i="42" s="1"/>
  <c r="I44" i="44"/>
  <c r="F44" i="42" s="1"/>
  <c r="E44" i="45"/>
  <c r="H44" i="42" s="1"/>
  <c r="E44" i="44"/>
  <c r="D44" i="42" s="1"/>
  <c r="G44" i="45"/>
  <c r="G12" i="45"/>
  <c r="I12" i="44"/>
  <c r="F12" i="42" s="1"/>
  <c r="G12" i="44"/>
  <c r="E12" i="42" s="1"/>
  <c r="C12" i="44"/>
  <c r="C12" i="42" s="1"/>
  <c r="C12" i="45"/>
  <c r="G12" i="42" s="1"/>
  <c r="E12" i="45"/>
  <c r="H12" i="42" s="1"/>
  <c r="E12" i="44"/>
  <c r="D12" i="42" s="1"/>
  <c r="G40" i="45"/>
  <c r="E40" i="44"/>
  <c r="D40" i="42" s="1"/>
  <c r="G40" i="44"/>
  <c r="E40" i="42" s="1"/>
  <c r="I40" i="44"/>
  <c r="F40" i="42" s="1"/>
  <c r="C40" i="45"/>
  <c r="G40" i="42" s="1"/>
  <c r="C40" i="44"/>
  <c r="C40" i="42" s="1"/>
  <c r="E40" i="45"/>
  <c r="H40" i="42" s="1"/>
  <c r="I30" i="44"/>
  <c r="F30" i="42" s="1"/>
  <c r="G30" i="44"/>
  <c r="E30" i="42" s="1"/>
  <c r="C30" i="44"/>
  <c r="C30" i="42" s="1"/>
  <c r="E30" i="45"/>
  <c r="H30" i="42" s="1"/>
  <c r="E30" i="44"/>
  <c r="D30" i="42" s="1"/>
  <c r="C30" i="45"/>
  <c r="G30" i="42" s="1"/>
  <c r="G30" i="45"/>
  <c r="G32" i="45"/>
  <c r="E32" i="44"/>
  <c r="D32" i="42" s="1"/>
  <c r="G32" i="44"/>
  <c r="E32" i="42" s="1"/>
  <c r="I32" i="44"/>
  <c r="F32" i="42" s="1"/>
  <c r="C32" i="45"/>
  <c r="G32" i="42" s="1"/>
  <c r="C32" i="44"/>
  <c r="C32" i="42" s="1"/>
  <c r="E32" i="45"/>
  <c r="H32" i="42" s="1"/>
  <c r="E13" i="45"/>
  <c r="H13" i="42" s="1"/>
  <c r="G13" i="44"/>
  <c r="E13" i="42" s="1"/>
  <c r="E13" i="44"/>
  <c r="D13" i="42" s="1"/>
  <c r="I13" i="44"/>
  <c r="F13" i="42" s="1"/>
  <c r="C13" i="45"/>
  <c r="G13" i="42" s="1"/>
  <c r="C13" i="44"/>
  <c r="C13" i="42" s="1"/>
  <c r="G13" i="45"/>
  <c r="C26" i="45"/>
  <c r="G26" i="42" s="1"/>
  <c r="I26" i="44"/>
  <c r="F26" i="42" s="1"/>
  <c r="G26" i="45"/>
  <c r="E26" i="45"/>
  <c r="H26" i="42" s="1"/>
  <c r="C26" i="44"/>
  <c r="C26" i="42" s="1"/>
  <c r="G26" i="44"/>
  <c r="E26" i="42" s="1"/>
  <c r="E26" i="44"/>
  <c r="D26" i="42" s="1"/>
  <c r="G46" i="45"/>
  <c r="G46" i="44"/>
  <c r="E46" i="42" s="1"/>
  <c r="C46" i="45"/>
  <c r="G46" i="42" s="1"/>
  <c r="E46" i="44"/>
  <c r="D46" i="42" s="1"/>
  <c r="E46" i="45"/>
  <c r="H46" i="42" s="1"/>
  <c r="I46" i="44"/>
  <c r="F46" i="42" s="1"/>
  <c r="C46" i="44"/>
  <c r="C46" i="42" s="1"/>
  <c r="G43" i="45"/>
  <c r="E43" i="44"/>
  <c r="D43" i="42" s="1"/>
  <c r="C43" i="44"/>
  <c r="C43" i="42" s="1"/>
  <c r="I43" i="44"/>
  <c r="F43" i="42" s="1"/>
  <c r="E43" i="45"/>
  <c r="H43" i="42" s="1"/>
  <c r="C43" i="45"/>
  <c r="G43" i="42" s="1"/>
  <c r="G43" i="44"/>
  <c r="E43" i="42" s="1"/>
  <c r="G14" i="45"/>
  <c r="C14" i="45"/>
  <c r="G14" i="42" s="1"/>
  <c r="C14" i="44"/>
  <c r="C14" i="42" s="1"/>
  <c r="I14" i="44"/>
  <c r="F14" i="42" s="1"/>
  <c r="G14" i="44"/>
  <c r="E14" i="42" s="1"/>
  <c r="E14" i="44"/>
  <c r="D14" i="42" s="1"/>
  <c r="E14" i="45"/>
  <c r="H14" i="42" s="1"/>
  <c r="E38" i="45"/>
  <c r="H38" i="42" s="1"/>
  <c r="C38" i="44"/>
  <c r="C38" i="42" s="1"/>
  <c r="E38" i="44"/>
  <c r="D38" i="42" s="1"/>
  <c r="C38" i="45"/>
  <c r="G38" i="42" s="1"/>
  <c r="G38" i="44"/>
  <c r="E38" i="42" s="1"/>
  <c r="I38" i="44"/>
  <c r="F38" i="42" s="1"/>
  <c r="G38" i="45"/>
  <c r="C27" i="44"/>
  <c r="C27" i="42" s="1"/>
  <c r="C27" i="45"/>
  <c r="G27" i="42" s="1"/>
  <c r="G27" i="44"/>
  <c r="E27" i="42" s="1"/>
  <c r="G27" i="45"/>
  <c r="I27" i="44"/>
  <c r="F27" i="42" s="1"/>
  <c r="E27" i="45"/>
  <c r="H27" i="42" s="1"/>
  <c r="E27" i="44"/>
  <c r="D27" i="42" s="1"/>
  <c r="E19" i="44"/>
  <c r="D19" i="42" s="1"/>
  <c r="I19" i="44"/>
  <c r="F19" i="42" s="1"/>
  <c r="C19" i="45"/>
  <c r="G19" i="42" s="1"/>
  <c r="G19" i="44"/>
  <c r="E19" i="42" s="1"/>
  <c r="C19" i="44"/>
  <c r="C19" i="42" s="1"/>
  <c r="E19" i="45"/>
  <c r="H19" i="42" s="1"/>
  <c r="G19" i="45"/>
  <c r="G36" i="44"/>
  <c r="E36" i="42" s="1"/>
  <c r="C36" i="44"/>
  <c r="C36" i="42" s="1"/>
  <c r="E36" i="45"/>
  <c r="H36" i="42" s="1"/>
  <c r="C36" i="45"/>
  <c r="G36" i="42" s="1"/>
  <c r="E36" i="44"/>
  <c r="D36" i="42" s="1"/>
  <c r="I36" i="44"/>
  <c r="F36" i="42" s="1"/>
  <c r="G36" i="45"/>
  <c r="C35" i="44"/>
  <c r="C35" i="42" s="1"/>
  <c r="I35" i="44"/>
  <c r="F35" i="42" s="1"/>
  <c r="G35" i="45"/>
  <c r="E35" i="45"/>
  <c r="H35" i="42" s="1"/>
  <c r="E35" i="44"/>
  <c r="D35" i="42" s="1"/>
  <c r="C35" i="45"/>
  <c r="G35" i="42" s="1"/>
  <c r="G35" i="44"/>
  <c r="E35" i="42" s="1"/>
  <c r="I31" i="44"/>
  <c r="F31" i="42" s="1"/>
  <c r="E31" i="44"/>
  <c r="D31" i="42" s="1"/>
  <c r="G31" i="44"/>
  <c r="E31" i="42" s="1"/>
  <c r="G31" i="45"/>
  <c r="E31" i="45"/>
  <c r="H31" i="42" s="1"/>
  <c r="C31" i="44"/>
  <c r="C31" i="42" s="1"/>
  <c r="C31" i="45"/>
  <c r="G31" i="42" s="1"/>
  <c r="C37" i="45"/>
  <c r="G37" i="42" s="1"/>
  <c r="G37" i="44"/>
  <c r="E37" i="42" s="1"/>
  <c r="G37" i="45"/>
  <c r="E37" i="44"/>
  <c r="D37" i="42" s="1"/>
  <c r="I37" i="44"/>
  <c r="F37" i="42" s="1"/>
  <c r="C37" i="44"/>
  <c r="C37" i="42" s="1"/>
  <c r="E37" i="45"/>
  <c r="H37" i="42" s="1"/>
  <c r="I39" i="43"/>
  <c r="B39" i="42" s="1"/>
  <c r="G15" i="45"/>
  <c r="C15" i="45"/>
  <c r="G15" i="42" s="1"/>
  <c r="C15" i="44"/>
  <c r="C15" i="42" s="1"/>
  <c r="G15" i="44"/>
  <c r="E15" i="42" s="1"/>
  <c r="I15" i="44"/>
  <c r="F15" i="42" s="1"/>
  <c r="E15" i="45"/>
  <c r="H15" i="42" s="1"/>
  <c r="E15" i="44"/>
  <c r="D15" i="42" s="1"/>
  <c r="G41" i="45"/>
  <c r="E41" i="44"/>
  <c r="D41" i="42" s="1"/>
  <c r="E41" i="45"/>
  <c r="H41" i="42" s="1"/>
  <c r="C41" i="44"/>
  <c r="C41" i="42" s="1"/>
  <c r="I41" i="44"/>
  <c r="F41" i="42" s="1"/>
  <c r="C41" i="45"/>
  <c r="G41" i="42" s="1"/>
  <c r="G41" i="44"/>
  <c r="E41" i="42" s="1"/>
  <c r="E23" i="44"/>
  <c r="D23" i="42" s="1"/>
  <c r="I23" i="44"/>
  <c r="F23" i="42" s="1"/>
  <c r="C23" i="45"/>
  <c r="G23" i="42" s="1"/>
  <c r="G23" i="44"/>
  <c r="E23" i="42" s="1"/>
  <c r="E23" i="45"/>
  <c r="H23" i="42" s="1"/>
  <c r="C23" i="44"/>
  <c r="C23" i="42" s="1"/>
  <c r="G23" i="45"/>
  <c r="G24" i="45"/>
  <c r="G24" i="44"/>
  <c r="E24" i="42" s="1"/>
  <c r="E24" i="44"/>
  <c r="D24" i="42" s="1"/>
  <c r="E24" i="45"/>
  <c r="H24" i="42" s="1"/>
  <c r="C24" i="45"/>
  <c r="G24" i="42" s="1"/>
  <c r="C24" i="44"/>
  <c r="C24" i="42" s="1"/>
  <c r="I24" i="44"/>
  <c r="F24" i="42" s="1"/>
  <c r="I20" i="44"/>
  <c r="F20" i="42" s="1"/>
  <c r="C20" i="45"/>
  <c r="G20" i="42" s="1"/>
  <c r="C20" i="44"/>
  <c r="C20" i="42" s="1"/>
  <c r="E20" i="44"/>
  <c r="D20" i="42" s="1"/>
  <c r="G20" i="45"/>
  <c r="E20" i="45"/>
  <c r="H20" i="42" s="1"/>
  <c r="G20" i="44"/>
  <c r="E20" i="42" s="1"/>
  <c r="G17" i="45"/>
  <c r="C17" i="45"/>
  <c r="G17" i="42" s="1"/>
  <c r="G17" i="44"/>
  <c r="E17" i="42" s="1"/>
  <c r="C17" i="44"/>
  <c r="C17" i="42" s="1"/>
  <c r="E17" i="44"/>
  <c r="D17" i="42" s="1"/>
  <c r="E17" i="45"/>
  <c r="H17" i="42" s="1"/>
  <c r="I17" i="44"/>
  <c r="F17" i="42" s="1"/>
  <c r="G18" i="44"/>
  <c r="E18" i="42" s="1"/>
  <c r="I18" i="44"/>
  <c r="F18" i="42" s="1"/>
  <c r="G18" i="45"/>
  <c r="C18" i="45"/>
  <c r="G18" i="42" s="1"/>
  <c r="E18" i="45"/>
  <c r="H18" i="42" s="1"/>
  <c r="E18" i="44"/>
  <c r="D18" i="42" s="1"/>
  <c r="C18" i="44"/>
  <c r="C18" i="42" s="1"/>
  <c r="C21" i="44"/>
  <c r="C21" i="42" s="1"/>
  <c r="G21" i="44"/>
  <c r="E21" i="42" s="1"/>
  <c r="C21" i="45"/>
  <c r="G21" i="42" s="1"/>
  <c r="I21" i="44"/>
  <c r="F21" i="42" s="1"/>
  <c r="E21" i="45"/>
  <c r="H21" i="42" s="1"/>
  <c r="E21" i="44"/>
  <c r="D21" i="42" s="1"/>
  <c r="G21" i="45"/>
  <c r="G45" i="45"/>
  <c r="C45" i="44"/>
  <c r="C45" i="42" s="1"/>
  <c r="E45" i="44"/>
  <c r="D45" i="42" s="1"/>
  <c r="G45" i="44"/>
  <c r="E45" i="42" s="1"/>
  <c r="E45" i="45"/>
  <c r="H45" i="42" s="1"/>
  <c r="C45" i="45"/>
  <c r="G45" i="42" s="1"/>
  <c r="I45" i="44"/>
  <c r="F45" i="42" s="1"/>
  <c r="E28" i="45"/>
  <c r="H28" i="42" s="1"/>
  <c r="C28" i="45"/>
  <c r="G28" i="42" s="1"/>
  <c r="I28" i="44"/>
  <c r="F28" i="42" s="1"/>
  <c r="G28" i="45"/>
  <c r="G28" i="44"/>
  <c r="E28" i="42" s="1"/>
  <c r="C28" i="44"/>
  <c r="C28" i="42" s="1"/>
  <c r="E28" i="44"/>
  <c r="D28" i="42" s="1"/>
  <c r="G16" i="45"/>
  <c r="G16" i="44"/>
  <c r="E16" i="42" s="1"/>
  <c r="I16" i="44"/>
  <c r="F16" i="42" s="1"/>
  <c r="E16" i="44"/>
  <c r="D16" i="42" s="1"/>
  <c r="E16" i="45"/>
  <c r="H16" i="42" s="1"/>
  <c r="C16" i="44"/>
  <c r="C16" i="42" s="1"/>
  <c r="C16" i="45"/>
  <c r="G16" i="42" s="1"/>
  <c r="C42" i="45"/>
  <c r="G42" i="42" s="1"/>
  <c r="G42" i="44"/>
  <c r="E42" i="42" s="1"/>
  <c r="E42" i="44"/>
  <c r="D42" i="42" s="1"/>
  <c r="C42" i="44"/>
  <c r="C42" i="42" s="1"/>
  <c r="I42" i="44"/>
  <c r="F42" i="42" s="1"/>
  <c r="E42" i="45"/>
  <c r="H42" i="42" s="1"/>
  <c r="G42" i="45"/>
  <c r="C25" i="44"/>
  <c r="C25" i="42" s="1"/>
  <c r="G25" i="45"/>
  <c r="I25" i="44"/>
  <c r="F25" i="42" s="1"/>
  <c r="G25" i="44"/>
  <c r="E25" i="42" s="1"/>
  <c r="C25" i="45"/>
  <c r="G25" i="42" s="1"/>
  <c r="E25" i="44"/>
  <c r="D25" i="42" s="1"/>
  <c r="E25" i="45"/>
  <c r="H25" i="42" s="1"/>
  <c r="E22" i="45"/>
  <c r="H22" i="42" s="1"/>
  <c r="C22" i="44"/>
  <c r="C22" i="42" s="1"/>
  <c r="C22" i="45"/>
  <c r="G22" i="42" s="1"/>
  <c r="G22" i="44"/>
  <c r="E22" i="42" s="1"/>
  <c r="E22" i="44"/>
  <c r="D22" i="42" s="1"/>
  <c r="I22" i="44"/>
  <c r="F22" i="42" s="1"/>
  <c r="G22" i="45"/>
  <c r="C33" i="44"/>
  <c r="C33" i="42" s="1"/>
  <c r="E33" i="45"/>
  <c r="H33" i="42" s="1"/>
  <c r="G33" i="45"/>
  <c r="G33" i="44"/>
  <c r="E33" i="42" s="1"/>
  <c r="E33" i="44"/>
  <c r="D33" i="42" s="1"/>
  <c r="I33" i="44"/>
  <c r="F33" i="42" s="1"/>
  <c r="C33" i="45"/>
  <c r="G33" i="42" s="1"/>
  <c r="G34" i="45"/>
  <c r="G34" i="44"/>
  <c r="E34" i="42" s="1"/>
  <c r="I34" i="44"/>
  <c r="F34" i="42" s="1"/>
  <c r="C34" i="44"/>
  <c r="C34" i="42" s="1"/>
  <c r="E34" i="44"/>
  <c r="D34" i="42" s="1"/>
  <c r="E34" i="45"/>
  <c r="H34" i="42" s="1"/>
  <c r="C34" i="45"/>
  <c r="G34" i="42" s="1"/>
  <c r="I20" i="43"/>
  <c r="B20" i="42" s="1"/>
  <c r="I17" i="43"/>
  <c r="B17" i="42" s="1"/>
  <c r="I29" i="43"/>
  <c r="B29" i="42" s="1"/>
  <c r="I45" i="43"/>
  <c r="B45" i="42" s="1"/>
  <c r="H11" i="43" l="1"/>
  <c r="F48" i="43"/>
  <c r="H48" i="43" l="1"/>
  <c r="I11" i="45"/>
  <c r="C11" i="44" l="1"/>
  <c r="C11" i="42" s="1"/>
  <c r="E11" i="44"/>
  <c r="D11" i="42" s="1"/>
  <c r="G11" i="44"/>
  <c r="E11" i="42" s="1"/>
  <c r="I48" i="45"/>
  <c r="I11" i="44"/>
  <c r="F11" i="42" s="1"/>
  <c r="C11" i="45"/>
  <c r="G11" i="42" s="1"/>
  <c r="G11" i="45"/>
  <c r="E11" i="45"/>
  <c r="H11" i="42" s="1"/>
  <c r="I11" i="43"/>
  <c r="B11" i="42" s="1"/>
  <c r="G48" i="45" l="1"/>
  <c r="E48" i="44"/>
  <c r="D48" i="42" s="1"/>
  <c r="C48" i="45"/>
  <c r="G48" i="42" s="1"/>
  <c r="E48" i="45"/>
  <c r="H48" i="42" s="1"/>
  <c r="C48" i="44"/>
  <c r="C48" i="42" s="1"/>
  <c r="V12" i="2"/>
  <c r="G48" i="44"/>
  <c r="E48" i="42" s="1"/>
  <c r="I48" i="44"/>
  <c r="F48" i="42" s="1"/>
  <c r="I48" i="43"/>
  <c r="B48" i="42" s="1"/>
  <c r="B26" i="88" l="1"/>
  <c r="B18" i="88"/>
  <c r="B20" i="88"/>
  <c r="B34" i="88" l="1"/>
  <c r="B22" i="88"/>
  <c r="B28" i="88"/>
  <c r="B17" i="88"/>
  <c r="B14" i="88"/>
  <c r="B19" i="88"/>
  <c r="E31" i="78"/>
  <c r="X11" i="2"/>
  <c r="E38" i="78"/>
  <c r="B43" i="88"/>
  <c r="B24" i="88"/>
  <c r="B31" i="88"/>
  <c r="B33" i="88"/>
  <c r="B35" i="88"/>
  <c r="B39" i="88"/>
  <c r="E45" i="78"/>
  <c r="B45" i="88"/>
  <c r="B41" i="88"/>
  <c r="B44" i="88"/>
  <c r="B37" i="88"/>
  <c r="X12" i="2"/>
  <c r="E40" i="78"/>
  <c r="B36" i="88"/>
  <c r="E34" i="78"/>
  <c r="X13" i="2"/>
  <c r="B15" i="88"/>
  <c r="E39" i="78"/>
  <c r="B42" i="88"/>
  <c r="B21" i="88" l="1"/>
  <c r="B40" i="88"/>
  <c r="B30" i="88"/>
  <c r="B12" i="88"/>
  <c r="B25" i="88"/>
  <c r="B38" i="88"/>
  <c r="B29" i="88"/>
  <c r="L15" i="2"/>
  <c r="C15" i="5" s="1"/>
  <c r="D15" i="5" s="1"/>
  <c r="C15" i="26" s="1"/>
  <c r="K48" i="2"/>
  <c r="L31" i="2"/>
  <c r="C31" i="5" s="1"/>
  <c r="D31" i="5" s="1"/>
  <c r="G31" i="34" s="1"/>
  <c r="L22" i="2"/>
  <c r="C22" i="5" s="1"/>
  <c r="D22" i="5" s="1"/>
  <c r="I22" i="11" s="1"/>
  <c r="L38" i="2"/>
  <c r="C38" i="5" s="1"/>
  <c r="D38" i="5" s="1"/>
  <c r="E38" i="38" s="1"/>
  <c r="L51" i="2"/>
  <c r="C51" i="5" s="1"/>
  <c r="D51" i="5" s="1"/>
  <c r="F51" i="18" s="1"/>
  <c r="L11" i="2"/>
  <c r="C11" i="5" s="1"/>
  <c r="C51" i="82"/>
  <c r="F51" i="11"/>
  <c r="F31" i="10"/>
  <c r="I31" i="26"/>
  <c r="E15" i="37"/>
  <c r="I15" i="25"/>
  <c r="F15" i="18"/>
  <c r="J35" i="54"/>
  <c r="G27" i="54"/>
  <c r="G23" i="54"/>
  <c r="J19" i="54"/>
  <c r="J17" i="54"/>
  <c r="G15" i="54"/>
  <c r="D16" i="54"/>
  <c r="E16" i="76"/>
  <c r="G14" i="54"/>
  <c r="D24" i="54"/>
  <c r="D30" i="54"/>
  <c r="E30" i="76"/>
  <c r="D12" i="54"/>
  <c r="J44" i="54"/>
  <c r="J36" i="54"/>
  <c r="J34" i="54"/>
  <c r="J32" i="54"/>
  <c r="J30" i="54"/>
  <c r="J16" i="54"/>
  <c r="D11" i="54"/>
  <c r="C48" i="88"/>
  <c r="B16" i="88"/>
  <c r="B13" i="88"/>
  <c r="B46" i="88"/>
  <c r="B27" i="88"/>
  <c r="B11" i="88"/>
  <c r="G17" i="54"/>
  <c r="J50" i="54"/>
  <c r="G39" i="54"/>
  <c r="J33" i="54"/>
  <c r="G25" i="54"/>
  <c r="J15" i="54"/>
  <c r="I15" i="54"/>
  <c r="G24" i="54"/>
  <c r="G26" i="54"/>
  <c r="G18" i="54"/>
  <c r="D27" i="54"/>
  <c r="E27" i="76"/>
  <c r="J46" i="54"/>
  <c r="G40" i="54"/>
  <c r="G22" i="54"/>
  <c r="G46" i="54"/>
  <c r="B32" i="88"/>
  <c r="B23" i="88"/>
  <c r="F48" i="2"/>
  <c r="D48" i="88"/>
  <c r="G31" i="54"/>
  <c r="F31" i="54"/>
  <c r="J38" i="54"/>
  <c r="G28" i="54"/>
  <c r="J37" i="54"/>
  <c r="G43" i="54"/>
  <c r="G33" i="54"/>
  <c r="J41" i="54"/>
  <c r="D18" i="54"/>
  <c r="E18" i="76"/>
  <c r="J51" i="54"/>
  <c r="J14" i="54"/>
  <c r="G38" i="54"/>
  <c r="G16" i="54"/>
  <c r="D42" i="54"/>
  <c r="E42" i="76"/>
  <c r="J21" i="54"/>
  <c r="G30" i="54"/>
  <c r="J42" i="54"/>
  <c r="G50" i="54"/>
  <c r="G45" i="54"/>
  <c r="G41" i="54"/>
  <c r="J31" i="54"/>
  <c r="I31" i="54"/>
  <c r="J23" i="54"/>
  <c r="G21" i="54"/>
  <c r="G29" i="54"/>
  <c r="G42" i="54"/>
  <c r="J40" i="54"/>
  <c r="J26" i="54"/>
  <c r="L25" i="2"/>
  <c r="C25" i="5" s="1"/>
  <c r="D25" i="5" s="1"/>
  <c r="F25" i="54" s="1"/>
  <c r="L13" i="2"/>
  <c r="C13" i="5" s="1"/>
  <c r="D13" i="5" s="1"/>
  <c r="J48" i="2"/>
  <c r="J28" i="54"/>
  <c r="J20" i="54"/>
  <c r="J45" i="54"/>
  <c r="J43" i="54"/>
  <c r="G37" i="54"/>
  <c r="G35" i="54"/>
  <c r="G19" i="54"/>
  <c r="J39" i="54"/>
  <c r="D38" i="54"/>
  <c r="E38" i="76"/>
  <c r="D22" i="54"/>
  <c r="J27" i="54"/>
  <c r="J18" i="54"/>
  <c r="L34" i="2"/>
  <c r="C34" i="5" s="1"/>
  <c r="D34" i="5" s="1"/>
  <c r="G44" i="54"/>
  <c r="G36" i="54"/>
  <c r="G34" i="54"/>
  <c r="G32" i="54"/>
  <c r="G20" i="54"/>
  <c r="G51" i="54"/>
  <c r="D50" i="54"/>
  <c r="E50" i="76"/>
  <c r="L17" i="2"/>
  <c r="C17" i="5" s="1"/>
  <c r="D17" i="5" s="1"/>
  <c r="L44" i="2"/>
  <c r="C44" i="5" s="1"/>
  <c r="D44" i="5" s="1"/>
  <c r="L14" i="2"/>
  <c r="C14" i="5" s="1"/>
  <c r="D14" i="5" s="1"/>
  <c r="L26" i="2"/>
  <c r="C26" i="5" s="1"/>
  <c r="D26" i="5" s="1"/>
  <c r="L30" i="2"/>
  <c r="C30" i="5" s="1"/>
  <c r="D30" i="5" s="1"/>
  <c r="L28" i="2"/>
  <c r="C28" i="5" s="1"/>
  <c r="D28" i="5" s="1"/>
  <c r="F28" i="54" s="1"/>
  <c r="L35" i="2"/>
  <c r="C35" i="5" s="1"/>
  <c r="D35" i="5" s="1"/>
  <c r="L24" i="2"/>
  <c r="C24" i="5" s="1"/>
  <c r="D24" i="5" s="1"/>
  <c r="E48" i="2"/>
  <c r="E14" i="78"/>
  <c r="E21" i="78"/>
  <c r="E19" i="78"/>
  <c r="E30" i="78"/>
  <c r="E33" i="78"/>
  <c r="E15" i="78"/>
  <c r="E17" i="78"/>
  <c r="E37" i="78"/>
  <c r="E25" i="78"/>
  <c r="E44" i="78"/>
  <c r="E50" i="78"/>
  <c r="E35" i="78"/>
  <c r="E24" i="78"/>
  <c r="E29" i="78"/>
  <c r="E13" i="78"/>
  <c r="E41" i="78"/>
  <c r="E27" i="78"/>
  <c r="E28" i="78"/>
  <c r="E43" i="78"/>
  <c r="E46" i="78"/>
  <c r="E23" i="78"/>
  <c r="E22" i="78"/>
  <c r="L50" i="2"/>
  <c r="C50" i="5" s="1"/>
  <c r="D50" i="5" s="1"/>
  <c r="L27" i="2"/>
  <c r="C27" i="5" s="1"/>
  <c r="D27" i="5" s="1"/>
  <c r="E26" i="78"/>
  <c r="L19" i="2"/>
  <c r="C19" i="5" s="1"/>
  <c r="D19" i="5" s="1"/>
  <c r="H48" i="2"/>
  <c r="E18" i="78"/>
  <c r="E12" i="78"/>
  <c r="C31" i="37" l="1"/>
  <c r="E31" i="37"/>
  <c r="C31" i="34"/>
  <c r="F31" i="26"/>
  <c r="C31" i="20"/>
  <c r="I31" i="11"/>
  <c r="I22" i="9"/>
  <c r="C31" i="26"/>
  <c r="E31" i="35"/>
  <c r="F31" i="8"/>
  <c r="C31" i="35"/>
  <c r="F31" i="20"/>
  <c r="C31" i="19"/>
  <c r="C31" i="38"/>
  <c r="F15" i="54"/>
  <c r="G15" i="34"/>
  <c r="C15" i="38"/>
  <c r="F15" i="10"/>
  <c r="L41" i="2"/>
  <c r="C41" i="5" s="1"/>
  <c r="D41" i="5" s="1"/>
  <c r="I38" i="54"/>
  <c r="C15" i="35"/>
  <c r="C15" i="29"/>
  <c r="F22" i="20"/>
  <c r="L16" i="2"/>
  <c r="C16" i="5" s="1"/>
  <c r="D16" i="5" s="1"/>
  <c r="L46" i="2"/>
  <c r="C46" i="5" s="1"/>
  <c r="D46" i="5" s="1"/>
  <c r="I46" i="25" s="1"/>
  <c r="C38" i="54"/>
  <c r="F38" i="54"/>
  <c r="F15" i="20"/>
  <c r="C15" i="82"/>
  <c r="C22" i="37"/>
  <c r="I38" i="9"/>
  <c r="C15" i="37"/>
  <c r="F15" i="11"/>
  <c r="E15" i="38"/>
  <c r="I15" i="11"/>
  <c r="E15" i="34"/>
  <c r="C15" i="36"/>
  <c r="F15" i="8"/>
  <c r="F15" i="28"/>
  <c r="C15" i="11"/>
  <c r="C15" i="8"/>
  <c r="C15" i="18"/>
  <c r="C15" i="7"/>
  <c r="C15" i="27"/>
  <c r="C15" i="76" s="1"/>
  <c r="C15" i="34"/>
  <c r="G15" i="25"/>
  <c r="I15" i="28"/>
  <c r="I15" i="9"/>
  <c r="I15" i="20"/>
  <c r="G15" i="36"/>
  <c r="I15" i="26"/>
  <c r="C38" i="8"/>
  <c r="L39" i="2"/>
  <c r="C39" i="5" s="1"/>
  <c r="D39" i="5" s="1"/>
  <c r="E39" i="38" s="1"/>
  <c r="F15" i="29"/>
  <c r="C15" i="25"/>
  <c r="H15" i="19"/>
  <c r="C15" i="10"/>
  <c r="C15" i="9"/>
  <c r="E15" i="19"/>
  <c r="F15" i="26"/>
  <c r="C15" i="19"/>
  <c r="E15" i="82"/>
  <c r="F15" i="5"/>
  <c r="D15" i="6" s="1"/>
  <c r="F22" i="18"/>
  <c r="I22" i="10"/>
  <c r="C22" i="11"/>
  <c r="C22" i="28"/>
  <c r="F22" i="26"/>
  <c r="C22" i="38"/>
  <c r="E22" i="37"/>
  <c r="C22" i="19"/>
  <c r="I22" i="26"/>
  <c r="E22" i="38"/>
  <c r="L36" i="2"/>
  <c r="C36" i="5" s="1"/>
  <c r="D36" i="5" s="1"/>
  <c r="C15" i="28"/>
  <c r="E15" i="35"/>
  <c r="F15" i="9"/>
  <c r="C15" i="20"/>
  <c r="I15" i="18"/>
  <c r="E15" i="25"/>
  <c r="E15" i="36"/>
  <c r="I15" i="10"/>
  <c r="I31" i="28"/>
  <c r="E31" i="36"/>
  <c r="F31" i="18"/>
  <c r="I51" i="10"/>
  <c r="C38" i="25"/>
  <c r="I38" i="25"/>
  <c r="E38" i="19"/>
  <c r="G38" i="34"/>
  <c r="C38" i="20"/>
  <c r="C31" i="28"/>
  <c r="C31" i="25"/>
  <c r="C31" i="18"/>
  <c r="F31" i="28"/>
  <c r="E31" i="82"/>
  <c r="E31" i="19"/>
  <c r="C31" i="10"/>
  <c r="C31" i="36"/>
  <c r="E31" i="34"/>
  <c r="C31" i="9"/>
  <c r="C31" i="8"/>
  <c r="C31" i="11"/>
  <c r="I31" i="20"/>
  <c r="C31" i="29"/>
  <c r="I31" i="25"/>
  <c r="H31" i="19"/>
  <c r="I31" i="18"/>
  <c r="E31" i="38"/>
  <c r="G31" i="25"/>
  <c r="C38" i="28"/>
  <c r="F38" i="18"/>
  <c r="G38" i="25"/>
  <c r="I38" i="26"/>
  <c r="E38" i="37"/>
  <c r="C38" i="7"/>
  <c r="C38" i="37"/>
  <c r="C38" i="27"/>
  <c r="C38" i="76" s="1"/>
  <c r="C38" i="82"/>
  <c r="H38" i="19"/>
  <c r="I38" i="18"/>
  <c r="C38" i="11"/>
  <c r="F38" i="29"/>
  <c r="F38" i="8"/>
  <c r="F38" i="5"/>
  <c r="D38" i="6" s="1"/>
  <c r="F38" i="26"/>
  <c r="F38" i="20"/>
  <c r="C38" i="19"/>
  <c r="E38" i="25"/>
  <c r="F38" i="11"/>
  <c r="I38" i="10"/>
  <c r="F38" i="28"/>
  <c r="C38" i="18"/>
  <c r="C38" i="38"/>
  <c r="L42" i="2"/>
  <c r="C42" i="5" s="1"/>
  <c r="D42" i="5" s="1"/>
  <c r="I42" i="54" s="1"/>
  <c r="C22" i="54"/>
  <c r="C22" i="20"/>
  <c r="C22" i="8"/>
  <c r="H22" i="19"/>
  <c r="F22" i="29"/>
  <c r="E22" i="34"/>
  <c r="I22" i="25"/>
  <c r="F22" i="28"/>
  <c r="E22" i="82"/>
  <c r="G22" i="34"/>
  <c r="C22" i="26"/>
  <c r="C22" i="10"/>
  <c r="I22" i="20"/>
  <c r="C31" i="27"/>
  <c r="C31" i="76" s="1"/>
  <c r="F31" i="5"/>
  <c r="D31" i="6" s="1"/>
  <c r="F31" i="9"/>
  <c r="I31" i="10"/>
  <c r="F31" i="11"/>
  <c r="C31" i="82"/>
  <c r="I31" i="9"/>
  <c r="E31" i="25"/>
  <c r="F22" i="54"/>
  <c r="I22" i="28"/>
  <c r="C22" i="25"/>
  <c r="F22" i="5"/>
  <c r="D22" i="6" s="1"/>
  <c r="I22" i="18"/>
  <c r="C22" i="27"/>
  <c r="C22" i="76" s="1"/>
  <c r="G22" i="25"/>
  <c r="C22" i="36"/>
  <c r="C22" i="7"/>
  <c r="C22" i="82"/>
  <c r="E22" i="36"/>
  <c r="F22" i="8"/>
  <c r="F22" i="10"/>
  <c r="C31" i="7"/>
  <c r="G31" i="36"/>
  <c r="F31" i="29"/>
  <c r="L43" i="2"/>
  <c r="C43" i="5" s="1"/>
  <c r="D43" i="5" s="1"/>
  <c r="C43" i="10" s="1"/>
  <c r="C22" i="18"/>
  <c r="E22" i="35"/>
  <c r="F22" i="11"/>
  <c r="C22" i="29"/>
  <c r="C22" i="35"/>
  <c r="C22" i="34"/>
  <c r="E22" i="19"/>
  <c r="F22" i="9"/>
  <c r="E22" i="25"/>
  <c r="G22" i="36"/>
  <c r="C22" i="9"/>
  <c r="L12" i="2"/>
  <c r="C12" i="5" s="1"/>
  <c r="D12" i="5" s="1"/>
  <c r="E12" i="25" s="1"/>
  <c r="L29" i="2"/>
  <c r="C29" i="5" s="1"/>
  <c r="D29" i="5" s="1"/>
  <c r="E51" i="36"/>
  <c r="C51" i="34"/>
  <c r="E51" i="82"/>
  <c r="F51" i="54"/>
  <c r="G51" i="36"/>
  <c r="F51" i="8"/>
  <c r="I51" i="25"/>
  <c r="G38" i="36"/>
  <c r="E38" i="82"/>
  <c r="C38" i="10"/>
  <c r="E38" i="36"/>
  <c r="L18" i="2"/>
  <c r="C18" i="5" s="1"/>
  <c r="D18" i="5" s="1"/>
  <c r="I51" i="54"/>
  <c r="I51" i="11"/>
  <c r="C51" i="36"/>
  <c r="I51" i="26"/>
  <c r="F51" i="9"/>
  <c r="I38" i="20"/>
  <c r="C38" i="29"/>
  <c r="E38" i="34"/>
  <c r="C38" i="9"/>
  <c r="I38" i="28"/>
  <c r="F38" i="10"/>
  <c r="C38" i="34"/>
  <c r="I38" i="11"/>
  <c r="C38" i="35"/>
  <c r="E51" i="25"/>
  <c r="I51" i="20"/>
  <c r="C51" i="37"/>
  <c r="E51" i="35"/>
  <c r="C51" i="9"/>
  <c r="E51" i="19"/>
  <c r="F51" i="26"/>
  <c r="C51" i="38"/>
  <c r="E51" i="37"/>
  <c r="I51" i="9"/>
  <c r="E51" i="38"/>
  <c r="L37" i="2"/>
  <c r="C37" i="5" s="1"/>
  <c r="D37" i="5" s="1"/>
  <c r="I51" i="18"/>
  <c r="C51" i="25"/>
  <c r="G51" i="25"/>
  <c r="C51" i="18"/>
  <c r="C51" i="27"/>
  <c r="C51" i="76" s="1"/>
  <c r="C51" i="35"/>
  <c r="C51" i="19"/>
  <c r="C51" i="8"/>
  <c r="C51" i="10"/>
  <c r="C51" i="28"/>
  <c r="C51" i="26"/>
  <c r="C51" i="7"/>
  <c r="F38" i="9"/>
  <c r="F51" i="20"/>
  <c r="C51" i="29"/>
  <c r="G51" i="34"/>
  <c r="C51" i="20"/>
  <c r="I51" i="28"/>
  <c r="E51" i="34"/>
  <c r="F51" i="5"/>
  <c r="D51" i="6" s="1"/>
  <c r="F51" i="28"/>
  <c r="F51" i="10"/>
  <c r="H51" i="19"/>
  <c r="F51" i="29"/>
  <c r="C51" i="11"/>
  <c r="C38" i="26"/>
  <c r="E38" i="35"/>
  <c r="C38" i="36"/>
  <c r="G48" i="2"/>
  <c r="L33" i="2"/>
  <c r="C33" i="5" s="1"/>
  <c r="D33" i="5" s="1"/>
  <c r="C33" i="26" s="1"/>
  <c r="L23" i="2"/>
  <c r="C23" i="5" s="1"/>
  <c r="D23" i="5" s="1"/>
  <c r="I23" i="26" s="1"/>
  <c r="B48" i="88"/>
  <c r="L21" i="2"/>
  <c r="C21" i="5" s="1"/>
  <c r="D21" i="5" s="1"/>
  <c r="G21" i="25" s="1"/>
  <c r="H27" i="19"/>
  <c r="E27" i="38"/>
  <c r="G27" i="34"/>
  <c r="E27" i="34"/>
  <c r="I27" i="10"/>
  <c r="F27" i="26"/>
  <c r="C27" i="8"/>
  <c r="G27" i="25"/>
  <c r="I27" i="18"/>
  <c r="I27" i="28"/>
  <c r="G27" i="36"/>
  <c r="C27" i="20"/>
  <c r="C27" i="28"/>
  <c r="F27" i="5"/>
  <c r="D27" i="6" s="1"/>
  <c r="C27" i="7"/>
  <c r="C27" i="34"/>
  <c r="E27" i="35"/>
  <c r="F27" i="11"/>
  <c r="I27" i="26"/>
  <c r="F27" i="9"/>
  <c r="I27" i="9"/>
  <c r="C27" i="35"/>
  <c r="C27" i="26"/>
  <c r="C27" i="19"/>
  <c r="E27" i="19"/>
  <c r="E27" i="37"/>
  <c r="I27" i="20"/>
  <c r="F27" i="10"/>
  <c r="C27" i="27"/>
  <c r="C27" i="76" s="1"/>
  <c r="C27" i="82"/>
  <c r="F27" i="28"/>
  <c r="C27" i="10"/>
  <c r="C27" i="9"/>
  <c r="I27" i="11"/>
  <c r="C27" i="18"/>
  <c r="F27" i="29"/>
  <c r="F27" i="18"/>
  <c r="C27" i="38"/>
  <c r="E27" i="25"/>
  <c r="F27" i="8"/>
  <c r="E27" i="82"/>
  <c r="C27" i="11"/>
  <c r="I27" i="25"/>
  <c r="C27" i="25"/>
  <c r="F27" i="20"/>
  <c r="E27" i="36"/>
  <c r="C27" i="36"/>
  <c r="C27" i="37"/>
  <c r="C27" i="29"/>
  <c r="F27" i="54"/>
  <c r="I27" i="54"/>
  <c r="C27" i="54"/>
  <c r="F37" i="5"/>
  <c r="D37" i="6" s="1"/>
  <c r="F37" i="11"/>
  <c r="E37" i="82"/>
  <c r="I37" i="18"/>
  <c r="E37" i="36"/>
  <c r="I37" i="9"/>
  <c r="I37" i="20"/>
  <c r="I37" i="10"/>
  <c r="C37" i="9"/>
  <c r="C37" i="34"/>
  <c r="C37" i="35"/>
  <c r="C37" i="25"/>
  <c r="C37" i="8"/>
  <c r="C37" i="28"/>
  <c r="I37" i="11"/>
  <c r="E37" i="38"/>
  <c r="I37" i="25"/>
  <c r="C37" i="10"/>
  <c r="F37" i="26"/>
  <c r="I37" i="26"/>
  <c r="E37" i="25"/>
  <c r="E37" i="35"/>
  <c r="F37" i="29"/>
  <c r="F37" i="28"/>
  <c r="F37" i="18"/>
  <c r="C37" i="19"/>
  <c r="E37" i="19"/>
  <c r="C37" i="38"/>
  <c r="C37" i="27"/>
  <c r="C37" i="76" s="1"/>
  <c r="F37" i="10"/>
  <c r="F37" i="9"/>
  <c r="C37" i="82"/>
  <c r="E37" i="34"/>
  <c r="G37" i="25"/>
  <c r="G37" i="34"/>
  <c r="C37" i="20"/>
  <c r="C37" i="36"/>
  <c r="E37" i="37"/>
  <c r="I37" i="28"/>
  <c r="F37" i="20"/>
  <c r="F37" i="8"/>
  <c r="C37" i="7"/>
  <c r="C37" i="11"/>
  <c r="G37" i="36"/>
  <c r="C37" i="37"/>
  <c r="C37" i="29"/>
  <c r="C37" i="18"/>
  <c r="C37" i="26"/>
  <c r="H37" i="19"/>
  <c r="F37" i="54"/>
  <c r="I37" i="54"/>
  <c r="I33" i="20"/>
  <c r="E46" i="38"/>
  <c r="I46" i="26"/>
  <c r="I46" i="9"/>
  <c r="C46" i="8"/>
  <c r="C46" i="28"/>
  <c r="F46" i="29"/>
  <c r="C46" i="10"/>
  <c r="E46" i="82"/>
  <c r="C46" i="82"/>
  <c r="C46" i="35"/>
  <c r="F46" i="10"/>
  <c r="C46" i="19"/>
  <c r="I46" i="20"/>
  <c r="C46" i="34"/>
  <c r="G46" i="36"/>
  <c r="E46" i="35"/>
  <c r="I46" i="28"/>
  <c r="F46" i="28"/>
  <c r="C46" i="29"/>
  <c r="C46" i="38"/>
  <c r="E46" i="25"/>
  <c r="I46" i="11"/>
  <c r="F46" i="11"/>
  <c r="E46" i="34"/>
  <c r="E46" i="19"/>
  <c r="I46" i="54"/>
  <c r="F19" i="20"/>
  <c r="E19" i="38"/>
  <c r="I19" i="26"/>
  <c r="I19" i="9"/>
  <c r="F19" i="9"/>
  <c r="C19" i="7"/>
  <c r="I19" i="25"/>
  <c r="C19" i="26"/>
  <c r="C19" i="10"/>
  <c r="C19" i="29"/>
  <c r="C19" i="18"/>
  <c r="C19" i="38"/>
  <c r="F19" i="11"/>
  <c r="C19" i="34"/>
  <c r="E19" i="82"/>
  <c r="E19" i="35"/>
  <c r="C19" i="25"/>
  <c r="E19" i="36"/>
  <c r="I19" i="18"/>
  <c r="C19" i="37"/>
  <c r="I19" i="11"/>
  <c r="G19" i="36"/>
  <c r="F19" i="18"/>
  <c r="F19" i="5"/>
  <c r="D19" i="6" s="1"/>
  <c r="F19" i="10"/>
  <c r="G19" i="34"/>
  <c r="C19" i="11"/>
  <c r="F19" i="26"/>
  <c r="C19" i="8"/>
  <c r="G19" i="25"/>
  <c r="F19" i="29"/>
  <c r="C19" i="82"/>
  <c r="I19" i="28"/>
  <c r="C19" i="27"/>
  <c r="C19" i="76" s="1"/>
  <c r="C19" i="28"/>
  <c r="H19" i="19"/>
  <c r="C19" i="36"/>
  <c r="I19" i="20"/>
  <c r="I19" i="10"/>
  <c r="E19" i="34"/>
  <c r="F19" i="8"/>
  <c r="E19" i="25"/>
  <c r="C19" i="9"/>
  <c r="C19" i="35"/>
  <c r="C19" i="20"/>
  <c r="C19" i="19"/>
  <c r="E19" i="37"/>
  <c r="F19" i="28"/>
  <c r="E19" i="19"/>
  <c r="F19" i="54"/>
  <c r="I19" i="54"/>
  <c r="C24" i="38"/>
  <c r="E24" i="82"/>
  <c r="I24" i="26"/>
  <c r="C24" i="7"/>
  <c r="E24" i="34"/>
  <c r="F24" i="9"/>
  <c r="E24" i="37"/>
  <c r="E24" i="36"/>
  <c r="C24" i="34"/>
  <c r="C24" i="20"/>
  <c r="F24" i="18"/>
  <c r="E24" i="38"/>
  <c r="C24" i="28"/>
  <c r="F24" i="8"/>
  <c r="C24" i="11"/>
  <c r="C24" i="8"/>
  <c r="F24" i="26"/>
  <c r="C24" i="27"/>
  <c r="C24" i="76" s="1"/>
  <c r="G24" i="25"/>
  <c r="C24" i="36"/>
  <c r="C24" i="18"/>
  <c r="C24" i="19"/>
  <c r="H24" i="19"/>
  <c r="F24" i="5"/>
  <c r="D24" i="6" s="1"/>
  <c r="C24" i="82"/>
  <c r="C24" i="35"/>
  <c r="E24" i="35"/>
  <c r="F24" i="11"/>
  <c r="I24" i="10"/>
  <c r="I24" i="9"/>
  <c r="C24" i="9"/>
  <c r="I24" i="11"/>
  <c r="I24" i="28"/>
  <c r="C24" i="29"/>
  <c r="C24" i="37"/>
  <c r="E24" i="19"/>
  <c r="I24" i="25"/>
  <c r="I24" i="20"/>
  <c r="C24" i="25"/>
  <c r="E24" i="25"/>
  <c r="F24" i="10"/>
  <c r="G24" i="34"/>
  <c r="F24" i="28"/>
  <c r="C24" i="26"/>
  <c r="I24" i="18"/>
  <c r="G24" i="36"/>
  <c r="C24" i="10"/>
  <c r="F24" i="29"/>
  <c r="F24" i="20"/>
  <c r="C24" i="54"/>
  <c r="F24" i="54"/>
  <c r="F26" i="18"/>
  <c r="I26" i="20"/>
  <c r="C26" i="9"/>
  <c r="C26" i="11"/>
  <c r="F26" i="9"/>
  <c r="C26" i="82"/>
  <c r="F26" i="28"/>
  <c r="C26" i="19"/>
  <c r="I26" i="18"/>
  <c r="C26" i="37"/>
  <c r="F26" i="20"/>
  <c r="H26" i="19"/>
  <c r="E26" i="38"/>
  <c r="C26" i="34"/>
  <c r="F26" i="11"/>
  <c r="I26" i="25"/>
  <c r="C26" i="35"/>
  <c r="C26" i="28"/>
  <c r="I26" i="10"/>
  <c r="C26" i="10"/>
  <c r="E26" i="36"/>
  <c r="I26" i="11"/>
  <c r="C26" i="20"/>
  <c r="E26" i="19"/>
  <c r="C26" i="38"/>
  <c r="F26" i="8"/>
  <c r="C26" i="25"/>
  <c r="I26" i="9"/>
  <c r="C26" i="27"/>
  <c r="C26" i="76" s="1"/>
  <c r="E26" i="35"/>
  <c r="C26" i="7"/>
  <c r="E26" i="25"/>
  <c r="C26" i="18"/>
  <c r="E26" i="34"/>
  <c r="F26" i="29"/>
  <c r="C26" i="36"/>
  <c r="F26" i="5"/>
  <c r="D26" i="6" s="1"/>
  <c r="F26" i="10"/>
  <c r="F26" i="26"/>
  <c r="C26" i="8"/>
  <c r="G26" i="34"/>
  <c r="G26" i="25"/>
  <c r="I26" i="26"/>
  <c r="E26" i="82"/>
  <c r="I26" i="28"/>
  <c r="C26" i="26"/>
  <c r="E26" i="37"/>
  <c r="G26" i="36"/>
  <c r="C26" i="29"/>
  <c r="F26" i="54"/>
  <c r="I26" i="54"/>
  <c r="F23" i="10"/>
  <c r="E23" i="38"/>
  <c r="C23" i="29"/>
  <c r="F23" i="28"/>
  <c r="G23" i="25"/>
  <c r="G23" i="36"/>
  <c r="C34" i="20"/>
  <c r="I34" i="20"/>
  <c r="C34" i="34"/>
  <c r="C34" i="10"/>
  <c r="C34" i="7"/>
  <c r="F34" i="10"/>
  <c r="I34" i="25"/>
  <c r="C34" i="9"/>
  <c r="F34" i="18"/>
  <c r="C34" i="26"/>
  <c r="C34" i="25"/>
  <c r="E34" i="38"/>
  <c r="E34" i="37"/>
  <c r="C34" i="11"/>
  <c r="F34" i="26"/>
  <c r="F34" i="11"/>
  <c r="I34" i="10"/>
  <c r="E34" i="35"/>
  <c r="I34" i="11"/>
  <c r="E34" i="36"/>
  <c r="F34" i="29"/>
  <c r="F34" i="20"/>
  <c r="C34" i="38"/>
  <c r="F34" i="9"/>
  <c r="C34" i="82"/>
  <c r="F34" i="28"/>
  <c r="E34" i="34"/>
  <c r="E34" i="25"/>
  <c r="I34" i="9"/>
  <c r="C34" i="8"/>
  <c r="E34" i="82"/>
  <c r="C34" i="37"/>
  <c r="C34" i="28"/>
  <c r="I34" i="18"/>
  <c r="I34" i="28"/>
  <c r="F34" i="5"/>
  <c r="D34" i="6" s="1"/>
  <c r="F34" i="8"/>
  <c r="G34" i="25"/>
  <c r="C34" i="35"/>
  <c r="C34" i="27"/>
  <c r="C34" i="76" s="1"/>
  <c r="I34" i="26"/>
  <c r="G34" i="34"/>
  <c r="C34" i="36"/>
  <c r="C34" i="18"/>
  <c r="G34" i="36"/>
  <c r="C34" i="19"/>
  <c r="E34" i="19"/>
  <c r="C34" i="29"/>
  <c r="H34" i="19"/>
  <c r="F34" i="54"/>
  <c r="I34" i="54"/>
  <c r="F21" i="5"/>
  <c r="D21" i="6" s="1"/>
  <c r="F21" i="11"/>
  <c r="C21" i="36"/>
  <c r="I21" i="20"/>
  <c r="C21" i="27"/>
  <c r="C21" i="76" s="1"/>
  <c r="C21" i="26"/>
  <c r="I21" i="18"/>
  <c r="G21" i="36"/>
  <c r="E21" i="36"/>
  <c r="I21" i="25"/>
  <c r="F21" i="26"/>
  <c r="C21" i="29"/>
  <c r="C21" i="18"/>
  <c r="F14" i="20"/>
  <c r="I14" i="20"/>
  <c r="C14" i="82"/>
  <c r="C14" i="10"/>
  <c r="C14" i="9"/>
  <c r="F14" i="28"/>
  <c r="E14" i="36"/>
  <c r="I14" i="28"/>
  <c r="C14" i="25"/>
  <c r="C14" i="19"/>
  <c r="C14" i="28"/>
  <c r="C14" i="38"/>
  <c r="E14" i="34"/>
  <c r="C14" i="7"/>
  <c r="C14" i="26"/>
  <c r="F14" i="11"/>
  <c r="I14" i="10"/>
  <c r="F14" i="26"/>
  <c r="E14" i="19"/>
  <c r="I14" i="11"/>
  <c r="G14" i="36"/>
  <c r="C14" i="20"/>
  <c r="C14" i="37"/>
  <c r="F14" i="29"/>
  <c r="E14" i="38"/>
  <c r="E14" i="35"/>
  <c r="F14" i="8"/>
  <c r="E14" i="82"/>
  <c r="I14" i="9"/>
  <c r="C14" i="27"/>
  <c r="C14" i="76" s="1"/>
  <c r="C14" i="11"/>
  <c r="C14" i="35"/>
  <c r="C14" i="34"/>
  <c r="E14" i="37"/>
  <c r="C14" i="18"/>
  <c r="H14" i="19"/>
  <c r="F14" i="5"/>
  <c r="D14" i="6" s="1"/>
  <c r="F14" i="10"/>
  <c r="G14" i="34"/>
  <c r="C14" i="8"/>
  <c r="I14" i="25"/>
  <c r="F14" i="9"/>
  <c r="E14" i="25"/>
  <c r="I14" i="26"/>
  <c r="I14" i="18"/>
  <c r="F14" i="18"/>
  <c r="G14" i="25"/>
  <c r="C14" i="29"/>
  <c r="C14" i="36"/>
  <c r="F14" i="54"/>
  <c r="I14" i="54"/>
  <c r="H44" i="19"/>
  <c r="F44" i="5"/>
  <c r="D44" i="6" s="1"/>
  <c r="F44" i="11"/>
  <c r="G44" i="25"/>
  <c r="C44" i="25"/>
  <c r="E44" i="82"/>
  <c r="G44" i="34"/>
  <c r="F44" i="8"/>
  <c r="C44" i="19"/>
  <c r="C44" i="26"/>
  <c r="E44" i="37"/>
  <c r="E44" i="36"/>
  <c r="F44" i="20"/>
  <c r="F44" i="9"/>
  <c r="I44" i="20"/>
  <c r="E44" i="34"/>
  <c r="E44" i="35"/>
  <c r="F44" i="26"/>
  <c r="F44" i="28"/>
  <c r="F44" i="10"/>
  <c r="C44" i="8"/>
  <c r="C44" i="20"/>
  <c r="I44" i="11"/>
  <c r="F44" i="29"/>
  <c r="C44" i="38"/>
  <c r="C44" i="35"/>
  <c r="E44" i="25"/>
  <c r="I44" i="10"/>
  <c r="C44" i="82"/>
  <c r="C44" i="10"/>
  <c r="C44" i="11"/>
  <c r="C44" i="37"/>
  <c r="I44" i="18"/>
  <c r="C44" i="36"/>
  <c r="C44" i="29"/>
  <c r="F44" i="18"/>
  <c r="C44" i="18"/>
  <c r="E44" i="38"/>
  <c r="I44" i="26"/>
  <c r="C44" i="34"/>
  <c r="C44" i="7"/>
  <c r="C44" i="27"/>
  <c r="C44" i="76" s="1"/>
  <c r="I44" i="9"/>
  <c r="C44" i="9"/>
  <c r="I44" i="25"/>
  <c r="I44" i="28"/>
  <c r="G44" i="36"/>
  <c r="C44" i="28"/>
  <c r="E44" i="19"/>
  <c r="F44" i="54"/>
  <c r="I44" i="54"/>
  <c r="I17" i="20"/>
  <c r="F17" i="28"/>
  <c r="I17" i="10"/>
  <c r="F17" i="8"/>
  <c r="F17" i="26"/>
  <c r="E17" i="25"/>
  <c r="C17" i="7"/>
  <c r="I17" i="25"/>
  <c r="C17" i="26"/>
  <c r="F17" i="11"/>
  <c r="E17" i="37"/>
  <c r="C17" i="19"/>
  <c r="E17" i="19"/>
  <c r="C17" i="38"/>
  <c r="C17" i="9"/>
  <c r="C17" i="28"/>
  <c r="I17" i="11"/>
  <c r="I17" i="26"/>
  <c r="C17" i="35"/>
  <c r="E17" i="35"/>
  <c r="C17" i="18"/>
  <c r="F17" i="18"/>
  <c r="C17" i="29"/>
  <c r="C17" i="27"/>
  <c r="C17" i="76" s="1"/>
  <c r="E17" i="38"/>
  <c r="C17" i="8"/>
  <c r="C17" i="25"/>
  <c r="F17" i="9"/>
  <c r="G17" i="25"/>
  <c r="C17" i="82"/>
  <c r="E17" i="82"/>
  <c r="E17" i="36"/>
  <c r="C17" i="37"/>
  <c r="C17" i="36"/>
  <c r="G17" i="36"/>
  <c r="F17" i="20"/>
  <c r="F17" i="5"/>
  <c r="D17" i="6" s="1"/>
  <c r="G17" i="34"/>
  <c r="C17" i="34"/>
  <c r="C17" i="11"/>
  <c r="C17" i="10"/>
  <c r="F17" i="10"/>
  <c r="I17" i="9"/>
  <c r="E17" i="34"/>
  <c r="F17" i="29"/>
  <c r="C17" i="20"/>
  <c r="I17" i="18"/>
  <c r="I17" i="28"/>
  <c r="H17" i="19"/>
  <c r="F17" i="54"/>
  <c r="I17" i="54"/>
  <c r="E20" i="76"/>
  <c r="D20" i="54"/>
  <c r="E32" i="76"/>
  <c r="D32" i="54"/>
  <c r="C43" i="38"/>
  <c r="E43" i="25"/>
  <c r="C43" i="34"/>
  <c r="C43" i="35"/>
  <c r="C43" i="36"/>
  <c r="I43" i="11"/>
  <c r="E43" i="35"/>
  <c r="E43" i="38"/>
  <c r="C43" i="25"/>
  <c r="C43" i="28"/>
  <c r="C43" i="37"/>
  <c r="C43" i="19"/>
  <c r="F43" i="5"/>
  <c r="D43" i="6" s="1"/>
  <c r="F43" i="11"/>
  <c r="G43" i="34"/>
  <c r="I43" i="25"/>
  <c r="F43" i="18"/>
  <c r="C43" i="26"/>
  <c r="C43" i="29"/>
  <c r="E43" i="82"/>
  <c r="C43" i="27"/>
  <c r="C43" i="76" s="1"/>
  <c r="I43" i="26"/>
  <c r="C43" i="18"/>
  <c r="E43" i="37"/>
  <c r="C43" i="20"/>
  <c r="J29" i="54"/>
  <c r="G12" i="54"/>
  <c r="D45" i="54"/>
  <c r="E45" i="76"/>
  <c r="G36" i="34"/>
  <c r="C36" i="36"/>
  <c r="H36" i="19"/>
  <c r="C36" i="25"/>
  <c r="I36" i="18"/>
  <c r="C36" i="20"/>
  <c r="F36" i="20"/>
  <c r="I36" i="26"/>
  <c r="E36" i="25"/>
  <c r="I36" i="9"/>
  <c r="C36" i="7"/>
  <c r="F36" i="28"/>
  <c r="F36" i="18"/>
  <c r="G36" i="25"/>
  <c r="I36" i="10"/>
  <c r="I36" i="25"/>
  <c r="E36" i="35"/>
  <c r="C36" i="34"/>
  <c r="G36" i="36"/>
  <c r="C12" i="25"/>
  <c r="C12" i="9"/>
  <c r="I12" i="11"/>
  <c r="C12" i="10"/>
  <c r="I12" i="18"/>
  <c r="C12" i="19"/>
  <c r="F12" i="28"/>
  <c r="G12" i="34"/>
  <c r="I12" i="9"/>
  <c r="C12" i="37"/>
  <c r="F12" i="9"/>
  <c r="C12" i="28"/>
  <c r="I12" i="20"/>
  <c r="E12" i="35"/>
  <c r="I12" i="28"/>
  <c r="C12" i="34"/>
  <c r="I12" i="25"/>
  <c r="C12" i="18"/>
  <c r="E12" i="34"/>
  <c r="C12" i="35"/>
  <c r="F12" i="8"/>
  <c r="E12" i="82"/>
  <c r="C12" i="27"/>
  <c r="C12" i="76" s="1"/>
  <c r="C12" i="36"/>
  <c r="I16" i="20"/>
  <c r="F16" i="10"/>
  <c r="I16" i="26"/>
  <c r="E16" i="34"/>
  <c r="G16" i="25"/>
  <c r="C16" i="25"/>
  <c r="C16" i="28"/>
  <c r="C16" i="10"/>
  <c r="C16" i="19"/>
  <c r="I16" i="28"/>
  <c r="E16" i="19"/>
  <c r="F16" i="18"/>
  <c r="E16" i="38"/>
  <c r="F16" i="11"/>
  <c r="G16" i="34"/>
  <c r="C16" i="9"/>
  <c r="F16" i="8"/>
  <c r="E16" i="35"/>
  <c r="C16" i="7"/>
  <c r="I16" i="9"/>
  <c r="C16" i="37"/>
  <c r="C16" i="36"/>
  <c r="F16" i="29"/>
  <c r="I16" i="18"/>
  <c r="H16" i="19"/>
  <c r="C16" i="38"/>
  <c r="C16" i="26"/>
  <c r="C16" i="35"/>
  <c r="C16" i="82"/>
  <c r="E16" i="82"/>
  <c r="I16" i="10"/>
  <c r="C16" i="18"/>
  <c r="G16" i="36"/>
  <c r="C16" i="20"/>
  <c r="F16" i="28"/>
  <c r="C16" i="34"/>
  <c r="F16" i="5"/>
  <c r="D16" i="6" s="1"/>
  <c r="C16" i="11"/>
  <c r="E16" i="25"/>
  <c r="F16" i="26"/>
  <c r="I16" i="25"/>
  <c r="C16" i="27"/>
  <c r="C16" i="76" s="1"/>
  <c r="C16" i="8"/>
  <c r="F16" i="9"/>
  <c r="C16" i="29"/>
  <c r="E16" i="36"/>
  <c r="I16" i="11"/>
  <c r="E16" i="37"/>
  <c r="F16" i="20"/>
  <c r="E41" i="38"/>
  <c r="F41" i="10"/>
  <c r="F41" i="8"/>
  <c r="I41" i="10"/>
  <c r="F41" i="26"/>
  <c r="C41" i="82"/>
  <c r="C41" i="34"/>
  <c r="E41" i="34"/>
  <c r="I41" i="18"/>
  <c r="E41" i="37"/>
  <c r="E41" i="19"/>
  <c r="C41" i="18"/>
  <c r="F41" i="5"/>
  <c r="D41" i="6" s="1"/>
  <c r="G41" i="34"/>
  <c r="C41" i="35"/>
  <c r="C41" i="10"/>
  <c r="E41" i="35"/>
  <c r="C41" i="9"/>
  <c r="F41" i="28"/>
  <c r="G41" i="36"/>
  <c r="C41" i="26"/>
  <c r="C41" i="36"/>
  <c r="I41" i="28"/>
  <c r="F41" i="20"/>
  <c r="I41" i="11"/>
  <c r="I41" i="20"/>
  <c r="I41" i="26"/>
  <c r="C41" i="25"/>
  <c r="E41" i="25"/>
  <c r="C41" i="27"/>
  <c r="C41" i="76" s="1"/>
  <c r="C41" i="11"/>
  <c r="F41" i="11"/>
  <c r="C41" i="19"/>
  <c r="F41" i="29"/>
  <c r="C41" i="28"/>
  <c r="C41" i="8"/>
  <c r="H41" i="19"/>
  <c r="F41" i="18"/>
  <c r="C41" i="38"/>
  <c r="F41" i="9"/>
  <c r="I41" i="9"/>
  <c r="G41" i="25"/>
  <c r="C41" i="7"/>
  <c r="I41" i="25"/>
  <c r="E41" i="82"/>
  <c r="C41" i="37"/>
  <c r="E41" i="36"/>
  <c r="C41" i="29"/>
  <c r="C41" i="20"/>
  <c r="F39" i="8"/>
  <c r="F39" i="28"/>
  <c r="C39" i="7"/>
  <c r="C39" i="82"/>
  <c r="C39" i="36"/>
  <c r="F39" i="20"/>
  <c r="E39" i="25"/>
  <c r="C39" i="8"/>
  <c r="C39" i="11"/>
  <c r="E39" i="35"/>
  <c r="C39" i="19"/>
  <c r="G39" i="36"/>
  <c r="E39" i="19"/>
  <c r="I39" i="20"/>
  <c r="C39" i="35"/>
  <c r="C39" i="34"/>
  <c r="C39" i="37"/>
  <c r="C39" i="26"/>
  <c r="I39" i="25"/>
  <c r="E39" i="34"/>
  <c r="C39" i="10"/>
  <c r="C39" i="25"/>
  <c r="C39" i="28"/>
  <c r="F39" i="29"/>
  <c r="H50" i="19"/>
  <c r="C50" i="38"/>
  <c r="F50" i="9"/>
  <c r="C50" i="82"/>
  <c r="F50" i="10"/>
  <c r="I50" i="28"/>
  <c r="C50" i="10"/>
  <c r="E50" i="82"/>
  <c r="I50" i="11"/>
  <c r="F50" i="29"/>
  <c r="C50" i="36"/>
  <c r="F50" i="20"/>
  <c r="C50" i="29"/>
  <c r="E50" i="38"/>
  <c r="C50" i="25"/>
  <c r="G50" i="34"/>
  <c r="C50" i="35"/>
  <c r="C50" i="7"/>
  <c r="I50" i="26"/>
  <c r="I50" i="9"/>
  <c r="C50" i="8"/>
  <c r="G50" i="36"/>
  <c r="C50" i="34"/>
  <c r="C50" i="37"/>
  <c r="C50" i="28"/>
  <c r="C50" i="27"/>
  <c r="C50" i="76" s="1"/>
  <c r="F50" i="5"/>
  <c r="D50" i="6" s="1"/>
  <c r="E50" i="35"/>
  <c r="E50" i="25"/>
  <c r="F50" i="26"/>
  <c r="G50" i="25"/>
  <c r="I50" i="25"/>
  <c r="I50" i="10"/>
  <c r="C50" i="9"/>
  <c r="C50" i="19"/>
  <c r="F50" i="28"/>
  <c r="I50" i="18"/>
  <c r="E50" i="19"/>
  <c r="F50" i="18"/>
  <c r="I50" i="20"/>
  <c r="F50" i="11"/>
  <c r="F50" i="8"/>
  <c r="E50" i="34"/>
  <c r="C50" i="11"/>
  <c r="E50" i="37"/>
  <c r="E50" i="36"/>
  <c r="C50" i="26"/>
  <c r="C50" i="18"/>
  <c r="C50" i="20"/>
  <c r="E35" i="35"/>
  <c r="I35" i="20"/>
  <c r="E35" i="82"/>
  <c r="C35" i="20"/>
  <c r="E35" i="25"/>
  <c r="I35" i="9"/>
  <c r="C35" i="10"/>
  <c r="E35" i="34"/>
  <c r="G35" i="36"/>
  <c r="C35" i="18"/>
  <c r="F35" i="28"/>
  <c r="C35" i="26"/>
  <c r="F35" i="18"/>
  <c r="H35" i="19"/>
  <c r="E35" i="38"/>
  <c r="C35" i="7"/>
  <c r="C35" i="27"/>
  <c r="C35" i="76" s="1"/>
  <c r="G35" i="25"/>
  <c r="C35" i="25"/>
  <c r="C35" i="9"/>
  <c r="C35" i="34"/>
  <c r="E35" i="36"/>
  <c r="E35" i="37"/>
  <c r="I35" i="11"/>
  <c r="F35" i="20"/>
  <c r="C35" i="38"/>
  <c r="F35" i="11"/>
  <c r="C35" i="11"/>
  <c r="G35" i="34"/>
  <c r="F35" i="26"/>
  <c r="I35" i="10"/>
  <c r="F35" i="8"/>
  <c r="I35" i="18"/>
  <c r="C35" i="19"/>
  <c r="C35" i="37"/>
  <c r="I35" i="28"/>
  <c r="E35" i="19"/>
  <c r="F35" i="5"/>
  <c r="D35" i="6" s="1"/>
  <c r="C35" i="35"/>
  <c r="F35" i="9"/>
  <c r="C35" i="82"/>
  <c r="I35" i="26"/>
  <c r="F35" i="10"/>
  <c r="C35" i="8"/>
  <c r="I35" i="25"/>
  <c r="C35" i="29"/>
  <c r="C35" i="36"/>
  <c r="C35" i="28"/>
  <c r="F35" i="29"/>
  <c r="D21" i="54"/>
  <c r="E21" i="76"/>
  <c r="F30" i="5"/>
  <c r="D30" i="6" s="1"/>
  <c r="F30" i="26"/>
  <c r="E30" i="34"/>
  <c r="F30" i="28"/>
  <c r="F30" i="10"/>
  <c r="F30" i="11"/>
  <c r="F30" i="9"/>
  <c r="I30" i="28"/>
  <c r="I30" i="18"/>
  <c r="E30" i="37"/>
  <c r="G30" i="36"/>
  <c r="E30" i="36"/>
  <c r="C30" i="8"/>
  <c r="I30" i="20"/>
  <c r="I30" i="26"/>
  <c r="E30" i="35"/>
  <c r="I30" i="25"/>
  <c r="E30" i="25"/>
  <c r="C30" i="10"/>
  <c r="F30" i="8"/>
  <c r="C30" i="18"/>
  <c r="F30" i="18"/>
  <c r="F30" i="29"/>
  <c r="C30" i="26"/>
  <c r="E30" i="19"/>
  <c r="C30" i="38"/>
  <c r="C30" i="27"/>
  <c r="C30" i="76" s="1"/>
  <c r="I30" i="9"/>
  <c r="G30" i="34"/>
  <c r="C30" i="7"/>
  <c r="C30" i="35"/>
  <c r="C30" i="34"/>
  <c r="C30" i="36"/>
  <c r="C30" i="37"/>
  <c r="C30" i="19"/>
  <c r="H30" i="19"/>
  <c r="E30" i="38"/>
  <c r="E30" i="82"/>
  <c r="C30" i="82"/>
  <c r="G30" i="25"/>
  <c r="C30" i="9"/>
  <c r="C30" i="11"/>
  <c r="I30" i="10"/>
  <c r="C30" i="25"/>
  <c r="C30" i="29"/>
  <c r="C30" i="28"/>
  <c r="I30" i="11"/>
  <c r="C30" i="20"/>
  <c r="F30" i="20"/>
  <c r="D39" i="54"/>
  <c r="E39" i="76"/>
  <c r="F29" i="10"/>
  <c r="G29" i="34"/>
  <c r="I29" i="10"/>
  <c r="E29" i="37"/>
  <c r="I29" i="11"/>
  <c r="F29" i="5"/>
  <c r="D29" i="6" s="1"/>
  <c r="C29" i="18"/>
  <c r="D43" i="54"/>
  <c r="E43" i="76"/>
  <c r="J24" i="54"/>
  <c r="I24" i="54"/>
  <c r="G30" i="76"/>
  <c r="F30" i="76"/>
  <c r="G16" i="76"/>
  <c r="F16" i="76"/>
  <c r="F15" i="6"/>
  <c r="E15" i="6"/>
  <c r="C15" i="78" s="1"/>
  <c r="F38" i="6"/>
  <c r="E38" i="6"/>
  <c r="C38" i="78" s="1"/>
  <c r="L45" i="2"/>
  <c r="C45" i="5" s="1"/>
  <c r="D45" i="5" s="1"/>
  <c r="C50" i="54"/>
  <c r="C48" i="2"/>
  <c r="F42" i="54"/>
  <c r="I41" i="54"/>
  <c r="D48" i="2"/>
  <c r="I16" i="54"/>
  <c r="I35" i="54"/>
  <c r="D25" i="54"/>
  <c r="E25" i="76"/>
  <c r="C25" i="54"/>
  <c r="D46" i="54"/>
  <c r="E46" i="76"/>
  <c r="E44" i="76"/>
  <c r="D44" i="54"/>
  <c r="C44" i="54"/>
  <c r="D14" i="54"/>
  <c r="E14" i="76"/>
  <c r="C14" i="54"/>
  <c r="J25" i="54"/>
  <c r="I25" i="54"/>
  <c r="D31" i="54"/>
  <c r="E31" i="76"/>
  <c r="C31" i="54"/>
  <c r="G13" i="54"/>
  <c r="F13" i="54"/>
  <c r="F42" i="5"/>
  <c r="D42" i="6" s="1"/>
  <c r="F42" i="28"/>
  <c r="C42" i="35"/>
  <c r="F42" i="8"/>
  <c r="C42" i="9"/>
  <c r="F42" i="11"/>
  <c r="G42" i="34"/>
  <c r="C42" i="26"/>
  <c r="C42" i="37"/>
  <c r="F42" i="29"/>
  <c r="C42" i="29"/>
  <c r="C42" i="18"/>
  <c r="C42" i="20"/>
  <c r="I42" i="20"/>
  <c r="C42" i="11"/>
  <c r="C42" i="82"/>
  <c r="C42" i="25"/>
  <c r="F42" i="26"/>
  <c r="I42" i="10"/>
  <c r="I42" i="9"/>
  <c r="C42" i="34"/>
  <c r="I42" i="18"/>
  <c r="C42" i="27"/>
  <c r="C42" i="76" s="1"/>
  <c r="C42" i="19"/>
  <c r="F42" i="20"/>
  <c r="E42" i="38"/>
  <c r="E42" i="37"/>
  <c r="C42" i="8"/>
  <c r="E42" i="82"/>
  <c r="E42" i="35"/>
  <c r="F42" i="18"/>
  <c r="G42" i="36"/>
  <c r="I42" i="11"/>
  <c r="C42" i="36"/>
  <c r="C42" i="28"/>
  <c r="H42" i="19"/>
  <c r="C42" i="38"/>
  <c r="I42" i="25"/>
  <c r="E42" i="34"/>
  <c r="E42" i="25"/>
  <c r="C42" i="10"/>
  <c r="G42" i="25"/>
  <c r="I42" i="26"/>
  <c r="F42" i="10"/>
  <c r="C42" i="7"/>
  <c r="E42" i="36"/>
  <c r="F42" i="9"/>
  <c r="I42" i="28"/>
  <c r="E42" i="19"/>
  <c r="E28" i="76"/>
  <c r="D28" i="54"/>
  <c r="C28" i="54"/>
  <c r="E26" i="76"/>
  <c r="D26" i="54"/>
  <c r="C26" i="54"/>
  <c r="D40" i="54"/>
  <c r="E40" i="76"/>
  <c r="C13" i="38"/>
  <c r="G13" i="36"/>
  <c r="C13" i="28"/>
  <c r="E13" i="35"/>
  <c r="I13" i="10"/>
  <c r="I13" i="26"/>
  <c r="E13" i="37"/>
  <c r="E13" i="36"/>
  <c r="C13" i="27"/>
  <c r="C13" i="76" s="1"/>
  <c r="F13" i="20"/>
  <c r="F13" i="18"/>
  <c r="E13" i="38"/>
  <c r="F13" i="10"/>
  <c r="I13" i="9"/>
  <c r="F13" i="9"/>
  <c r="I13" i="11"/>
  <c r="C13" i="7"/>
  <c r="E13" i="82"/>
  <c r="C13" i="82"/>
  <c r="C13" i="19"/>
  <c r="C13" i="35"/>
  <c r="E13" i="19"/>
  <c r="I13" i="28"/>
  <c r="I13" i="18"/>
  <c r="F13" i="5"/>
  <c r="D13" i="6" s="1"/>
  <c r="C13" i="11"/>
  <c r="E13" i="25"/>
  <c r="C13" i="25"/>
  <c r="F13" i="26"/>
  <c r="G13" i="25"/>
  <c r="C13" i="8"/>
  <c r="C13" i="29"/>
  <c r="C13" i="37"/>
  <c r="C13" i="36"/>
  <c r="C13" i="34"/>
  <c r="C13" i="18"/>
  <c r="C13" i="20"/>
  <c r="I13" i="20"/>
  <c r="I13" i="25"/>
  <c r="C13" i="9"/>
  <c r="G13" i="34"/>
  <c r="C13" i="26"/>
  <c r="F13" i="8"/>
  <c r="E13" i="34"/>
  <c r="F13" i="28"/>
  <c r="F13" i="11"/>
  <c r="C13" i="10"/>
  <c r="F13" i="29"/>
  <c r="H13" i="19"/>
  <c r="G42" i="76"/>
  <c r="F42" i="76"/>
  <c r="E22" i="6"/>
  <c r="C22" i="78" s="1"/>
  <c r="F22" i="6"/>
  <c r="F51" i="6"/>
  <c r="E51" i="6"/>
  <c r="F36" i="54"/>
  <c r="F35" i="54"/>
  <c r="I43" i="54"/>
  <c r="F55" i="2"/>
  <c r="C30" i="54"/>
  <c r="E24" i="76"/>
  <c r="C16" i="54"/>
  <c r="D36" i="54"/>
  <c r="E36" i="76"/>
  <c r="C36" i="54"/>
  <c r="D34" i="54"/>
  <c r="E34" i="76"/>
  <c r="C34" i="54"/>
  <c r="J12" i="54"/>
  <c r="I12" i="54"/>
  <c r="D51" i="54"/>
  <c r="E51" i="76"/>
  <c r="C51" i="54"/>
  <c r="D13" i="54"/>
  <c r="E13" i="76"/>
  <c r="C13" i="54"/>
  <c r="G18" i="76"/>
  <c r="D11" i="5"/>
  <c r="L20" i="2"/>
  <c r="C20" i="5" s="1"/>
  <c r="D20" i="5" s="1"/>
  <c r="C20" i="54" s="1"/>
  <c r="L32" i="2"/>
  <c r="C32" i="5" s="1"/>
  <c r="D32" i="5" s="1"/>
  <c r="L40" i="2"/>
  <c r="C40" i="5" s="1"/>
  <c r="D40" i="5" s="1"/>
  <c r="C40" i="54" s="1"/>
  <c r="F41" i="54"/>
  <c r="F50" i="54"/>
  <c r="F30" i="54"/>
  <c r="C42" i="54"/>
  <c r="I30" i="54"/>
  <c r="I48" i="2"/>
  <c r="D41" i="54"/>
  <c r="E41" i="76"/>
  <c r="C41" i="54"/>
  <c r="D23" i="54"/>
  <c r="E23" i="76"/>
  <c r="D35" i="54"/>
  <c r="E35" i="76"/>
  <c r="C35" i="54"/>
  <c r="J13" i="54"/>
  <c r="I13" i="54"/>
  <c r="D15" i="54"/>
  <c r="E15" i="76"/>
  <c r="C15" i="54"/>
  <c r="C18" i="35"/>
  <c r="C18" i="34"/>
  <c r="C18" i="37"/>
  <c r="F18" i="29"/>
  <c r="F18" i="28"/>
  <c r="C18" i="25"/>
  <c r="E33" i="76"/>
  <c r="D33" i="54"/>
  <c r="C28" i="38"/>
  <c r="C28" i="7"/>
  <c r="E28" i="25"/>
  <c r="E28" i="35"/>
  <c r="C28" i="27"/>
  <c r="C28" i="76" s="1"/>
  <c r="F28" i="28"/>
  <c r="C28" i="82"/>
  <c r="E28" i="36"/>
  <c r="C28" i="28"/>
  <c r="C28" i="19"/>
  <c r="I28" i="18"/>
  <c r="H28" i="19"/>
  <c r="E28" i="38"/>
  <c r="C28" i="11"/>
  <c r="I28" i="25"/>
  <c r="G28" i="34"/>
  <c r="C28" i="10"/>
  <c r="E28" i="34"/>
  <c r="G28" i="36"/>
  <c r="C28" i="34"/>
  <c r="C28" i="29"/>
  <c r="C28" i="36"/>
  <c r="F28" i="20"/>
  <c r="F28" i="5"/>
  <c r="D28" i="6" s="1"/>
  <c r="I28" i="26"/>
  <c r="C28" i="8"/>
  <c r="F28" i="29"/>
  <c r="G28" i="25"/>
  <c r="C28" i="35"/>
  <c r="F28" i="10"/>
  <c r="C28" i="25"/>
  <c r="C28" i="26"/>
  <c r="I28" i="11"/>
  <c r="C28" i="37"/>
  <c r="C28" i="20"/>
  <c r="F28" i="18"/>
  <c r="F28" i="9"/>
  <c r="I28" i="20"/>
  <c r="F28" i="11"/>
  <c r="I28" i="9"/>
  <c r="F28" i="8"/>
  <c r="E28" i="82"/>
  <c r="C28" i="9"/>
  <c r="F28" i="26"/>
  <c r="I28" i="10"/>
  <c r="E28" i="37"/>
  <c r="C28" i="18"/>
  <c r="E28" i="19"/>
  <c r="I28" i="28"/>
  <c r="D17" i="54"/>
  <c r="E17" i="76"/>
  <c r="C17" i="54"/>
  <c r="J55" i="2"/>
  <c r="D37" i="54"/>
  <c r="E37" i="76"/>
  <c r="C37" i="54"/>
  <c r="D29" i="54"/>
  <c r="E29" i="76"/>
  <c r="C29" i="54"/>
  <c r="G50" i="76"/>
  <c r="F50" i="76"/>
  <c r="G38" i="76"/>
  <c r="F38" i="76"/>
  <c r="F25" i="5"/>
  <c r="D25" i="6" s="1"/>
  <c r="I25" i="26"/>
  <c r="G25" i="34"/>
  <c r="C25" i="7"/>
  <c r="F25" i="8"/>
  <c r="I25" i="9"/>
  <c r="C25" i="10"/>
  <c r="G25" i="25"/>
  <c r="C25" i="29"/>
  <c r="C25" i="9"/>
  <c r="C25" i="26"/>
  <c r="C25" i="28"/>
  <c r="C25" i="18"/>
  <c r="H25" i="19"/>
  <c r="I25" i="20"/>
  <c r="F25" i="26"/>
  <c r="C25" i="27"/>
  <c r="C25" i="76" s="1"/>
  <c r="E25" i="25"/>
  <c r="F25" i="11"/>
  <c r="F25" i="10"/>
  <c r="I25" i="11"/>
  <c r="I25" i="18"/>
  <c r="C25" i="20"/>
  <c r="F25" i="29"/>
  <c r="C25" i="38"/>
  <c r="C25" i="8"/>
  <c r="E25" i="82"/>
  <c r="E25" i="34"/>
  <c r="C25" i="35"/>
  <c r="I25" i="10"/>
  <c r="C25" i="82"/>
  <c r="C25" i="36"/>
  <c r="I25" i="28"/>
  <c r="E25" i="37"/>
  <c r="G25" i="36"/>
  <c r="C25" i="19"/>
  <c r="F25" i="20"/>
  <c r="E25" i="38"/>
  <c r="F25" i="9"/>
  <c r="I25" i="25"/>
  <c r="E25" i="35"/>
  <c r="F25" i="28"/>
  <c r="C25" i="11"/>
  <c r="C25" i="34"/>
  <c r="C25" i="37"/>
  <c r="E25" i="36"/>
  <c r="C25" i="25"/>
  <c r="F25" i="18"/>
  <c r="E25" i="19"/>
  <c r="G27" i="76"/>
  <c r="F27" i="76"/>
  <c r="F31" i="6"/>
  <c r="E31" i="6"/>
  <c r="C31" i="78" s="1"/>
  <c r="I28" i="54"/>
  <c r="F16" i="54"/>
  <c r="I50" i="54"/>
  <c r="E12" i="76"/>
  <c r="E55" i="2"/>
  <c r="H55" i="2"/>
  <c r="E11" i="78"/>
  <c r="E36" i="78"/>
  <c r="E32" i="78"/>
  <c r="E20" i="78"/>
  <c r="E42" i="78"/>
  <c r="E16" i="78"/>
  <c r="K55" i="2"/>
  <c r="X14" i="2"/>
  <c r="F33" i="10" l="1"/>
  <c r="E33" i="36"/>
  <c r="F33" i="26"/>
  <c r="E33" i="34"/>
  <c r="F33" i="5"/>
  <c r="D33" i="6" s="1"/>
  <c r="C33" i="37"/>
  <c r="C33" i="27"/>
  <c r="C33" i="76" s="1"/>
  <c r="F18" i="54"/>
  <c r="C18" i="18"/>
  <c r="E18" i="35"/>
  <c r="I18" i="26"/>
  <c r="I18" i="9"/>
  <c r="C18" i="27"/>
  <c r="C18" i="76" s="1"/>
  <c r="I18" i="25"/>
  <c r="F29" i="26"/>
  <c r="C29" i="9"/>
  <c r="E29" i="38"/>
  <c r="C29" i="7"/>
  <c r="H29" i="19"/>
  <c r="I29" i="26"/>
  <c r="C29" i="82"/>
  <c r="I36" i="20"/>
  <c r="C36" i="9"/>
  <c r="C36" i="19"/>
  <c r="C36" i="38"/>
  <c r="C36" i="8"/>
  <c r="C36" i="18"/>
  <c r="E36" i="38"/>
  <c r="F36" i="9"/>
  <c r="C36" i="10"/>
  <c r="E36" i="19"/>
  <c r="F36" i="11"/>
  <c r="F36" i="26"/>
  <c r="F36" i="29"/>
  <c r="I36" i="54"/>
  <c r="E36" i="34"/>
  <c r="C36" i="28"/>
  <c r="F36" i="10"/>
  <c r="C36" i="11"/>
  <c r="C36" i="37"/>
  <c r="C36" i="27"/>
  <c r="C36" i="76" s="1"/>
  <c r="F36" i="8"/>
  <c r="C36" i="26"/>
  <c r="I36" i="11"/>
  <c r="E36" i="37"/>
  <c r="E36" i="36"/>
  <c r="F36" i="5"/>
  <c r="D36" i="6" s="1"/>
  <c r="E36" i="82"/>
  <c r="C36" i="29"/>
  <c r="C36" i="82"/>
  <c r="I36" i="28"/>
  <c r="C36" i="35"/>
  <c r="C12" i="54"/>
  <c r="F43" i="54"/>
  <c r="C43" i="54"/>
  <c r="C39" i="54"/>
  <c r="C21" i="54"/>
  <c r="E39" i="37"/>
  <c r="F39" i="11"/>
  <c r="C39" i="38"/>
  <c r="C39" i="27"/>
  <c r="C39" i="76" s="1"/>
  <c r="G39" i="25"/>
  <c r="C39" i="29"/>
  <c r="E39" i="36"/>
  <c r="I39" i="9"/>
  <c r="F39" i="5"/>
  <c r="D39" i="6" s="1"/>
  <c r="I39" i="18"/>
  <c r="F39" i="10"/>
  <c r="F39" i="26"/>
  <c r="F12" i="29"/>
  <c r="G12" i="25"/>
  <c r="G12" i="36"/>
  <c r="C12" i="38"/>
  <c r="I12" i="10"/>
  <c r="F12" i="10"/>
  <c r="C12" i="20"/>
  <c r="C12" i="82"/>
  <c r="C12" i="11"/>
  <c r="F12" i="5"/>
  <c r="D12" i="6" s="1"/>
  <c r="C12" i="29"/>
  <c r="F12" i="26"/>
  <c r="E12" i="38"/>
  <c r="F12" i="54"/>
  <c r="F43" i="29"/>
  <c r="F43" i="9"/>
  <c r="I43" i="10"/>
  <c r="F43" i="28"/>
  <c r="C43" i="11"/>
  <c r="C43" i="7"/>
  <c r="E43" i="19"/>
  <c r="E43" i="34"/>
  <c r="G43" i="25"/>
  <c r="F43" i="20"/>
  <c r="I43" i="28"/>
  <c r="C43" i="82"/>
  <c r="C21" i="28"/>
  <c r="C21" i="38"/>
  <c r="F21" i="10"/>
  <c r="C21" i="20"/>
  <c r="F21" i="29"/>
  <c r="C21" i="10"/>
  <c r="C46" i="20"/>
  <c r="E46" i="37"/>
  <c r="C46" i="27"/>
  <c r="C46" i="76" s="1"/>
  <c r="F46" i="18"/>
  <c r="C46" i="26"/>
  <c r="E46" i="36"/>
  <c r="H46" i="19"/>
  <c r="C46" i="11"/>
  <c r="I46" i="10"/>
  <c r="F46" i="5"/>
  <c r="D46" i="6" s="1"/>
  <c r="C46" i="37"/>
  <c r="C46" i="7"/>
  <c r="F39" i="54"/>
  <c r="I39" i="54"/>
  <c r="C46" i="54"/>
  <c r="F39" i="18"/>
  <c r="I39" i="11"/>
  <c r="E39" i="82"/>
  <c r="C39" i="18"/>
  <c r="C39" i="9"/>
  <c r="F39" i="9"/>
  <c r="C39" i="20"/>
  <c r="I39" i="26"/>
  <c r="G39" i="34"/>
  <c r="H39" i="19"/>
  <c r="I39" i="28"/>
  <c r="I39" i="10"/>
  <c r="F12" i="18"/>
  <c r="E12" i="36"/>
  <c r="C12" i="26"/>
  <c r="E12" i="19"/>
  <c r="E12" i="37"/>
  <c r="C12" i="8"/>
  <c r="F12" i="20"/>
  <c r="C12" i="7"/>
  <c r="I12" i="26"/>
  <c r="H12" i="19"/>
  <c r="F12" i="11"/>
  <c r="E43" i="36"/>
  <c r="I43" i="9"/>
  <c r="I43" i="20"/>
  <c r="G43" i="36"/>
  <c r="F43" i="8"/>
  <c r="I43" i="18"/>
  <c r="H43" i="19"/>
  <c r="F43" i="10"/>
  <c r="F43" i="26"/>
  <c r="C43" i="9"/>
  <c r="C43" i="8"/>
  <c r="F21" i="54"/>
  <c r="G21" i="34"/>
  <c r="E21" i="19"/>
  <c r="F21" i="9"/>
  <c r="E21" i="35"/>
  <c r="C21" i="19"/>
  <c r="C21" i="9"/>
  <c r="F46" i="54"/>
  <c r="C46" i="36"/>
  <c r="C46" i="25"/>
  <c r="F46" i="26"/>
  <c r="I46" i="18"/>
  <c r="C46" i="9"/>
  <c r="G46" i="34"/>
  <c r="F46" i="20"/>
  <c r="F46" i="9"/>
  <c r="G46" i="25"/>
  <c r="C46" i="18"/>
  <c r="F46" i="8"/>
  <c r="E33" i="38"/>
  <c r="C23" i="37"/>
  <c r="I23" i="9"/>
  <c r="I23" i="10"/>
  <c r="G23" i="34"/>
  <c r="E23" i="35"/>
  <c r="F23" i="8"/>
  <c r="H33" i="19"/>
  <c r="E33" i="37"/>
  <c r="F33" i="11"/>
  <c r="C23" i="20"/>
  <c r="I23" i="25"/>
  <c r="I23" i="18"/>
  <c r="F23" i="5"/>
  <c r="D23" i="6" s="1"/>
  <c r="C23" i="7"/>
  <c r="E23" i="36"/>
  <c r="C23" i="38"/>
  <c r="F23" i="54"/>
  <c r="C23" i="27"/>
  <c r="C23" i="76" s="1"/>
  <c r="E23" i="37"/>
  <c r="F23" i="11"/>
  <c r="C23" i="82"/>
  <c r="C23" i="9"/>
  <c r="E23" i="82"/>
  <c r="E18" i="37"/>
  <c r="F18" i="10"/>
  <c r="E18" i="38"/>
  <c r="E18" i="34"/>
  <c r="G18" i="25"/>
  <c r="G18" i="34"/>
  <c r="G18" i="36"/>
  <c r="E18" i="82"/>
  <c r="C18" i="10"/>
  <c r="C18" i="26"/>
  <c r="F18" i="26"/>
  <c r="F18" i="11"/>
  <c r="E29" i="19"/>
  <c r="C29" i="36"/>
  <c r="C29" i="11"/>
  <c r="C29" i="28"/>
  <c r="I29" i="28"/>
  <c r="C29" i="34"/>
  <c r="F29" i="20"/>
  <c r="E29" i="36"/>
  <c r="E29" i="25"/>
  <c r="F29" i="18"/>
  <c r="C29" i="27"/>
  <c r="C29" i="76" s="1"/>
  <c r="E29" i="82"/>
  <c r="F33" i="20"/>
  <c r="G33" i="34"/>
  <c r="I33" i="9"/>
  <c r="C33" i="20"/>
  <c r="C33" i="18"/>
  <c r="C33" i="35"/>
  <c r="F33" i="29"/>
  <c r="C33" i="7"/>
  <c r="I33" i="26"/>
  <c r="C33" i="19"/>
  <c r="F33" i="9"/>
  <c r="C33" i="38"/>
  <c r="C18" i="54"/>
  <c r="C33" i="54"/>
  <c r="C18" i="36"/>
  <c r="F18" i="9"/>
  <c r="C18" i="9"/>
  <c r="C18" i="20"/>
  <c r="C18" i="7"/>
  <c r="F18" i="8"/>
  <c r="H18" i="19"/>
  <c r="E18" i="36"/>
  <c r="I18" i="10"/>
  <c r="F18" i="20"/>
  <c r="E18" i="25"/>
  <c r="C18" i="11"/>
  <c r="F18" i="76"/>
  <c r="C29" i="20"/>
  <c r="F29" i="8"/>
  <c r="E29" i="35"/>
  <c r="I29" i="18"/>
  <c r="I29" i="25"/>
  <c r="G29" i="25"/>
  <c r="C29" i="37"/>
  <c r="C29" i="10"/>
  <c r="C29" i="38"/>
  <c r="F29" i="29"/>
  <c r="C29" i="35"/>
  <c r="I29" i="20"/>
  <c r="I29" i="54"/>
  <c r="I33" i="54"/>
  <c r="I33" i="18"/>
  <c r="C33" i="10"/>
  <c r="G33" i="25"/>
  <c r="F33" i="18"/>
  <c r="I33" i="11"/>
  <c r="C33" i="8"/>
  <c r="C33" i="36"/>
  <c r="I33" i="25"/>
  <c r="E33" i="82"/>
  <c r="C33" i="25"/>
  <c r="C33" i="34"/>
  <c r="I18" i="54"/>
  <c r="E18" i="19"/>
  <c r="I18" i="28"/>
  <c r="C18" i="82"/>
  <c r="C18" i="19"/>
  <c r="I18" i="18"/>
  <c r="C18" i="8"/>
  <c r="I18" i="20"/>
  <c r="C18" i="29"/>
  <c r="I18" i="11"/>
  <c r="F18" i="5"/>
  <c r="D18" i="6" s="1"/>
  <c r="F18" i="6" s="1"/>
  <c r="F18" i="18"/>
  <c r="C18" i="28"/>
  <c r="C18" i="38"/>
  <c r="F29" i="54"/>
  <c r="C29" i="26"/>
  <c r="F29" i="9"/>
  <c r="C29" i="25"/>
  <c r="F29" i="28"/>
  <c r="C29" i="19"/>
  <c r="E29" i="34"/>
  <c r="C29" i="29"/>
  <c r="C29" i="8"/>
  <c r="F29" i="11"/>
  <c r="G29" i="36"/>
  <c r="I29" i="9"/>
  <c r="F33" i="54"/>
  <c r="F33" i="28"/>
  <c r="E33" i="35"/>
  <c r="I33" i="10"/>
  <c r="C33" i="28"/>
  <c r="G33" i="36"/>
  <c r="C33" i="29"/>
  <c r="I33" i="28"/>
  <c r="C33" i="11"/>
  <c r="F33" i="8"/>
  <c r="E33" i="19"/>
  <c r="C33" i="82"/>
  <c r="G55" i="2"/>
  <c r="I55" i="2"/>
  <c r="I21" i="54"/>
  <c r="E21" i="82"/>
  <c r="C21" i="82"/>
  <c r="E21" i="25"/>
  <c r="F21" i="18"/>
  <c r="F21" i="8"/>
  <c r="E21" i="38"/>
  <c r="E21" i="37"/>
  <c r="F21" i="28"/>
  <c r="C21" i="7"/>
  <c r="I21" i="28"/>
  <c r="C21" i="35"/>
  <c r="I21" i="26"/>
  <c r="F23" i="20"/>
  <c r="F23" i="29"/>
  <c r="E23" i="34"/>
  <c r="E23" i="19"/>
  <c r="C23" i="10"/>
  <c r="F23" i="26"/>
  <c r="H23" i="19"/>
  <c r="F23" i="18"/>
  <c r="C23" i="8"/>
  <c r="C23" i="34"/>
  <c r="C23" i="18"/>
  <c r="C23" i="11"/>
  <c r="C23" i="54"/>
  <c r="F21" i="20"/>
  <c r="C21" i="25"/>
  <c r="I21" i="9"/>
  <c r="H21" i="19"/>
  <c r="C21" i="34"/>
  <c r="C21" i="11"/>
  <c r="C21" i="37"/>
  <c r="E21" i="34"/>
  <c r="I21" i="11"/>
  <c r="C21" i="8"/>
  <c r="I21" i="10"/>
  <c r="I23" i="54"/>
  <c r="C23" i="19"/>
  <c r="C23" i="35"/>
  <c r="I23" i="20"/>
  <c r="C23" i="36"/>
  <c r="I23" i="11"/>
  <c r="C23" i="25"/>
  <c r="I23" i="28"/>
  <c r="E23" i="25"/>
  <c r="C23" i="28"/>
  <c r="C23" i="26"/>
  <c r="F23" i="9"/>
  <c r="E33" i="25"/>
  <c r="C33" i="9"/>
  <c r="G27" i="90"/>
  <c r="I27" i="90"/>
  <c r="E27" i="90"/>
  <c r="I22" i="90"/>
  <c r="G22" i="90"/>
  <c r="E22" i="90"/>
  <c r="E19" i="76"/>
  <c r="D19" i="54"/>
  <c r="C19" i="54"/>
  <c r="G29" i="76"/>
  <c r="F29" i="76"/>
  <c r="G17" i="76"/>
  <c r="F17" i="76"/>
  <c r="G15" i="76"/>
  <c r="F15" i="76"/>
  <c r="G23" i="76"/>
  <c r="F23" i="76"/>
  <c r="F40" i="9"/>
  <c r="I40" i="20"/>
  <c r="C40" i="35"/>
  <c r="C40" i="82"/>
  <c r="E40" i="25"/>
  <c r="F40" i="10"/>
  <c r="I40" i="10"/>
  <c r="C40" i="11"/>
  <c r="C40" i="28"/>
  <c r="I40" i="11"/>
  <c r="C40" i="29"/>
  <c r="G40" i="36"/>
  <c r="E40" i="19"/>
  <c r="C40" i="19"/>
  <c r="C40" i="38"/>
  <c r="F40" i="26"/>
  <c r="I40" i="9"/>
  <c r="G40" i="34"/>
  <c r="G40" i="25"/>
  <c r="F40" i="29"/>
  <c r="I40" i="25"/>
  <c r="C40" i="34"/>
  <c r="E40" i="37"/>
  <c r="C40" i="18"/>
  <c r="C40" i="36"/>
  <c r="H40" i="19"/>
  <c r="E40" i="38"/>
  <c r="F40" i="11"/>
  <c r="F40" i="28"/>
  <c r="F40" i="8"/>
  <c r="C40" i="10"/>
  <c r="E40" i="82"/>
  <c r="E40" i="34"/>
  <c r="E40" i="35"/>
  <c r="I40" i="28"/>
  <c r="F40" i="18"/>
  <c r="C40" i="25"/>
  <c r="I40" i="18"/>
  <c r="F40" i="20"/>
  <c r="F40" i="5"/>
  <c r="D40" i="6" s="1"/>
  <c r="C40" i="7"/>
  <c r="C40" i="8"/>
  <c r="I40" i="26"/>
  <c r="C40" i="9"/>
  <c r="C40" i="27"/>
  <c r="C40" i="76" s="1"/>
  <c r="C40" i="26"/>
  <c r="C40" i="37"/>
  <c r="E40" i="36"/>
  <c r="C40" i="20"/>
  <c r="F40" i="54"/>
  <c r="I40" i="54"/>
  <c r="G13" i="76"/>
  <c r="F13" i="76"/>
  <c r="G34" i="76"/>
  <c r="F34" i="76"/>
  <c r="G40" i="76"/>
  <c r="F40" i="76"/>
  <c r="G26" i="76"/>
  <c r="F26" i="76"/>
  <c r="E42" i="6"/>
  <c r="C42" i="78" s="1"/>
  <c r="F42" i="6"/>
  <c r="G31" i="76"/>
  <c r="F31" i="76"/>
  <c r="G25" i="76"/>
  <c r="F25" i="76"/>
  <c r="E45" i="38"/>
  <c r="E45" i="25"/>
  <c r="E45" i="34"/>
  <c r="I45" i="10"/>
  <c r="I45" i="9"/>
  <c r="G45" i="25"/>
  <c r="C45" i="37"/>
  <c r="C45" i="28"/>
  <c r="H45" i="19"/>
  <c r="I45" i="28"/>
  <c r="F45" i="5"/>
  <c r="D45" i="6" s="1"/>
  <c r="F45" i="10"/>
  <c r="F45" i="9"/>
  <c r="E45" i="82"/>
  <c r="C45" i="11"/>
  <c r="C45" i="10"/>
  <c r="I45" i="26"/>
  <c r="C45" i="26"/>
  <c r="F45" i="28"/>
  <c r="F45" i="29"/>
  <c r="C45" i="8"/>
  <c r="C45" i="20"/>
  <c r="I45" i="11"/>
  <c r="F45" i="8"/>
  <c r="I45" i="20"/>
  <c r="F45" i="26"/>
  <c r="C45" i="7"/>
  <c r="C45" i="9"/>
  <c r="E45" i="35"/>
  <c r="I45" i="18"/>
  <c r="C45" i="36"/>
  <c r="C45" i="34"/>
  <c r="G45" i="36"/>
  <c r="E45" i="19"/>
  <c r="F45" i="20"/>
  <c r="F45" i="18"/>
  <c r="C45" i="38"/>
  <c r="F45" i="11"/>
  <c r="E45" i="37"/>
  <c r="C45" i="27"/>
  <c r="C45" i="76" s="1"/>
  <c r="I45" i="25"/>
  <c r="G45" i="34"/>
  <c r="C45" i="35"/>
  <c r="C45" i="25"/>
  <c r="E45" i="36"/>
  <c r="C45" i="82"/>
  <c r="C45" i="29"/>
  <c r="C45" i="19"/>
  <c r="C45" i="18"/>
  <c r="I45" i="54"/>
  <c r="F45" i="54"/>
  <c r="G43" i="76"/>
  <c r="F43" i="76"/>
  <c r="G39" i="76"/>
  <c r="F39" i="76"/>
  <c r="G21" i="76"/>
  <c r="F21" i="76"/>
  <c r="F43" i="6"/>
  <c r="E43" i="6"/>
  <c r="C43" i="78" s="1"/>
  <c r="F26" i="6"/>
  <c r="E26" i="6"/>
  <c r="C26" i="78" s="1"/>
  <c r="E24" i="6"/>
  <c r="C24" i="78" s="1"/>
  <c r="F24" i="6"/>
  <c r="F37" i="6"/>
  <c r="E37" i="6"/>
  <c r="C37" i="78" s="1"/>
  <c r="L48" i="2"/>
  <c r="C48" i="5"/>
  <c r="G11" i="54"/>
  <c r="E48" i="54"/>
  <c r="F11" i="54"/>
  <c r="E11" i="76"/>
  <c r="G15" i="90"/>
  <c r="I15" i="90"/>
  <c r="E15" i="90"/>
  <c r="G37" i="76"/>
  <c r="F37" i="76"/>
  <c r="E28" i="6"/>
  <c r="C28" i="78" s="1"/>
  <c r="F28" i="6"/>
  <c r="G41" i="76"/>
  <c r="F41" i="76"/>
  <c r="C11" i="38"/>
  <c r="G11" i="25"/>
  <c r="C11" i="8"/>
  <c r="I11" i="26"/>
  <c r="F11" i="8"/>
  <c r="C11" i="7"/>
  <c r="C11" i="82"/>
  <c r="I11" i="9"/>
  <c r="C11" i="37"/>
  <c r="C11" i="20"/>
  <c r="I11" i="11"/>
  <c r="F11" i="20"/>
  <c r="F11" i="18"/>
  <c r="D48" i="5"/>
  <c r="F11" i="11"/>
  <c r="E11" i="82"/>
  <c r="I11" i="25"/>
  <c r="C11" i="10"/>
  <c r="F11" i="9"/>
  <c r="E11" i="34"/>
  <c r="C11" i="18"/>
  <c r="E11" i="36"/>
  <c r="F11" i="29"/>
  <c r="C11" i="28"/>
  <c r="H11" i="19"/>
  <c r="F11" i="5"/>
  <c r="I11" i="20"/>
  <c r="C11" i="26"/>
  <c r="C11" i="35"/>
  <c r="C11" i="11"/>
  <c r="F11" i="10"/>
  <c r="E11" i="25"/>
  <c r="C11" i="25"/>
  <c r="G11" i="36"/>
  <c r="I11" i="28"/>
  <c r="I11" i="18"/>
  <c r="C11" i="29"/>
  <c r="C11" i="36"/>
  <c r="E11" i="38"/>
  <c r="C11" i="34"/>
  <c r="I11" i="10"/>
  <c r="C11" i="9"/>
  <c r="E11" i="35"/>
  <c r="G11" i="34"/>
  <c r="F11" i="26"/>
  <c r="F11" i="28"/>
  <c r="E11" i="37"/>
  <c r="C11" i="19"/>
  <c r="C11" i="27"/>
  <c r="C11" i="76" s="1"/>
  <c r="E11" i="19"/>
  <c r="C11" i="54"/>
  <c r="G51" i="76"/>
  <c r="F51" i="76"/>
  <c r="G36" i="76"/>
  <c r="F36" i="76"/>
  <c r="G28" i="76"/>
  <c r="F28" i="76"/>
  <c r="G14" i="76"/>
  <c r="F14" i="76"/>
  <c r="G44" i="76"/>
  <c r="F44" i="76"/>
  <c r="F39" i="6"/>
  <c r="E39" i="6"/>
  <c r="C39" i="78" s="1"/>
  <c r="F12" i="6"/>
  <c r="E12" i="6"/>
  <c r="C12" i="78" s="1"/>
  <c r="E36" i="6"/>
  <c r="C36" i="78" s="1"/>
  <c r="F36" i="6"/>
  <c r="G32" i="76"/>
  <c r="F32" i="76"/>
  <c r="F44" i="6"/>
  <c r="E44" i="6"/>
  <c r="C44" i="78" s="1"/>
  <c r="E14" i="6"/>
  <c r="C14" i="78" s="1"/>
  <c r="F14" i="6"/>
  <c r="F34" i="6"/>
  <c r="E34" i="6"/>
  <c r="C34" i="78" s="1"/>
  <c r="E19" i="6"/>
  <c r="C19" i="78" s="1"/>
  <c r="F19" i="6"/>
  <c r="F46" i="6"/>
  <c r="E46" i="6"/>
  <c r="C46" i="78" s="1"/>
  <c r="E27" i="6"/>
  <c r="C27" i="78" s="1"/>
  <c r="F27" i="6"/>
  <c r="J11" i="54"/>
  <c r="H48" i="54"/>
  <c r="I11" i="54"/>
  <c r="J22" i="54"/>
  <c r="I22" i="54"/>
  <c r="E22" i="76"/>
  <c r="E25" i="6"/>
  <c r="C25" i="78" s="1"/>
  <c r="F25" i="6"/>
  <c r="C20" i="38"/>
  <c r="E20" i="82"/>
  <c r="C20" i="27"/>
  <c r="C20" i="76" s="1"/>
  <c r="C20" i="82"/>
  <c r="F20" i="9"/>
  <c r="E20" i="34"/>
  <c r="F20" i="10"/>
  <c r="C20" i="29"/>
  <c r="G20" i="36"/>
  <c r="C20" i="36"/>
  <c r="C20" i="34"/>
  <c r="E20" i="19"/>
  <c r="E20" i="38"/>
  <c r="I20" i="25"/>
  <c r="F20" i="8"/>
  <c r="F20" i="11"/>
  <c r="I20" i="10"/>
  <c r="F20" i="28"/>
  <c r="E20" i="35"/>
  <c r="E20" i="36"/>
  <c r="C20" i="11"/>
  <c r="I20" i="18"/>
  <c r="E20" i="37"/>
  <c r="C20" i="18"/>
  <c r="F20" i="18"/>
  <c r="F20" i="5"/>
  <c r="D20" i="6" s="1"/>
  <c r="G20" i="34"/>
  <c r="C20" i="35"/>
  <c r="I20" i="9"/>
  <c r="I20" i="26"/>
  <c r="C20" i="26"/>
  <c r="C20" i="28"/>
  <c r="C20" i="10"/>
  <c r="C20" i="9"/>
  <c r="H20" i="19"/>
  <c r="I20" i="28"/>
  <c r="C20" i="19"/>
  <c r="I20" i="20"/>
  <c r="C20" i="7"/>
  <c r="C20" i="8"/>
  <c r="F20" i="26"/>
  <c r="C20" i="25"/>
  <c r="E20" i="25"/>
  <c r="G20" i="25"/>
  <c r="C20" i="37"/>
  <c r="I20" i="11"/>
  <c r="F20" i="20"/>
  <c r="C20" i="20"/>
  <c r="F20" i="29"/>
  <c r="F20" i="54"/>
  <c r="I20" i="54"/>
  <c r="G24" i="76"/>
  <c r="F24" i="76"/>
  <c r="F13" i="6"/>
  <c r="E13" i="6"/>
  <c r="C13" i="78" s="1"/>
  <c r="E29" i="6"/>
  <c r="C29" i="78" s="1"/>
  <c r="F29" i="6"/>
  <c r="F30" i="6"/>
  <c r="E30" i="6"/>
  <c r="C30" i="78" s="1"/>
  <c r="E16" i="6"/>
  <c r="C16" i="78" s="1"/>
  <c r="F16" i="6"/>
  <c r="G45" i="76"/>
  <c r="F45" i="76"/>
  <c r="G20" i="76"/>
  <c r="F20" i="76"/>
  <c r="E21" i="6"/>
  <c r="C21" i="78" s="1"/>
  <c r="F21" i="6"/>
  <c r="B48" i="54"/>
  <c r="D55" i="2"/>
  <c r="C55" i="2"/>
  <c r="G11" i="90"/>
  <c r="I11" i="90"/>
  <c r="E11" i="90"/>
  <c r="G12" i="76"/>
  <c r="F12" i="76"/>
  <c r="G33" i="76"/>
  <c r="F33" i="76"/>
  <c r="G35" i="76"/>
  <c r="F35" i="76"/>
  <c r="H32" i="19"/>
  <c r="F32" i="5"/>
  <c r="D32" i="6" s="1"/>
  <c r="F32" i="11"/>
  <c r="C32" i="82"/>
  <c r="I32" i="9"/>
  <c r="F32" i="10"/>
  <c r="C32" i="9"/>
  <c r="G32" i="25"/>
  <c r="E32" i="82"/>
  <c r="C32" i="19"/>
  <c r="C32" i="20"/>
  <c r="C32" i="28"/>
  <c r="F32" i="20"/>
  <c r="C32" i="8"/>
  <c r="I32" i="20"/>
  <c r="E32" i="25"/>
  <c r="C32" i="35"/>
  <c r="I32" i="25"/>
  <c r="C32" i="27"/>
  <c r="C32" i="76" s="1"/>
  <c r="G32" i="34"/>
  <c r="F32" i="29"/>
  <c r="I32" i="18"/>
  <c r="E32" i="36"/>
  <c r="C32" i="29"/>
  <c r="E32" i="38"/>
  <c r="C32" i="25"/>
  <c r="E32" i="34"/>
  <c r="C32" i="7"/>
  <c r="F32" i="9"/>
  <c r="C32" i="11"/>
  <c r="C32" i="18"/>
  <c r="E32" i="37"/>
  <c r="I32" i="11"/>
  <c r="C32" i="36"/>
  <c r="G32" i="36"/>
  <c r="E32" i="19"/>
  <c r="C32" i="38"/>
  <c r="F32" i="26"/>
  <c r="I32" i="10"/>
  <c r="I32" i="26"/>
  <c r="F32" i="8"/>
  <c r="E32" i="35"/>
  <c r="C32" i="10"/>
  <c r="F32" i="28"/>
  <c r="C32" i="37"/>
  <c r="F32" i="18"/>
  <c r="C32" i="26"/>
  <c r="C32" i="34"/>
  <c r="I32" i="28"/>
  <c r="F32" i="54"/>
  <c r="I32" i="54"/>
  <c r="G46" i="76"/>
  <c r="F46" i="76"/>
  <c r="F35" i="6"/>
  <c r="E35" i="6"/>
  <c r="C35" i="78" s="1"/>
  <c r="F50" i="6"/>
  <c r="E50" i="6"/>
  <c r="C50" i="78" s="1"/>
  <c r="E41" i="6"/>
  <c r="C41" i="78" s="1"/>
  <c r="F41" i="6"/>
  <c r="E17" i="6"/>
  <c r="C17" i="78" s="1"/>
  <c r="F17" i="6"/>
  <c r="E23" i="6"/>
  <c r="C23" i="78" s="1"/>
  <c r="F23" i="6"/>
  <c r="F33" i="6"/>
  <c r="E33" i="6"/>
  <c r="C33" i="78" s="1"/>
  <c r="L54" i="2"/>
  <c r="C45" i="54"/>
  <c r="C32" i="54"/>
  <c r="E48" i="78"/>
  <c r="E18" i="6" l="1"/>
  <c r="C18" i="78" s="1"/>
  <c r="G20" i="90"/>
  <c r="I20" i="90"/>
  <c r="E20" i="90"/>
  <c r="I12" i="90"/>
  <c r="G12" i="90"/>
  <c r="E12" i="90"/>
  <c r="I28" i="90"/>
  <c r="G28" i="90"/>
  <c r="E28" i="90"/>
  <c r="G24" i="90"/>
  <c r="I24" i="90"/>
  <c r="E24" i="90"/>
  <c r="G45" i="90"/>
  <c r="I45" i="90"/>
  <c r="E45" i="90"/>
  <c r="G34" i="90"/>
  <c r="I34" i="90"/>
  <c r="E34" i="90"/>
  <c r="G14" i="90"/>
  <c r="I14" i="90"/>
  <c r="E14" i="90"/>
  <c r="G18" i="90"/>
  <c r="I18" i="90"/>
  <c r="E18" i="90"/>
  <c r="G21" i="90"/>
  <c r="I21" i="90"/>
  <c r="E21" i="90"/>
  <c r="G36" i="90"/>
  <c r="I36" i="90"/>
  <c r="E36" i="90"/>
  <c r="G42" i="90"/>
  <c r="I42" i="90"/>
  <c r="E42" i="90"/>
  <c r="F32" i="6"/>
  <c r="E32" i="6"/>
  <c r="C32" i="78" s="1"/>
  <c r="I38" i="90"/>
  <c r="G38" i="90"/>
  <c r="E38" i="90"/>
  <c r="D11" i="6"/>
  <c r="F48" i="5"/>
  <c r="C48" i="38"/>
  <c r="I48" i="26"/>
  <c r="I48" i="25"/>
  <c r="C48" i="8"/>
  <c r="F48" i="10"/>
  <c r="C48" i="27"/>
  <c r="C48" i="76" s="1"/>
  <c r="F48" i="28"/>
  <c r="E48" i="19"/>
  <c r="C48" i="36"/>
  <c r="E48" i="38"/>
  <c r="I48" i="10"/>
  <c r="E48" i="82"/>
  <c r="E48" i="25"/>
  <c r="C48" i="19"/>
  <c r="C48" i="26"/>
  <c r="C48" i="11"/>
  <c r="C48" i="35"/>
  <c r="G48" i="36"/>
  <c r="F48" i="18"/>
  <c r="N27" i="21"/>
  <c r="G48" i="25"/>
  <c r="F48" i="26"/>
  <c r="C48" i="82"/>
  <c r="I48" i="18"/>
  <c r="E48" i="36"/>
  <c r="I48" i="9"/>
  <c r="F48" i="8"/>
  <c r="F48" i="11"/>
  <c r="I48" i="11"/>
  <c r="I48" i="28"/>
  <c r="F48" i="20"/>
  <c r="E48" i="35"/>
  <c r="H48" i="19"/>
  <c r="I48" i="20"/>
  <c r="C48" i="9"/>
  <c r="C48" i="7"/>
  <c r="E48" i="34"/>
  <c r="G48" i="34"/>
  <c r="C48" i="25"/>
  <c r="C48" i="37"/>
  <c r="F48" i="9"/>
  <c r="C48" i="18"/>
  <c r="F48" i="29"/>
  <c r="C48" i="10"/>
  <c r="E48" i="37"/>
  <c r="C48" i="34"/>
  <c r="C48" i="28"/>
  <c r="C48" i="20"/>
  <c r="C48" i="29"/>
  <c r="F45" i="6"/>
  <c r="E45" i="6"/>
  <c r="C45" i="78" s="1"/>
  <c r="F40" i="6"/>
  <c r="E40" i="6"/>
  <c r="C40" i="78" s="1"/>
  <c r="L55" i="2"/>
  <c r="G13" i="90"/>
  <c r="I13" i="90"/>
  <c r="E13" i="90"/>
  <c r="G40" i="90"/>
  <c r="I40" i="90"/>
  <c r="E40" i="90"/>
  <c r="I35" i="90"/>
  <c r="G35" i="90"/>
  <c r="E35" i="90"/>
  <c r="G16" i="90"/>
  <c r="I16" i="90"/>
  <c r="E16" i="90"/>
  <c r="G26" i="90"/>
  <c r="I26" i="90"/>
  <c r="E26" i="90"/>
  <c r="G22" i="76"/>
  <c r="F22" i="76"/>
  <c r="J48" i="54"/>
  <c r="I48" i="54"/>
  <c r="G30" i="90"/>
  <c r="I30" i="90"/>
  <c r="E30" i="90"/>
  <c r="E48" i="76"/>
  <c r="G11" i="76"/>
  <c r="F11" i="76"/>
  <c r="D48" i="54"/>
  <c r="C48" i="54"/>
  <c r="G31" i="90"/>
  <c r="I31" i="90"/>
  <c r="E31" i="90"/>
  <c r="I29" i="90"/>
  <c r="G29" i="90"/>
  <c r="E29" i="90"/>
  <c r="G19" i="76"/>
  <c r="F19" i="76"/>
  <c r="G19" i="90"/>
  <c r="I19" i="90"/>
  <c r="E19" i="90"/>
  <c r="G25" i="90"/>
  <c r="I25" i="90"/>
  <c r="E25" i="90"/>
  <c r="F20" i="6"/>
  <c r="E20" i="6"/>
  <c r="C20" i="78" s="1"/>
  <c r="G44" i="90"/>
  <c r="I44" i="90"/>
  <c r="E44" i="90"/>
  <c r="G48" i="54"/>
  <c r="F48" i="54"/>
  <c r="G41" i="90"/>
  <c r="I41" i="90"/>
  <c r="E41" i="90"/>
  <c r="G46" i="90"/>
  <c r="I46" i="90"/>
  <c r="E46" i="90"/>
  <c r="G37" i="90" l="1"/>
  <c r="I37" i="90"/>
  <c r="E37" i="90"/>
  <c r="G39" i="90"/>
  <c r="I39" i="90"/>
  <c r="E39" i="90"/>
  <c r="N19" i="21"/>
  <c r="N16" i="21"/>
  <c r="N21" i="21"/>
  <c r="N17" i="21"/>
  <c r="N15" i="21"/>
  <c r="N13" i="21"/>
  <c r="N22" i="21"/>
  <c r="N18" i="21"/>
  <c r="N23" i="21"/>
  <c r="N24" i="21"/>
  <c r="I17" i="90"/>
  <c r="G17" i="90"/>
  <c r="E17" i="90"/>
  <c r="G43" i="90"/>
  <c r="I43" i="90"/>
  <c r="E43" i="90"/>
  <c r="G23" i="90"/>
  <c r="I23" i="90"/>
  <c r="E23" i="90"/>
  <c r="D48" i="90"/>
  <c r="G48" i="90" s="1"/>
  <c r="I33" i="90"/>
  <c r="G33" i="90"/>
  <c r="E33" i="90"/>
  <c r="G48" i="76"/>
  <c r="F48" i="76"/>
  <c r="I32" i="90"/>
  <c r="G32" i="90"/>
  <c r="E32" i="90"/>
  <c r="D48" i="6"/>
  <c r="E11" i="6"/>
  <c r="C11" i="78" s="1"/>
  <c r="F11" i="6"/>
  <c r="E48" i="90" l="1"/>
  <c r="F48" i="6"/>
  <c r="E48" i="6"/>
  <c r="C48" i="78" s="1"/>
</calcChain>
</file>

<file path=xl/comments1.xml><?xml version="1.0" encoding="utf-8"?>
<comments xmlns="http://schemas.openxmlformats.org/spreadsheetml/2006/main">
  <authors>
    <author>GPizarro</author>
  </authors>
  <commentList>
    <comment ref="N2" authorId="0" shapeId="0">
      <text>
        <r>
          <rPr>
            <b/>
            <sz val="9"/>
            <color indexed="81"/>
            <rFont val="Tahoma"/>
            <family val="2"/>
          </rPr>
          <t>GPizarro: Adj as per Chris email Aug 29, 2017</t>
        </r>
        <r>
          <rPr>
            <sz val="9"/>
            <color indexed="81"/>
            <rFont val="Tahoma"/>
            <family val="2"/>
          </rPr>
          <t xml:space="preserve">
</t>
        </r>
      </text>
    </comment>
  </commentList>
</comments>
</file>

<file path=xl/sharedStrings.xml><?xml version="1.0" encoding="utf-8"?>
<sst xmlns="http://schemas.openxmlformats.org/spreadsheetml/2006/main" count="2910" uniqueCount="611">
  <si>
    <t>PAGE 1 OF 3</t>
  </si>
  <si>
    <t xml:space="preserve"> </t>
  </si>
  <si>
    <t>PAGE 2 OF 3</t>
  </si>
  <si>
    <t>PAGE 3 OF 3</t>
  </si>
  <si>
    <t>PAGE 1 OF 2</t>
  </si>
  <si>
    <t xml:space="preserve">PAGE 2 OF 2 </t>
  </si>
  <si>
    <t xml:space="preserve"> FUNCTION 100: REGULAR INSTRUCTION</t>
  </si>
  <si>
    <t xml:space="preserve"> FUNCTION 400: COMMUNITY EDUCATION AND SERVICES</t>
  </si>
  <si>
    <t xml:space="preserve"> FUNCTION 700: TRANSPORTATION OF PUPILS</t>
  </si>
  <si>
    <t xml:space="preserve"> FUNCTION 800: OPERATIONS AND MAINTENANCE</t>
  </si>
  <si>
    <t xml:space="preserve"> FUNCTION 900: FISCAL</t>
  </si>
  <si>
    <t>REGULAR TRANSPORTATION</t>
  </si>
  <si>
    <t>ADMINISTRATION, REGULAR AND OTHER</t>
  </si>
  <si>
    <t xml:space="preserve">TOTAL </t>
  </si>
  <si>
    <t>ADMINISTRATION</t>
  </si>
  <si>
    <t>ENGLISH LANGUAGE</t>
  </si>
  <si>
    <t>FRANÇAIS</t>
  </si>
  <si>
    <t>FRENCH IMMERSION</t>
  </si>
  <si>
    <t>BOARD OF TRUSTEES</t>
  </si>
  <si>
    <t>OTHER</t>
  </si>
  <si>
    <t>SCHOOL BUILDINGS</t>
  </si>
  <si>
    <t>REGULAR INSTRUCTION</t>
  </si>
  <si>
    <t>COMMUNITY EDUCATION</t>
  </si>
  <si>
    <t>MAINTENANCE</t>
  </si>
  <si>
    <t>FISCAL</t>
  </si>
  <si>
    <t>TOTAL</t>
  </si>
  <si>
    <t>(PROGRAM 720)</t>
  </si>
  <si>
    <t>(PROGRAMS 710, 720 AND 790)</t>
  </si>
  <si>
    <t>EXPENDITURES</t>
  </si>
  <si>
    <t>REGULAR</t>
  </si>
  <si>
    <t>OTHER BUILDINGS</t>
  </si>
  <si>
    <t>GROUNDS</t>
  </si>
  <si>
    <t>DEBT SERVICES</t>
  </si>
  <si>
    <t>ENGLISH</t>
  </si>
  <si>
    <t>EDUCATION</t>
  </si>
  <si>
    <t xml:space="preserve">    TRANSFERS BY FUNCTION</t>
  </si>
  <si>
    <t>AREA</t>
  </si>
  <si>
    <t xml:space="preserve"> DIVISION / DISTRICT</t>
  </si>
  <si>
    <t>AMOUNT</t>
  </si>
  <si>
    <t>%</t>
  </si>
  <si>
    <t xml:space="preserve">PER PUPIL </t>
  </si>
  <si>
    <t>RECHARGE</t>
  </si>
  <si>
    <t>TRANSFERS</t>
  </si>
  <si>
    <t>TOTAL PORTIONED ASSESSMENT, SPECIAL LEVY AND MILL RATES</t>
  </si>
  <si>
    <t>DATE:</t>
  </si>
  <si>
    <t>PROVINCIAL GOVERNMENT</t>
  </si>
  <si>
    <t>BASE SUPPORT</t>
  </si>
  <si>
    <t>CATEGORICAL SUPPORT</t>
  </si>
  <si>
    <t>% OF OPERATING FUND REVENUES</t>
  </si>
  <si>
    <t>FEDERAL</t>
  </si>
  <si>
    <t>MUNICIPAL</t>
  </si>
  <si>
    <t>GOVERNMENTS</t>
  </si>
  <si>
    <t>FIRST NATIONS</t>
  </si>
  <si>
    <t>REVENUE</t>
  </si>
  <si>
    <t>MINING</t>
  </si>
  <si>
    <t>OCCUPANCY</t>
  </si>
  <si>
    <t>SERVICES</t>
  </si>
  <si>
    <t>EQUIPMENT</t>
  </si>
  <si>
    <t xml:space="preserve">OTHER  </t>
  </si>
  <si>
    <t>SPECIAL LEVY</t>
  </si>
  <si>
    <t>OBJECT</t>
  </si>
  <si>
    <t>SALARIES</t>
  </si>
  <si>
    <t>TOTALS</t>
  </si>
  <si>
    <t>COMMUNITY EDUCATION &amp; SERVICES</t>
  </si>
  <si>
    <t>TRANSPORTATION OF PUPILS</t>
  </si>
  <si>
    <t>OPERATIONS AND MAINTENANCE</t>
  </si>
  <si>
    <t>PAGE 2 OF 2</t>
  </si>
  <si>
    <t>FUNCTION</t>
  </si>
  <si>
    <t>INSTRUCTION</t>
  </si>
  <si>
    <t>EMPLOYEE BENEFITS AND ALLOWANCES</t>
  </si>
  <si>
    <t>FRAME STUDENT STATISTICS</t>
  </si>
  <si>
    <t xml:space="preserve">PAGE 1 OF 2 </t>
  </si>
  <si>
    <t>%  IN DUAL TRACK SCHOOLS</t>
  </si>
  <si>
    <t>SUPPLEMENTARY DATA FOR FRAME REPORT</t>
  </si>
  <si>
    <t>ENROLMENTS - HEADCOUNT, FRAME AND ELIGIBLE</t>
  </si>
  <si>
    <t>FRAME PUPIL / TEACHER RATIOS</t>
  </si>
  <si>
    <t>PUPIL / TEACHER RATIOS</t>
  </si>
  <si>
    <t>INSURANCE</t>
  </si>
  <si>
    <t>EMPLOYEE BENEFITS</t>
  </si>
  <si>
    <t>SUPPLIES &amp; MATERIALS</t>
  </si>
  <si>
    <t>OPERATIONS &amp; MAINTENANCE</t>
  </si>
  <si>
    <t>INSTRUCTIONAL &amp; PUPIL SUPPORT SERVICES</t>
  </si>
  <si>
    <t>DIVISIONAL ADMINISTRATION</t>
  </si>
  <si>
    <t xml:space="preserve"> FUNCTION 500: DIVISIONAL ADMINISTRATION</t>
  </si>
  <si>
    <t xml:space="preserve">N/A </t>
  </si>
  <si>
    <t>(1)</t>
  </si>
  <si>
    <t>- 10 -</t>
  </si>
  <si>
    <t>STATISTICAL SUMMARY</t>
  </si>
  <si>
    <t>PAGE 1 OF 5</t>
  </si>
  <si>
    <t>PAGE 2 OF 5</t>
  </si>
  <si>
    <t>PAGE 3 OF 5</t>
  </si>
  <si>
    <t>PAGE 4 OF 5</t>
  </si>
  <si>
    <t>PAGE 5 OF 5</t>
  </si>
  <si>
    <t>PROGRAMS</t>
  </si>
  <si>
    <t>YEAR</t>
  </si>
  <si>
    <t>(Grants-</t>
  </si>
  <si>
    <t>in-Lieu)</t>
  </si>
  <si>
    <t>ADULT LEARNING CENTRES</t>
  </si>
  <si>
    <t>- 13 -</t>
  </si>
  <si>
    <t>- 12 -</t>
  </si>
  <si>
    <t>INSTRUCTIONAL</t>
  </si>
  <si>
    <t>FUNDING OF SCHOOLS PROGRAM (CONT'D)</t>
  </si>
  <si>
    <t>FUNDING OF SCHOOLS PROGRAM</t>
  </si>
  <si>
    <t>REPAIRS</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</si>
  <si>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</si>
  <si>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</si>
  <si>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</si>
  <si>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</si>
  <si>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</si>
  <si>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</si>
  <si>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</si>
  <si>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</si>
  <si>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</si>
  <si>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</si>
  <si>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</si>
  <si>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</si>
  <si>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</si>
  <si>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</si>
  <si>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</si>
  <si>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</si>
  <si>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</si>
  <si>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</si>
  <si>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</si>
  <si>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</si>
  <si>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</si>
  <si>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</si>
  <si>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</si>
  <si>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</si>
  <si>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</si>
  <si>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</si>
  <si>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</si>
  <si>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</si>
  <si>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</si>
  <si>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</si>
  <si>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</si>
  <si>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</si>
  <si>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</si>
  <si>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</si>
  <si>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</si>
  <si>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</si>
  <si>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WHITESHELL</t>
  </si>
  <si>
    <t xml:space="preserve"> L.G.D. OF PINAWA</t>
  </si>
  <si>
    <t xml:space="preserve"> NOT IN ANY DIVISION</t>
  </si>
  <si>
    <t xml:space="preserve"> DIVISION/DISTRICT TOTAL</t>
  </si>
  <si>
    <t xml:space="preserve">CO. </t>
  </si>
  <si>
    <t>DIVISION/DISTRICT</t>
  </si>
  <si>
    <t>BE</t>
  </si>
  <si>
    <t>BO</t>
  </si>
  <si>
    <t>BR</t>
  </si>
  <si>
    <t>DI</t>
  </si>
  <si>
    <t>EV</t>
  </si>
  <si>
    <t>FL</t>
  </si>
  <si>
    <t>FO</t>
  </si>
  <si>
    <t>FR</t>
  </si>
  <si>
    <t>GA</t>
  </si>
  <si>
    <t>HA</t>
  </si>
  <si>
    <t>IN</t>
  </si>
  <si>
    <t>KE</t>
  </si>
  <si>
    <t>LA</t>
  </si>
  <si>
    <t>LO</t>
  </si>
  <si>
    <t>LR</t>
  </si>
  <si>
    <t>MO</t>
  </si>
  <si>
    <t>MY</t>
  </si>
  <si>
    <t>PA</t>
  </si>
  <si>
    <t>PE</t>
  </si>
  <si>
    <t>PI</t>
  </si>
  <si>
    <t>PO</t>
  </si>
  <si>
    <t>PR</t>
  </si>
  <si>
    <t>PS</t>
  </si>
  <si>
    <t>RE</t>
  </si>
  <si>
    <t>RI</t>
  </si>
  <si>
    <t>RO</t>
  </si>
  <si>
    <t>SE</t>
  </si>
  <si>
    <t>SO</t>
  </si>
  <si>
    <t>SR</t>
  </si>
  <si>
    <t>ST</t>
  </si>
  <si>
    <t>SU</t>
  </si>
  <si>
    <t>SW</t>
  </si>
  <si>
    <t>TM</t>
  </si>
  <si>
    <t>TR</t>
  </si>
  <si>
    <t>WE</t>
  </si>
  <si>
    <t>WI</t>
  </si>
  <si>
    <t>WT</t>
  </si>
  <si>
    <t>XW</t>
  </si>
  <si>
    <t>LIABILITY</t>
  </si>
  <si>
    <t>SELF-FUNDED</t>
  </si>
  <si>
    <t xml:space="preserve"> FUNCTION 300: ADULT LEARNING CENTRES</t>
  </si>
  <si>
    <t>LOCAL TAXATION AND ASSESSMENT PER RESIDENT PUPIL</t>
  </si>
  <si>
    <t xml:space="preserve">  TRUSTEES REMUNERATION</t>
  </si>
  <si>
    <t xml:space="preserve">  EXECUTIVE MANAGERIAL, &amp; SUPERVISORY</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</si>
  <si>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</si>
  <si>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</si>
  <si>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</si>
  <si>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</si>
  <si>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</si>
  <si>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</si>
  <si>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</si>
  <si>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</si>
  <si>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</si>
  <si>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</si>
  <si>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</si>
  <si>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</si>
  <si>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</si>
  <si>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</si>
  <si>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</si>
  <si>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</si>
  <si>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</si>
  <si>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</si>
  <si>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</si>
  <si>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</si>
  <si>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</si>
  <si>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</si>
  <si>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</si>
  <si>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</si>
  <si>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</si>
  <si>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INFORMATION TECHNOLOGY EQUIPMENT</t>
  </si>
  <si>
    <t xml:space="preserve">  TOTAL SUPPLIES AND EQUIPMENT</t>
  </si>
  <si>
    <t xml:space="preserve">  DEBT SERVICES</t>
  </si>
  <si>
    <t xml:space="preserve">  OTHER GOVERNMENT AUTHORITIES</t>
  </si>
  <si>
    <t xml:space="preserve">  TOTAL TRANSFERS</t>
  </si>
  <si>
    <t>PROVINCE</t>
  </si>
  <si>
    <t>ADMIN. COSTS</t>
  </si>
  <si>
    <t>PAGE 1 0F 2</t>
  </si>
  <si>
    <t>PAGE 2 0F 2</t>
  </si>
  <si>
    <t>CALCULATION OF EXPENDITURE BASE AND ADMINISTRATION PERCENTAGE</t>
  </si>
  <si>
    <t>ACTUAL AND ESTIMATES AS OF SEPTEMBER 30</t>
  </si>
  <si>
    <t>(2)</t>
  </si>
  <si>
    <r>
      <t xml:space="preserve">SINGLE TRACK </t>
    </r>
    <r>
      <rPr>
        <b/>
        <vertAlign val="superscript"/>
        <sz val="9"/>
        <rFont val="Arial"/>
        <family val="2"/>
      </rPr>
      <t>(1)</t>
    </r>
  </si>
  <si>
    <r>
      <t xml:space="preserve">DUAL TRACK </t>
    </r>
    <r>
      <rPr>
        <b/>
        <vertAlign val="superscript"/>
        <sz val="9"/>
        <rFont val="Arial"/>
        <family val="2"/>
      </rPr>
      <t>(2)</t>
    </r>
  </si>
  <si>
    <r>
      <t xml:space="preserve">HEADCOUNT </t>
    </r>
    <r>
      <rPr>
        <b/>
        <vertAlign val="superscript"/>
        <sz val="9"/>
        <rFont val="Arial"/>
        <family val="2"/>
      </rPr>
      <t>(1)</t>
    </r>
  </si>
  <si>
    <r>
      <t xml:space="preserve">FRAME </t>
    </r>
    <r>
      <rPr>
        <b/>
        <vertAlign val="superscript"/>
        <sz val="9"/>
        <rFont val="Arial"/>
        <family val="2"/>
      </rPr>
      <t>(2)</t>
    </r>
  </si>
  <si>
    <r>
      <t xml:space="preserve">ELIGIBLE </t>
    </r>
    <r>
      <rPr>
        <b/>
        <vertAlign val="superscript"/>
        <sz val="9"/>
        <rFont val="Arial"/>
        <family val="2"/>
      </rPr>
      <t>(3)</t>
    </r>
  </si>
  <si>
    <t xml:space="preserve"> FUNCTION 800: (CONT'D)</t>
  </si>
  <si>
    <t xml:space="preserve"> FUNCTION 700: TRANSPORTATION (CONT'D)</t>
  </si>
  <si>
    <t xml:space="preserve"> FUNCTION 500: (CONT'D)</t>
  </si>
  <si>
    <t xml:space="preserve"> FUNCTION 100: REGULAR INSTRUCTION (CONT'D)</t>
  </si>
  <si>
    <r>
      <t xml:space="preserve">DUAL TRACK SCHOOLS </t>
    </r>
    <r>
      <rPr>
        <b/>
        <vertAlign val="superscript"/>
        <sz val="9"/>
        <rFont val="Arial"/>
        <family val="2"/>
      </rPr>
      <t>(1)</t>
    </r>
  </si>
  <si>
    <r>
      <t xml:space="preserve">SINGLE TRACK SCHOOLS </t>
    </r>
    <r>
      <rPr>
        <b/>
        <vertAlign val="superscript"/>
        <sz val="9"/>
        <rFont val="Arial"/>
        <family val="2"/>
      </rPr>
      <t>(1)</t>
    </r>
  </si>
  <si>
    <t xml:space="preserve">  TRAVEL AND MEETINGS</t>
  </si>
  <si>
    <t xml:space="preserve"> FUNCTION 200: STUDENT SUPPORT SERVICES</t>
  </si>
  <si>
    <t xml:space="preserve"> FUNCTION 200: STUDENT SUPPORT SERVICES (CONT'D)</t>
  </si>
  <si>
    <t>STUDENT SUPPORT SERVICES</t>
  </si>
  <si>
    <r>
      <t xml:space="preserve">  RECHARGE </t>
    </r>
    <r>
      <rPr>
        <vertAlign val="superscript"/>
        <sz val="9"/>
        <rFont val="Arial"/>
        <family val="2"/>
      </rPr>
      <t>(1)</t>
    </r>
  </si>
  <si>
    <t>Reallocation of school building costs associated with Adult Learning Centre operations to Function 300</t>
  </si>
  <si>
    <t xml:space="preserve">  PROPERTY TAXES</t>
  </si>
  <si>
    <t>INSTRUCTIONAL AND OTHER SUPPORT SERVICES</t>
  </si>
  <si>
    <t xml:space="preserve"> FUNCTION 600: INSTRUCTIONAL &amp; OTHER SUPPORT SERVICES</t>
  </si>
  <si>
    <t xml:space="preserve"> FUNCTION 600: INSTRUCTIONAL &amp; OTHER SUPPORT SERVICES (CONT'D)</t>
  </si>
  <si>
    <t>OPERATING FUND EXPENSE PER PUPIL</t>
  </si>
  <si>
    <r>
      <t xml:space="preserve">EXPENSES </t>
    </r>
    <r>
      <rPr>
        <b/>
        <vertAlign val="superscript"/>
        <sz val="10"/>
        <rFont val="Arial"/>
        <family val="2"/>
      </rPr>
      <t xml:space="preserve">(1)    </t>
    </r>
    <r>
      <rPr>
        <b/>
        <sz val="9"/>
        <rFont val="Arial"/>
        <family val="2"/>
      </rPr>
      <t xml:space="preserve">                                               </t>
    </r>
  </si>
  <si>
    <t>RECONCILIATION  OF  EXPENSES</t>
  </si>
  <si>
    <t>EXPENSE BY FUNCTION AND OBJECT</t>
  </si>
  <si>
    <t xml:space="preserve">  BAD DEBT EXPENSE</t>
  </si>
  <si>
    <r>
      <t xml:space="preserve"> INFORMATION TECHNOLOGY EXPENSES  </t>
    </r>
    <r>
      <rPr>
        <b/>
        <vertAlign val="superscript"/>
        <sz val="9"/>
        <rFont val="Arial"/>
        <family val="2"/>
      </rPr>
      <t>(1)</t>
    </r>
  </si>
  <si>
    <t>ANALYSIS OF EXPENSE BY PROGRAM</t>
  </si>
  <si>
    <t>ANALYSIS OF  TRANSPORTATION EXPENSES</t>
  </si>
  <si>
    <t>ANALYSIS OF  TRANSPORTATION EXPENSES (CONT'D)</t>
  </si>
  <si>
    <t xml:space="preserve"> ANALYSIS OF OPERATIONS AND MAINTENANCE EXPENSES FOR SCHOOL BUILDINGS</t>
  </si>
  <si>
    <t>ANALYSIS OF EXPENSE BY FUNCTION</t>
  </si>
  <si>
    <t>EXPENSE BY 2ND LEVEL OBJECT</t>
  </si>
  <si>
    <t>AS A PERCENTAGE OF TOTAL OPERATING FUND EXPENSES</t>
  </si>
  <si>
    <t xml:space="preserve"> DIVISION/DISTRICT</t>
  </si>
  <si>
    <t>FORT LA BOSSE</t>
  </si>
  <si>
    <t>FRONTIER</t>
  </si>
  <si>
    <t>GARDEN VALLEY</t>
  </si>
  <si>
    <t>HANOVER</t>
  </si>
  <si>
    <t>INTERLAKE</t>
  </si>
  <si>
    <t>KELSEY</t>
  </si>
  <si>
    <t>LAKESHORE</t>
  </si>
  <si>
    <t>LORD SELKIRK</t>
  </si>
  <si>
    <t>LOUIS RIEL</t>
  </si>
  <si>
    <t>MOUNTAIN VIEW</t>
  </si>
  <si>
    <t>MYSTERY LAKE</t>
  </si>
  <si>
    <t>PARK WEST</t>
  </si>
  <si>
    <t>PEMBINA TRAILS</t>
  </si>
  <si>
    <t>PINE CREEK</t>
  </si>
  <si>
    <t>PORTAGE LA PRAIRIE</t>
  </si>
  <si>
    <t>PRAIRIE ROSE</t>
  </si>
  <si>
    <t>PRAIRIE SPIRIT</t>
  </si>
  <si>
    <t>RED RIVER VALLEY</t>
  </si>
  <si>
    <t>RIVER EAST TRANSCONA</t>
  </si>
  <si>
    <t>ROLLING RIVER</t>
  </si>
  <si>
    <t>SEINE RIVER</t>
  </si>
  <si>
    <t>SEVEN OAKS</t>
  </si>
  <si>
    <t>SOUTHWEST HORIZON</t>
  </si>
  <si>
    <t>ST. JAMES-ASSINIBOIA</t>
  </si>
  <si>
    <t>SUNRISE</t>
  </si>
  <si>
    <t>SWAN VALLEY</t>
  </si>
  <si>
    <t>TURTLE MOUNTAIN</t>
  </si>
  <si>
    <t>TURTLE RIVER</t>
  </si>
  <si>
    <t>WESTERN</t>
  </si>
  <si>
    <t>WINNIPEG</t>
  </si>
  <si>
    <t>WHITESHELL</t>
  </si>
  <si>
    <t xml:space="preserve">  RECHARGE</t>
  </si>
  <si>
    <r>
      <t xml:space="preserve">OTHER </t>
    </r>
    <r>
      <rPr>
        <b/>
        <vertAlign val="superscript"/>
        <sz val="9"/>
        <rFont val="Arial"/>
        <family val="2"/>
      </rPr>
      <t>(1)</t>
    </r>
  </si>
  <si>
    <t>TOTAL PORTIONED ASSESSMENT</t>
  </si>
  <si>
    <t>NET SPECIAL LEVY</t>
  </si>
  <si>
    <t xml:space="preserve">  EXECUTIVE, MANAGERIAL
 AND SUPERVISORY</t>
  </si>
  <si>
    <t xml:space="preserve"> TECHNICAL, 
SPECIALIZED AND SERVICE</t>
  </si>
  <si>
    <t>SECRETARIAL 
CLERICAL
 AND OTHER</t>
  </si>
  <si>
    <r>
      <t xml:space="preserve">  
  IT  </t>
    </r>
    <r>
      <rPr>
        <b/>
        <vertAlign val="superscript"/>
        <sz val="11"/>
        <rFont val="Arial"/>
        <family val="2"/>
      </rPr>
      <t>(3)</t>
    </r>
  </si>
  <si>
    <t>ANALYSIS OF INFORMATION TECHNOLOGY EXPENSES</t>
  </si>
  <si>
    <r>
      <t>PROVINCIAL</t>
    </r>
    <r>
      <rPr>
        <vertAlign val="superscript"/>
        <sz val="9"/>
        <rFont val="Arial"/>
        <family val="2"/>
      </rPr>
      <t>(1)</t>
    </r>
  </si>
  <si>
    <t>DIRECT SUPPORT TO PUPILS</t>
  </si>
  <si>
    <t>PER PUPIL</t>
  </si>
  <si>
    <t xml:space="preserve">% of Total Expense </t>
  </si>
  <si>
    <t>Control</t>
  </si>
  <si>
    <t>Total expenses</t>
  </si>
  <si>
    <t>Frame</t>
  </si>
  <si>
    <t>tables budget</t>
  </si>
  <si>
    <t>Variance</t>
  </si>
  <si>
    <t>Budget Table</t>
  </si>
  <si>
    <t>Total Revenues</t>
  </si>
  <si>
    <t>SENIOR YEARS tech</t>
  </si>
  <si>
    <t>Total Reg. Instruct..</t>
  </si>
  <si>
    <t xml:space="preserve"> DSFM</t>
  </si>
  <si>
    <t>NET TRANSFERS TO/(FROM) CAPITAL FUND</t>
  </si>
  <si>
    <t>(2)  Provided in recognition of the higher costs associated with sparsely populated rural and northern divisions.</t>
  </si>
  <si>
    <t>(1)  Includes vehicle support for school buses.</t>
  </si>
  <si>
    <t>(2)  For a definition of Divisional Administration, see expense definitions, page iii.</t>
  </si>
  <si>
    <t>(3)  Information Technology.</t>
  </si>
  <si>
    <t>(1)  From page 4 (for more information, see page 4).</t>
  </si>
  <si>
    <t>(2)  From page 9 (for more information, see page 9).</t>
  </si>
  <si>
    <t>(1)  Total operating expenses as reported on the Schedule of Revenues and Expenses in each school division's budget.</t>
  </si>
  <si>
    <t>(2)  Operating fund transfers are payments to other school divisions, organizations and individuals.  These are removed to provide more accurate</t>
  </si>
  <si>
    <t>(3)  As reported on pages 10 and 13 (on a provincial basis).</t>
  </si>
  <si>
    <t>(4)  Expenses for Adult Learning Centres and Community Education and Services (Functions 300 and 400).</t>
  </si>
  <si>
    <t>(5)  As reported on page 4.</t>
  </si>
  <si>
    <t>(2)  Mill rates for Flin Flon and Mystery Lake are adjusted for mining revenue.</t>
  </si>
  <si>
    <t>(1)  Includes transfers to bus reserves and other capital reserves.</t>
  </si>
  <si>
    <t>(1)  See appendix for more detail.</t>
  </si>
  <si>
    <t>(5)  Includes revenue from other provincial government departments.</t>
  </si>
  <si>
    <t>(1)  Excludes information technology expenses in Function 300 (Adult Learning Centres) and Function 400 (Community Education and Services).</t>
  </si>
  <si>
    <t>(2)  Square footage (as per note above) divided by total F.T.E. enrolment (from page 7).</t>
  </si>
  <si>
    <t>(1)  No one language program comprises 90% or more of Regular Instruction enrolment.</t>
  </si>
  <si>
    <t>(1)  90% or more of Regular Instruction enrolment is in one language.</t>
  </si>
  <si>
    <t>(1)  Pupils taught in schools, whether or not they are counted for grant purposes.</t>
  </si>
  <si>
    <t>(1)  90% or more of Regular Instruction enrolment is in one language program.</t>
  </si>
  <si>
    <t>(2)  No one language program comprises 90% or more of Regular Instruction enrolment.</t>
  </si>
  <si>
    <r>
      <t xml:space="preserve"> 
 CLINICIAN</t>
    </r>
    <r>
      <rPr>
        <b/>
        <vertAlign val="superscript"/>
        <sz val="11"/>
        <rFont val="Arial"/>
        <family val="2"/>
      </rPr>
      <t xml:space="preserve"> (2)</t>
    </r>
  </si>
  <si>
    <t xml:space="preserve"> TEACHING</t>
  </si>
  <si>
    <r>
      <t xml:space="preserve">REGULAR INSTRUCTION </t>
    </r>
    <r>
      <rPr>
        <b/>
        <vertAlign val="superscript"/>
        <sz val="9"/>
        <rFont val="Arial"/>
        <family val="2"/>
      </rPr>
      <t>(1)</t>
    </r>
  </si>
  <si>
    <t>Replace</t>
  </si>
  <si>
    <t>Before click replace select the range you want.</t>
  </si>
  <si>
    <t>This</t>
  </si>
  <si>
    <t>into</t>
  </si>
  <si>
    <t>Per Funded</t>
  </si>
  <si>
    <t>Resident</t>
  </si>
  <si>
    <t>Pupil &lt; 21</t>
  </si>
  <si>
    <t>N/A</t>
  </si>
  <si>
    <t>(4)  Includes School Buildings "D" Support, Technology Education Equipment and other minor capital support.</t>
  </si>
  <si>
    <t>(2)  Includes clinicians contracted/outsourced/private or employed by other divisions on a full time equivalent basis.</t>
  </si>
  <si>
    <t xml:space="preserve">      </t>
  </si>
  <si>
    <t>(1)  All other categorical support not shown elsewhere (eg. Aboriginal and International Languages, Northern Allowance, etc.).</t>
  </si>
  <si>
    <t>Prev. Year</t>
  </si>
  <si>
    <t>14b_PROV.xlsm</t>
  </si>
  <si>
    <t>+</t>
  </si>
  <si>
    <t xml:space="preserve">       per pupil costs.</t>
  </si>
  <si>
    <t xml:space="preserve"> MITT</t>
  </si>
  <si>
    <t>Reallocation of administration costs associated with Adult Learning Centre operations from Function 500 to Function 300.</t>
  </si>
  <si>
    <r>
      <t>(1)</t>
    </r>
    <r>
      <rPr>
        <sz val="9"/>
        <rFont val="Arial"/>
        <family val="2"/>
      </rPr>
      <t xml:space="preserve"> Reallocation of administration costs associated with Adult Learning Centre operations from Function 500 to Function 300.</t>
    </r>
  </si>
  <si>
    <t>Select Language</t>
  </si>
  <si>
    <t>English</t>
  </si>
  <si>
    <t>French</t>
  </si>
  <si>
    <r>
      <t xml:space="preserve">LESS 
OPERATING FUND TRANSFERS </t>
    </r>
    <r>
      <rPr>
        <b/>
        <vertAlign val="superscript"/>
        <sz val="9"/>
        <rFont val="Arial"/>
        <family val="2"/>
      </rPr>
      <t>(2)</t>
    </r>
  </si>
  <si>
    <r>
      <t xml:space="preserve">EXPENSES NET OF TRANSFERS </t>
    </r>
    <r>
      <rPr>
        <b/>
        <vertAlign val="superscript"/>
        <sz val="9"/>
        <rFont val="Arial"/>
        <family val="2"/>
      </rPr>
      <t>(3)</t>
    </r>
  </si>
  <si>
    <r>
      <t xml:space="preserve">LESS
 NON K-12 EDUCATION &amp; SERVICES </t>
    </r>
    <r>
      <rPr>
        <b/>
        <vertAlign val="superscript"/>
        <sz val="9"/>
        <rFont val="Arial"/>
        <family val="2"/>
      </rPr>
      <t>(4)</t>
    </r>
  </si>
  <si>
    <r>
      <t xml:space="preserve">TOTAL EXPENSES FOR PER PUPIL COSTS </t>
    </r>
    <r>
      <rPr>
        <b/>
        <vertAlign val="superscript"/>
        <sz val="9"/>
        <rFont val="Arial"/>
        <family val="2"/>
      </rPr>
      <t>(5)</t>
    </r>
  </si>
  <si>
    <r>
      <t xml:space="preserve">TOTAL 
 EXPENSES </t>
    </r>
    <r>
      <rPr>
        <b/>
        <vertAlign val="superscript"/>
        <sz val="9"/>
        <rFont val="Arial"/>
        <family val="2"/>
      </rPr>
      <t>(1)</t>
    </r>
  </si>
  <si>
    <t>CONCILIATION DES DÉPENSES</t>
  </si>
  <si>
    <t>DÉPENSES DU FONDS DE FONCTIONNEMENT PAR ÉLÈVE</t>
  </si>
  <si>
    <t/>
  </si>
  <si>
    <t xml:space="preserve"> FRANÇAIS</t>
  </si>
  <si>
    <t>OTHER BILINGUAL</t>
  </si>
  <si>
    <t xml:space="preserve"> STATISTIQUES SUR LES ÉLÈVES (SYSTÈME COMPTABLE FRAME)</t>
  </si>
  <si>
    <t>SENIOR YEARS TECHNOLOGY</t>
  </si>
  <si>
    <t>K-12  F.T.E. ENROLMENT</t>
  </si>
  <si>
    <t>(2)  The total number of pupils enrolled in schools adjusted for full time equivalence (F.T.E.). Full time equivalent means pupils are counted on the
       basis of time attending school - eg. Kindergarten as 1/2.  This total is the same as reported on page 7.</t>
  </si>
  <si>
    <t>N-12 ENROLMENT</t>
  </si>
  <si>
    <t>NURSERY ENROLMENT</t>
  </si>
  <si>
    <t>K-12 ENROLMENT</t>
  </si>
  <si>
    <t>INSCRIPTIONS – ÉLÈVES PRÉSENTS, SELON LE SYSTÈME COMPTABLE FRAME, ET ADMISSIBLES</t>
  </si>
  <si>
    <t>CHIFFRES RÉELS ET PRÉVISIONS AU 30 SEPTEMBRE</t>
  </si>
  <si>
    <t>RAPPORTS ÉLÈVES-ENSEIGNANT</t>
  </si>
  <si>
    <r>
      <t xml:space="preserve">REGULAR 
 INSTRUCTION </t>
    </r>
    <r>
      <rPr>
        <b/>
        <vertAlign val="superscript"/>
        <sz val="9"/>
        <rFont val="Arial"/>
        <family val="2"/>
      </rPr>
      <t>(1)</t>
    </r>
  </si>
  <si>
    <r>
      <t>EDUCATOR</t>
    </r>
    <r>
      <rPr>
        <b/>
        <vertAlign val="superscript"/>
        <sz val="9"/>
        <rFont val="Arial"/>
        <family val="2"/>
      </rPr>
      <t xml:space="preserve"> (2)</t>
    </r>
  </si>
  <si>
    <t>(1)  Based on object code 330 instructional-teaching personnel and F.T.E. students in Function 100. Included are teachers in physical education, 
       music, EAL, etc. in addition to regular classroom teachers. School-based administrative personnel and Special Placement classroom 
       teachers are excluded.</t>
  </si>
  <si>
    <t>DÉPENSES PAR FONCTION ET PAR OBJET</t>
  </si>
  <si>
    <t>SUPPLIES AND MATERIALS</t>
  </si>
  <si>
    <t>BAD DEBT EXPENSE</t>
  </si>
  <si>
    <t>DÉPENSES PAR OBJET DE DEUXIÈME CATÉGORIE EXPRIMÉES</t>
  </si>
  <si>
    <t xml:space="preserve"> EN POURCENTAGE DU TOTAL DES DÉPENSES DU FONDS DE FONCTIONNEMENT</t>
  </si>
  <si>
    <t>REGULAR
 INSTRUCTION</t>
  </si>
  <si>
    <t>STUDENT SUPPORTSERVICES</t>
  </si>
  <si>
    <t>COMMUNITY 
EDUCATION</t>
  </si>
  <si>
    <t>INSTRUCTIONAL &amp; OTHER SUPPORT SERVICES</t>
  </si>
  <si>
    <t>PER 
PUPIL</t>
  </si>
  <si>
    <t>STUDENT SUPPORT 
SERVICES</t>
  </si>
  <si>
    <t>ANALYSE DES DÉPENSES PAR FONCTION</t>
  </si>
  <si>
    <t>COMMUNITY EDUCATION AND SERVICES</t>
  </si>
  <si>
    <t>DIVISIONAL
 ADMINISTRATION</t>
  </si>
  <si>
    <t>TRANSPORTATION 
OF PUPILS</t>
  </si>
  <si>
    <t>ANALYSE DES DÉPENSES PAR PROGRAMME</t>
  </si>
  <si>
    <t>SENIOR YEARS 
TECHNOLOGY EDUCATION</t>
  </si>
  <si>
    <t>NO. OF F.T.E. PUPILS</t>
  </si>
  <si>
    <t>ADMINISTRATION / COORDINATION</t>
  </si>
  <si>
    <t>CLINICAL AND RELATED
 SERVICES</t>
  </si>
  <si>
    <t>(1)  Expenses shown are extra costs associated with special needs students in regular classes, not the total cost of educating 
       those students.</t>
  </si>
  <si>
    <t>SPECIAL 
PLACEMENT</t>
  </si>
  <si>
    <r>
      <t xml:space="preserve">REGULAR 
PLACEMENT </t>
    </r>
    <r>
      <rPr>
        <b/>
        <vertAlign val="superscript"/>
        <sz val="9"/>
        <rFont val="Arial"/>
        <family val="2"/>
      </rPr>
      <t>(1)</t>
    </r>
  </si>
  <si>
    <t>OTHER RESOURCE
 SERVICES</t>
  </si>
  <si>
    <t>COUNSELLING AND GUIDANCE</t>
  </si>
  <si>
    <t>COUNSELLING 
AND GUIDANCE</t>
  </si>
  <si>
    <t>ADMINISTRATION
 AND OTHER</t>
  </si>
  <si>
    <t>CONTINUING EDUCATION</t>
  </si>
  <si>
    <t>ENGLISH AS AN ADDITIONAL LANGUAGE</t>
  </si>
  <si>
    <t>ENGLISH AS AN ADDITIONAL LANGUAGE FOR ADULTS</t>
  </si>
  <si>
    <t>COMMUNITY SERVICES &amp; RECREATION</t>
  </si>
  <si>
    <t>PRE-KINDERGARTEN EDUCATION</t>
  </si>
  <si>
    <t>INSTRUCTIONAL MGMT. 
AND ADMINISTRATION</t>
  </si>
  <si>
    <t>BUSINESS AND
 ADMIN. SERVICES</t>
  </si>
  <si>
    <t>MANAGEMENT
 INFORMATION SERVICES</t>
  </si>
  <si>
    <t>CURRICULUM CONSULTING AND DEVELOPMENT ADMINISTRATION</t>
  </si>
  <si>
    <t>CURRICULUM CONSULTING AND DEVELOPMENT</t>
  </si>
  <si>
    <t>LIBRARY /
 MEDIA CENTRE</t>
  </si>
  <si>
    <t>PROFESSIONAL AND 
STAFF DEVELOPMENT</t>
  </si>
  <si>
    <t>(1)  Includes food services, health services, and other activities related to instructional and other support not included
       in previous programs.</t>
  </si>
  <si>
    <t>ALLOWANCES IN LIEU 
OF TRANSPORTATION</t>
  </si>
  <si>
    <t>BOARDING OF
 STUDENTS</t>
  </si>
  <si>
    <t>FIELD TRIPS
 AND OTHER</t>
  </si>
  <si>
    <t>HEALTH AND 
EDUCATION LEVY</t>
  </si>
  <si>
    <t>TRANSPORTED PUPILS</t>
  </si>
  <si>
    <t>TOTAL KM. (ROUTES)</t>
  </si>
  <si>
    <t>LOADED
 KM.</t>
  </si>
  <si>
    <t>COST 
PER KM.</t>
  </si>
  <si>
    <t>TOTAL KM. 
(LOG BOOK)</t>
  </si>
  <si>
    <t>ANALYSE DES DÉPENSES DE TRANSPORT</t>
  </si>
  <si>
    <t>ANALYSE DES DÉPENSES DE TRANSPORT (SUITE)</t>
  </si>
  <si>
    <t>REPAIRS AND
 REPLACEMENTS</t>
  </si>
  <si>
    <t>COST PER PUPIL</t>
  </si>
  <si>
    <r>
      <t xml:space="preserve">COST PER 
SQ. FT. </t>
    </r>
    <r>
      <rPr>
        <b/>
        <vertAlign val="superscript"/>
        <sz val="9"/>
        <rFont val="Arial"/>
        <family val="2"/>
      </rPr>
      <t>(1)</t>
    </r>
  </si>
  <si>
    <r>
      <t>SQ. FT. PER PUPIL</t>
    </r>
    <r>
      <rPr>
        <b/>
        <vertAlign val="superscript"/>
        <sz val="9"/>
        <rFont val="Arial"/>
        <family val="2"/>
      </rPr>
      <t xml:space="preserve"> (2)</t>
    </r>
  </si>
  <si>
    <t xml:space="preserve"> ANALYSE DES DÉPENSES DE FONCTIONNEMENT ET D'ENTRETIEN DES BÂTIMENTS SCOLAIRES</t>
  </si>
  <si>
    <t>ANALYSE DES DÉPENSES DE TECHNOLOGIE DE L'INFORMATION</t>
  </si>
  <si>
    <r>
      <t>MANAGEMENT
 INFORMATION SERVICES</t>
    </r>
    <r>
      <rPr>
        <b/>
        <vertAlign val="superscript"/>
        <sz val="9"/>
        <rFont val="Arial"/>
        <family val="2"/>
      </rPr>
      <t xml:space="preserve"> (2)</t>
    </r>
  </si>
  <si>
    <t>OTHER SCHOOL DIVISIONS</t>
  </si>
  <si>
    <t>PRIVATE ORG.'S &amp; INDIVIDUALS</t>
  </si>
  <si>
    <r>
      <t xml:space="preserve">FUNDING OF SCHOOLS PROGRAM </t>
    </r>
    <r>
      <rPr>
        <b/>
        <vertAlign val="superscript"/>
        <sz val="9"/>
        <rFont val="Arial"/>
        <family val="2"/>
      </rPr>
      <t>(1)</t>
    </r>
  </si>
  <si>
    <r>
      <t xml:space="preserve">EDUCATION PROPERTY TAX CREDIT </t>
    </r>
    <r>
      <rPr>
        <b/>
        <vertAlign val="superscript"/>
        <sz val="9"/>
        <rFont val="Arial"/>
        <family val="2"/>
      </rPr>
      <t>(2)</t>
    </r>
  </si>
  <si>
    <r>
      <t>TAX  INCENTIVE GRANT</t>
    </r>
    <r>
      <rPr>
        <b/>
        <vertAlign val="superscript"/>
        <sz val="9"/>
        <rFont val="Arial"/>
        <family val="2"/>
      </rPr>
      <t>(3)</t>
    </r>
  </si>
  <si>
    <r>
      <t xml:space="preserve">OTHER REVENUE </t>
    </r>
    <r>
      <rPr>
        <b/>
        <vertAlign val="superscript"/>
        <sz val="9"/>
        <rFont val="Arial"/>
        <family val="2"/>
      </rPr>
      <t>(4)</t>
    </r>
  </si>
  <si>
    <r>
      <t xml:space="preserve">OTHER PROVINCIAL REVENUE </t>
    </r>
    <r>
      <rPr>
        <b/>
        <vertAlign val="superscript"/>
        <sz val="9"/>
        <rFont val="Arial"/>
        <family val="2"/>
      </rPr>
      <t>(5)</t>
    </r>
  </si>
  <si>
    <t>TOTAL PROVINCIAL REVENUE</t>
  </si>
  <si>
    <r>
      <t>% OPERATING FUND REVENUE</t>
    </r>
    <r>
      <rPr>
        <b/>
        <vertAlign val="superscript"/>
        <sz val="9"/>
        <rFont val="Arial"/>
        <family val="2"/>
      </rPr>
      <t xml:space="preserve"> (6)</t>
    </r>
  </si>
  <si>
    <t>(3)  Although the Tax Incentive Grant was discontinued in 2012, the funding provided in 2011 continues to be provided. Amounts shown here are the portions
       by division after the allocation to the DSFM.</t>
  </si>
  <si>
    <t>(2)  Effective with the 2005 tax year, the Resident Homeowner Advance portion of the Manitoba Education Property Tax Credit (EPTC) is provided directly to
       school divisions as revenue from the Province of Manitoba to more accurately reflect the amount of provincial funding provided in support of education. 
       Amounts shown here do not include the Farmland School Tax Rebate nor the income tax portion of the EPTC nor the School Tax Assistance for Tenants
       and Homeowners (55+) because these are not quantifiable on a school division basis.  For these amounts shown on a provincial basis, see page i.</t>
  </si>
  <si>
    <t>FEDERAL
 GOVERNMENT</t>
  </si>
  <si>
    <r>
      <t>MUNICIPAL GOVERNMENT</t>
    </r>
    <r>
      <rPr>
        <b/>
        <vertAlign val="superscript"/>
        <sz val="9"/>
        <rFont val="Arial"/>
        <family val="2"/>
      </rPr>
      <t xml:space="preserve"> (1)</t>
    </r>
  </si>
  <si>
    <t xml:space="preserve"> PRIVATE 
ORGANIZATIONS &amp; INDIVIDUALS</t>
  </si>
  <si>
    <t>TOTAL 
NON-PROVINCIAL REVENUE</t>
  </si>
  <si>
    <t>TOTAL 
OPERATING 
FUND</t>
  </si>
  <si>
    <t>TRANSFERTS NETS AU (DU) FONDS DE CAPITAL ET D'EMPRUNT</t>
  </si>
  <si>
    <r>
      <t xml:space="preserve">NET TRANSFERS
 TO/(FROM) 
CAPITAL FUND </t>
    </r>
    <r>
      <rPr>
        <b/>
        <vertAlign val="superscript"/>
        <sz val="9"/>
        <rFont val="Arial"/>
        <family val="2"/>
      </rPr>
      <t>(1)</t>
    </r>
  </si>
  <si>
    <t xml:space="preserve">PORTIONED
 ASSESSMENT
 OTHER  </t>
  </si>
  <si>
    <t>EDUCATION 
 SUPPORT LEVY</t>
  </si>
  <si>
    <r>
      <t xml:space="preserve">PORTIONED ASSESSMENT - OTHER AND EDUCATION SUPPORT LEVY   </t>
    </r>
    <r>
      <rPr>
        <vertAlign val="superscript"/>
        <sz val="9"/>
        <rFont val="Arial"/>
        <family val="2"/>
      </rPr>
      <t>(1)</t>
    </r>
  </si>
  <si>
    <t>URBAN 
AND FARM RESIDENTIAL</t>
  </si>
  <si>
    <t>FARM 
LAND AND 
BUILDINGS</t>
  </si>
  <si>
    <r>
      <t xml:space="preserve">SPECIAL
 LEVY </t>
    </r>
    <r>
      <rPr>
        <b/>
        <vertAlign val="superscript"/>
        <sz val="9"/>
        <rFont val="Arial"/>
        <family val="2"/>
      </rPr>
      <t>(1)</t>
    </r>
  </si>
  <si>
    <r>
      <t>SPECIAL 
LEVY 
MILL RATE</t>
    </r>
    <r>
      <rPr>
        <b/>
        <vertAlign val="superscript"/>
        <sz val="9"/>
        <rFont val="Arial"/>
        <family val="2"/>
      </rPr>
      <t xml:space="preserve"> (2)</t>
    </r>
  </si>
  <si>
    <t>TOTAL DE LA VALEUR FRACTIONNÉE, TAXE SPÉCIALE ET TAUX EN MILLIÈMES DE DOLLAR</t>
  </si>
  <si>
    <t>GROSS SPECIAL
 LEVY</t>
  </si>
  <si>
    <r>
      <t xml:space="preserve">TAX INCENTIVE GRANT </t>
    </r>
    <r>
      <rPr>
        <b/>
        <vertAlign val="superscript"/>
        <sz val="9"/>
        <rFont val="Arial"/>
        <family val="2"/>
      </rPr>
      <t>(1)</t>
    </r>
  </si>
  <si>
    <t>NET SPECIAL
 LEVY</t>
  </si>
  <si>
    <t>TAXE SPÉCIALE NETTE</t>
  </si>
  <si>
    <t>IMPÔTS LOCAUX ET ÉVALUATION EN FONCTION DU NOMBRE D'ÉLÈVES RÉSIDENTS</t>
  </si>
  <si>
    <r>
      <t xml:space="preserve">ASSESSMENT
 PER
 RESIDENT PUPIL </t>
    </r>
    <r>
      <rPr>
        <b/>
        <vertAlign val="superscript"/>
        <sz val="9"/>
        <rFont val="Arial"/>
        <family val="2"/>
      </rPr>
      <t>(1)</t>
    </r>
  </si>
  <si>
    <t>EDUCATION
 SUPPORT
 LEVY</t>
  </si>
  <si>
    <t>(1)  Assessment per resident pupil is based on total portioned assessment adjusted for allocations to the DSFM and corresponds to data provided
       in the calculation of support to school divisions. Assessment per resident pupil for Flin Flon, Frontier and Mystery Lake reflects non-assessed
       mining properties. DSFM assessment per resident pupil is derived on a pro rata basis according to enrolment within DSFM boundaries.</t>
  </si>
  <si>
    <r>
      <t>INSTRUCTIONAL SUPPORT</t>
    </r>
    <r>
      <rPr>
        <b/>
        <vertAlign val="superscript"/>
        <sz val="9"/>
        <rFont val="Arial"/>
        <family val="2"/>
      </rPr>
      <t xml:space="preserve"> (1)</t>
    </r>
  </si>
  <si>
    <t>ADD'N  INST. SUPPORT FOR SMALL SCHOOLS</t>
  </si>
  <si>
    <r>
      <t xml:space="preserve">SPARSITY SUPPORT </t>
    </r>
    <r>
      <rPr>
        <b/>
        <vertAlign val="superscript"/>
        <sz val="9"/>
        <rFont val="Arial"/>
        <family val="2"/>
      </rPr>
      <t>(2)</t>
    </r>
  </si>
  <si>
    <t>CURRICULAR MATERIALS</t>
  </si>
  <si>
    <t>INFORMATION TECHNOLOGY</t>
  </si>
  <si>
    <t>LIBRARY SERVICES</t>
  </si>
  <si>
    <t>PROFESSIONAL DEVELOPMENT</t>
  </si>
  <si>
    <t>PHYSICAL EDUCATION</t>
  </si>
  <si>
    <t>TOTAL
BASE
 SUPPORT</t>
  </si>
  <si>
    <r>
      <t xml:space="preserve">TRANSPORTATION </t>
    </r>
    <r>
      <rPr>
        <b/>
        <vertAlign val="superscript"/>
        <sz val="9"/>
        <rFont val="Arial"/>
        <family val="2"/>
      </rPr>
      <t>(1)</t>
    </r>
  </si>
  <si>
    <r>
      <t>SPECIAL
 NEEDS</t>
    </r>
    <r>
      <rPr>
        <b/>
        <vertAlign val="superscript"/>
        <sz val="9"/>
        <rFont val="Arial"/>
        <family val="2"/>
      </rPr>
      <t xml:space="preserve"> (2)</t>
    </r>
  </si>
  <si>
    <t>SENIOR YEARS TECHNOLOGY EDUCATION</t>
  </si>
  <si>
    <t>ABORIGINAL ACADEMIC ACHIEVEMENT</t>
  </si>
  <si>
    <t>FRENCH LANGUAGE PROGRAMS</t>
  </si>
  <si>
    <r>
      <t xml:space="preserve">OTHER CATEGORICAL </t>
    </r>
    <r>
      <rPr>
        <b/>
        <vertAlign val="superscript"/>
        <sz val="9"/>
        <rFont val="Arial"/>
        <family val="2"/>
      </rPr>
      <t>(1)</t>
    </r>
  </si>
  <si>
    <t>TOTAL CATEGORICAL SUPPORT</t>
  </si>
  <si>
    <r>
      <t>EQUALIZATION SUPPORT</t>
    </r>
    <r>
      <rPr>
        <b/>
        <vertAlign val="superscript"/>
        <sz val="9"/>
        <rFont val="Arial"/>
        <family val="2"/>
      </rPr>
      <t xml:space="preserve"> (1)</t>
    </r>
  </si>
  <si>
    <r>
      <t xml:space="preserve">ADDITIONAL EQUALIZATION SUPPORT </t>
    </r>
    <r>
      <rPr>
        <b/>
        <vertAlign val="superscript"/>
        <sz val="9"/>
        <rFont val="Arial"/>
        <family val="2"/>
      </rPr>
      <t>(2)</t>
    </r>
  </si>
  <si>
    <r>
      <t xml:space="preserve">FORMULA GUARANTEE </t>
    </r>
    <r>
      <rPr>
        <b/>
        <vertAlign val="superscript"/>
        <sz val="9"/>
        <rFont val="Arial"/>
        <family val="2"/>
      </rPr>
      <t>(3)</t>
    </r>
  </si>
  <si>
    <r>
      <t xml:space="preserve">OTHER 
PROGRAM 
SUPPORT </t>
    </r>
    <r>
      <rPr>
        <b/>
        <vertAlign val="superscript"/>
        <sz val="9"/>
        <rFont val="Arial"/>
        <family val="2"/>
      </rPr>
      <t>(4)</t>
    </r>
  </si>
  <si>
    <t>TOTAL FUNDING
 OF SCHOOLS
 PROGRAM</t>
  </si>
  <si>
    <t>(1)  Equalization is provided to recognize the varying ability of school divisions to meet the cost of unsupported program requirements through the
       property tax base of the school division.</t>
  </si>
  <si>
    <t>(1)  For a definition of Adult Learning Centres, see expense definitions, page iii. Expenditures shown here may differ from those shown for Adult
       Learning Centres on page 15 owing to the inclusion of operating transfers for the purpose of calculating administration costs.</t>
  </si>
  <si>
    <t>TOTAL OPERATING EXPENSES
 (from page 3)</t>
  </si>
  <si>
    <t>PLUS 
TRANSFERS
 TO 
CAPITAL</t>
  </si>
  <si>
    <r>
      <t xml:space="preserve">LESS ADULT LEARNING CENTRES FUNCTION 300 </t>
    </r>
    <r>
      <rPr>
        <b/>
        <vertAlign val="superscript"/>
        <sz val="9"/>
        <rFont val="Arial"/>
        <family val="2"/>
      </rPr>
      <t>(1)</t>
    </r>
  </si>
  <si>
    <t>ADJUSTED EXPENDITURE BASE</t>
  </si>
  <si>
    <t>(1)  Excludes personnel in Function 300 (Adult Learning Centres) and Function 400 (Community Education and Services) who do not provide 
       educational services to K-12 pupils.</t>
  </si>
  <si>
    <t>FULL TIME EQUIVALENT (FTE) PERSONNEL EMPLOYED (1)</t>
  </si>
  <si>
    <t>PERSONNEL EMPLOYÉ – ÉQUIVALENT TEMPS PLEIN (ETP) (1)</t>
  </si>
  <si>
    <t>(1) Total of Regular Instruction, Student Support Services and Instructional and Other Support Services. See pages 15 and
      16 for details.</t>
  </si>
  <si>
    <t>SOUTIEN DIRECT AUX ÉLÈVES</t>
  </si>
  <si>
    <t>SOMMAIRE STATISTIQUE</t>
  </si>
  <si>
    <t>SPECIAL LEVY
 MILL RATE</t>
  </si>
  <si>
    <t>ASSESSMENT 
PER RESIDENT 
PUPIL</t>
  </si>
  <si>
    <t>PUPIL / EDUCATOR
 RATIO</t>
  </si>
  <si>
    <r>
      <t>OPERATING
 EXPENDITURE 
PER PUPIL</t>
    </r>
    <r>
      <rPr>
        <b/>
        <vertAlign val="superscript"/>
        <sz val="9"/>
        <rFont val="Arial"/>
        <family val="2"/>
      </rPr>
      <t xml:space="preserve"> (1)</t>
    </r>
  </si>
  <si>
    <t xml:space="preserve"> MITT </t>
  </si>
  <si>
    <t>Waywayseecapo Included</t>
  </si>
  <si>
    <t>EARLY
 CHILDHOOD
 DEVELOPMENT INITIATIVE</t>
  </si>
  <si>
    <t xml:space="preserve"> LITERACY
AND
 NUMERACY</t>
  </si>
  <si>
    <t>ASSESSMENT POR RESIDENT PUPIL</t>
  </si>
  <si>
    <t>PAGE Scdatabase COLUMN AC</t>
  </si>
  <si>
    <t>W:\Edusfb\Support\YYYY-YY\Support Files Frozen\DSFYY</t>
  </si>
  <si>
    <t>(1) Special Placement students are not reported separately. They are included in Regular Instruction Enrolment. 
      As a result, total enrolment in Regular Instruction is equal to Total K-12 F.T.E. enrolment.</t>
  </si>
  <si>
    <t>(2)  Based on total instructional-teaching (excluding Community Education and Adult Learning Centres) as well as school-based administrative
       staff - eg. department heads, coordinators, principals and vice-principals - and K-12 F.T.E. enrolment. Division administrators (Function 500)
       are excluded.</t>
  </si>
  <si>
    <t>PAGE 1 OF 16</t>
  </si>
  <si>
    <t>PAGE 2 OF 16</t>
  </si>
  <si>
    <t>PAGE 3 OF 16</t>
  </si>
  <si>
    <t>PAGE 4 OF 16</t>
  </si>
  <si>
    <t>PAGE 5 OF 16</t>
  </si>
  <si>
    <t>PAGE 7 OF 16</t>
  </si>
  <si>
    <t>PAGE 8 OF 16</t>
  </si>
  <si>
    <t>PAGE 9 OF 16</t>
  </si>
  <si>
    <t>PAGE 10 OF 16</t>
  </si>
  <si>
    <t>PAGE 11 OF 16</t>
  </si>
  <si>
    <t>PAGE 12 OF 16</t>
  </si>
  <si>
    <t>PAGE 13 OF 16</t>
  </si>
  <si>
    <t>PAGE 14 OF 16</t>
  </si>
  <si>
    <t>PAGE 15 OF 16</t>
  </si>
  <si>
    <t>PAGE 16 OF 16</t>
  </si>
  <si>
    <t>PAGE 6 OF 16</t>
  </si>
  <si>
    <t>(1)  Excludes information technology expenses in Function 300 (Adult Learning Centres) and Function 400 (Community Education and Services)
       and Management Information Services in Function 500. Total expenses for Management Information Services are included on page 38 and
       form part of total Information Technology Expenses.</t>
  </si>
  <si>
    <t>(2)  Total Management Information Services expenses in Function 500 (from page 26).</t>
  </si>
  <si>
    <r>
      <t xml:space="preserve">FULL TIME EQUIVALENT (FTE) PERSONNEL EMPLOYED </t>
    </r>
    <r>
      <rPr>
        <b/>
        <vertAlign val="superscript"/>
        <sz val="9"/>
        <rFont val="Arial"/>
        <family val="2"/>
      </rPr>
      <t>(1)</t>
    </r>
  </si>
  <si>
    <t>(3)  From page 50 (for more information, see page 50).</t>
  </si>
  <si>
    <t>(4)  From page 47 (for more information, see page 47).</t>
  </si>
  <si>
    <t>Incremental administration costs related to Waywayseecappo</t>
  </si>
  <si>
    <r>
      <t>DIVISIONAL ADMINISTRATION FUNCTION 500</t>
    </r>
    <r>
      <rPr>
        <b/>
        <vertAlign val="superscript"/>
        <sz val="9"/>
        <rFont val="Arial"/>
        <family val="2"/>
      </rPr>
      <t xml:space="preserve"> (2)</t>
    </r>
  </si>
  <si>
    <t>LESS:   LIABILITY INSURANCE, ADMIN. PORTION OF SELF-FUNDED EXPENSES &amp; TRUSTEE ELECTION COSTS</t>
  </si>
  <si>
    <t>DEFINED ADMINISTRATION EXPENSES</t>
  </si>
  <si>
    <t>DEFINED
ADMINISTRATION
EXPENSES</t>
  </si>
  <si>
    <t>DEFINED 
ADMIN.
EXPENSES 
AS % OF
 EXPENDITURE
 BASE</t>
  </si>
  <si>
    <t xml:space="preserve">
ADMIN.
LIMIT</t>
  </si>
  <si>
    <r>
      <t xml:space="preserve">PORTIONED ASSESSMENT - OTHER AND EDUCATION SUPPORT LEVY  </t>
    </r>
    <r>
      <rPr>
        <b/>
        <vertAlign val="superscript"/>
        <sz val="9"/>
        <rFont val="Arial"/>
        <family val="2"/>
      </rPr>
      <t xml:space="preserve"> (1)</t>
    </r>
  </si>
  <si>
    <t>DEFINED
 ADMIN.
EXPENSES
 (from page 56)</t>
  </si>
  <si>
    <t>Update=&gt;</t>
  </si>
  <si>
    <t>TOTAL OTHER</t>
  </si>
  <si>
    <t>DEPARTMENT OF</t>
  </si>
  <si>
    <t>tig</t>
  </si>
  <si>
    <t>tig dsfm</t>
  </si>
  <si>
    <t>CATEGORICAL</t>
  </si>
  <si>
    <t>SUPPORT</t>
  </si>
  <si>
    <t>Page</t>
  </si>
  <si>
    <t xml:space="preserve"> Function's check</t>
  </si>
  <si>
    <t>Function</t>
  </si>
  <si>
    <t>2016/2017 BUDGET</t>
  </si>
  <si>
    <t>2016/17</t>
  </si>
  <si>
    <t>TRUSTEE</t>
  </si>
  <si>
    <t>ELECTION</t>
  </si>
  <si>
    <t>ACTUAL 
SEP. 30, 2015</t>
  </si>
  <si>
    <t>(1)  Operating fund transfers (i.e. payments to other school divisions, organizations and individuals) are excluded to provide more accurate per 
       pupil costs. Also excluded are expenditures on educational services not provided to K-12 pupils: Function 300 (Adult Learning Centres) and 
       Function  400 (Community Education and Services).</t>
  </si>
  <si>
    <t>DIRECT SUPPORT
 PER PUPIL</t>
  </si>
  <si>
    <r>
      <t xml:space="preserve">
  DIRECT SUPPORT TO PUPILS
 FUNCTIONS 100 + 200 + 600 </t>
    </r>
    <r>
      <rPr>
        <b/>
        <vertAlign val="superscript"/>
        <sz val="9"/>
        <rFont val="Arial"/>
        <family val="2"/>
      </rPr>
      <t>(1)</t>
    </r>
  </si>
  <si>
    <t>(1)  This appendix provides an analysis of divisional administration expenses as a percentage of the adjusted operating expense base. Frontier
       School Division, DSFM, Whiteshell and Manitoba Institute of Trades and Technology are exempt from these limits and are not reflected in the
       above totals.  Expenses shown for Function 500 may differ from corresponding  amounts shown on page 16 owing to the inclusion of 
       operating transfers for the purpose of calculating administration costs. Effective with fiscal year 2015/16, school divisions are required to limit
       the proportion of the budget spent on divisional administration to 3.5% (for school divisions with F.T.E enrolment of 5,000 of greater), 4.25% 
      (for school divisions with F.T.E enrolment of 1,000 or less) and between 3.5% and 4.25% for school divisions with F.T.E enrolment between
      1,000 and 5,000. Northern school divisions are subject  to a 5% limit.</t>
  </si>
  <si>
    <t>Health and Education Levy.</t>
  </si>
  <si>
    <t>(1)  Support for Function 200 Student Support Services expenses less Counselling and Guidance and Categorical support for Special Needs.</t>
  </si>
  <si>
    <r>
      <t xml:space="preserve">STUDENT SERVICES </t>
    </r>
    <r>
      <rPr>
        <b/>
        <vertAlign val="superscript"/>
        <sz val="9"/>
        <rFont val="Arial"/>
        <family val="2"/>
      </rPr>
      <t>(1)</t>
    </r>
  </si>
  <si>
    <t>2017/2018 BUDGET</t>
  </si>
  <si>
    <t>ACTUAL
 SEP. 30, 2016</t>
  </si>
  <si>
    <t>ESTIMATE 
SEP. 30, 2017</t>
  </si>
  <si>
    <t>ACTUAL 
SEP. 30, 2016</t>
  </si>
  <si>
    <t>(3)  Provincially supported pupils (actual September 30, 2016 for 2017/18 and actual September 30, 2015 for 2016/17).</t>
  </si>
  <si>
    <t>Sep 30, 16</t>
  </si>
  <si>
    <t>(1) Effective 2006, the Education Support Levy is no longer raised on residential property. The mill rate for other property in 2017 is 10.50.</t>
  </si>
  <si>
    <t>(1)  Special levy requisitioned by school divisions for the 2017 tax year. Actual remittance to school divisions by municipalities is reduced by the
       Education Property Tax Credit. See pages 41 and 42 for more detail.</t>
  </si>
  <si>
    <t>(1)  The Tax Incentive Grant was offered to school divisions that maintained their prior year Special Levy amount adjusted for real growth in
       property assessment. The 2017 grant is unchanged from the amount provided in 2011. Amounts shown here are the portions by 
       division before the allocation to the DSFM.</t>
  </si>
  <si>
    <t>(1)  Based on a grant per eligible pupil at September 30, 2016.</t>
  </si>
  <si>
    <r>
      <t xml:space="preserve">ADMINISTRATION EXPENSES </t>
    </r>
    <r>
      <rPr>
        <b/>
        <vertAlign val="superscript"/>
        <sz val="9"/>
        <rFont val="Arial"/>
        <family val="2"/>
      </rPr>
      <t>(1)</t>
    </r>
    <r>
      <rPr>
        <b/>
        <sz val="9"/>
        <rFont val="Arial"/>
        <family val="2"/>
      </rPr>
      <t xml:space="preserve"> 2017/2018 BUDGET</t>
    </r>
  </si>
  <si>
    <t>ADMINISTRATION EXPENSES 2017/2018 BUDGET</t>
  </si>
  <si>
    <t>2016/17 AND 2017/18 BUDGET</t>
  </si>
  <si>
    <t>2017/18</t>
  </si>
  <si>
    <r>
      <t xml:space="preserve">2017/18 </t>
    </r>
    <r>
      <rPr>
        <b/>
        <vertAlign val="superscript"/>
        <sz val="9"/>
        <rFont val="Arial"/>
        <family val="2"/>
      </rPr>
      <t>(2)</t>
    </r>
  </si>
  <si>
    <t>2016</t>
  </si>
  <si>
    <r>
      <t xml:space="preserve">2017 </t>
    </r>
    <r>
      <rPr>
        <b/>
        <vertAlign val="superscript"/>
        <sz val="9"/>
        <rFont val="Arial"/>
        <family val="2"/>
      </rPr>
      <t>(3)</t>
    </r>
  </si>
  <si>
    <r>
      <t xml:space="preserve">2017 </t>
    </r>
    <r>
      <rPr>
        <b/>
        <vertAlign val="superscript"/>
        <sz val="9"/>
        <rFont val="Arial"/>
        <family val="2"/>
      </rPr>
      <t>(4)</t>
    </r>
  </si>
  <si>
    <t xml:space="preserve"> (2016 IS A REASSESSMENT YEAR)</t>
  </si>
  <si>
    <t xml:space="preserve">POUR L'ANNÉE D'IMPOSITION 2016 </t>
  </si>
  <si>
    <t>(2016 EST UNE ANNÉE DE RÉÉVALUATION)</t>
  </si>
  <si>
    <t>(1)  Based on area (square footage) of active school buildings as at September 30, 2016. Includes rented and leased space.</t>
  </si>
  <si>
    <t>2016 TSA</t>
  </si>
  <si>
    <t>2017 TSA</t>
  </si>
  <si>
    <t>(4)  Includes other miscellaneous support (Institutional Programs, Nursing Supports, General Support Grant, Community Schools, etc.).</t>
  </si>
  <si>
    <t>(3)  Formula Guarantee is provided to ensure that every school division receives at least 98% of the level of funding provided in 2016/17.</t>
  </si>
  <si>
    <t xml:space="preserve">PR TIG Adj </t>
  </si>
  <si>
    <t>All pages of the FRAME report containing the tables of financial and statistical data are included in this file.</t>
  </si>
  <si>
    <t>In most cases, formulas have been left intact to show how statistics such as percentages and average costs per pupil are derived.</t>
  </si>
  <si>
    <t>Each worksheet tab is numbered to match the corresponding page found in the published document so for example to see page 15, click the worksheet tab  - 15 - .</t>
  </si>
  <si>
    <t>This file is unprotected for data analysis by the user.  Data can also be copied to other files or additional data copied to this one.  In cases of dispute however, the published FRAME reports and the corresponding files located on the Manitoba Govenment web site remain the final authority.</t>
  </si>
  <si>
    <t>The cover page, table of contents, forward and introduction as well as the graphs (pie charts, bar charts) are not included in this file. The full report is available in a PDF version on the same site as this file at:</t>
  </si>
  <si>
    <t>http://www.edu.gov.mb.ca/k12/finance/frame_report/index.html</t>
  </si>
  <si>
    <t>FRAME Report: 2017/18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</si>
</sst>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_(* \(#,##0.00\);_(* &quot;-&quot;??_);_(@_)"/>
    <numFmt numFmtId="165" formatCode=";;;"/>
    <numFmt numFmtId="166" formatCode="0.0%"/>
    <numFmt numFmtId="167" formatCode="#,##0.0_);\(#,##0.0\)"/>
    <numFmt numFmtId="168" formatCode="0.0_)"/>
    <numFmt numFmtId="169" formatCode="0.00_)"/>
    <numFmt numFmtId="170" formatCode="#,##0_ ;\(#,##0\)"/>
    <numFmt numFmtId="171" formatCode="#,##0\ ;\(#,##0\ \)"/>
    <numFmt numFmtId="172" formatCode="#,##0.0000;\-#,##0.0000"/>
    <numFmt numFmtId="173" formatCode="#,##0.0_ ;\(#,##0.0\)"/>
    <numFmt numFmtId="174" formatCode="#,##0.0_);[Red]\(#,##0.0\)"/>
    <numFmt numFmtId="175" formatCode="dd\-mmm\-yy_)"/>
    <numFmt numFmtId="176" formatCode="#,##0;\(#,##0\)"/>
    <numFmt numFmtId="177" formatCode="0_)"/>
  </numFmts>
  <fonts count="39" x14ac:knownFonts="1">
    <font>
      <sz val="9"/>
      <name val="Times New Roman"/>
    </font>
    <font>
      <sz val="10"/>
      <name val="Times New Roman"/>
      <family val="1"/>
    </font>
    <font>
      <sz val="10"/>
      <name val="Courier"/>
      <family val="3"/>
    </font>
    <font>
      <b/>
      <sz val="9"/>
      <name val="Arial"/>
      <family val="2"/>
    </font>
    <font>
      <sz val="9"/>
      <name val="Arial"/>
      <family val="2"/>
    </font>
    <font>
      <sz val="9"/>
      <color indexed="12"/>
      <name val="Arial"/>
      <family val="2"/>
    </font>
    <font>
      <b/>
      <vertAlign val="superscript"/>
      <sz val="9"/>
      <name val="Arial"/>
      <family val="2"/>
    </font>
    <font>
      <sz val="8"/>
      <name val="Arial"/>
      <family val="2"/>
    </font>
    <font>
      <vertAlign val="superscript"/>
      <sz val="9"/>
      <name val="Arial"/>
      <family val="2"/>
    </font>
    <font>
      <b/>
      <sz val="10"/>
      <name val="Arial"/>
      <family val="2"/>
    </font>
    <font>
      <u/>
      <sz val="9"/>
      <name val="Arial"/>
      <family val="2"/>
    </font>
    <font>
      <b/>
      <sz val="12"/>
      <name val="Arial"/>
      <family val="2"/>
    </font>
    <font>
      <sz val="10"/>
      <name val="Arial"/>
      <family val="2"/>
    </font>
    <font>
      <b/>
      <vertAlign val="superscript"/>
      <sz val="10"/>
      <name val="Arial"/>
      <family val="2"/>
    </font>
    <font>
      <sz val="10"/>
      <name val="Arial"/>
      <family val="2"/>
    </font>
    <font>
      <sz val="8"/>
      <name val="Arial"/>
      <family val="2"/>
    </font>
    <font>
      <sz val="11"/>
      <name val="Arial"/>
      <family val="2"/>
    </font>
    <font>
      <sz val="12"/>
      <name val="Arial"/>
      <family val="2"/>
    </font>
    <font>
      <sz val="9"/>
      <name val="Times New Roman"/>
      <family val="1"/>
    </font>
    <font>
      <sz val="8"/>
      <name val="Times New Roman"/>
      <family val="1"/>
    </font>
    <font>
      <b/>
      <sz val="16"/>
      <name val="Arial"/>
      <family val="2"/>
    </font>
    <font>
      <b/>
      <sz val="9"/>
      <color indexed="10"/>
      <name val="Arial"/>
      <family val="2"/>
    </font>
    <font>
      <b/>
      <vertAlign val="superscript"/>
      <sz val="11"/>
      <name val="Arial"/>
      <family val="2"/>
    </font>
    <font>
      <sz val="9"/>
      <color indexed="10"/>
      <name val="Arial"/>
      <family val="2"/>
    </font>
    <font>
      <b/>
      <sz val="9"/>
      <color rgb="FFFF0000"/>
      <name val="Arial"/>
      <family val="2"/>
    </font>
    <font>
      <sz val="9"/>
      <color rgb="FFFF0000"/>
      <name val="Arial"/>
      <family val="2"/>
    </font>
    <font>
      <sz val="9"/>
      <color rgb="FF0070C0"/>
      <name val="Arial"/>
      <family val="2"/>
    </font>
    <font>
      <sz val="10"/>
      <color rgb="FF000000"/>
      <name val="Tahoma"/>
      <family val="2"/>
    </font>
    <font>
      <b/>
      <sz val="12"/>
      <color theme="0"/>
      <name val="Arial"/>
      <family val="2"/>
    </font>
    <font>
      <sz val="9"/>
      <color theme="0"/>
      <name val="Arial"/>
      <family val="2"/>
    </font>
    <font>
      <b/>
      <sz val="9"/>
      <color theme="0"/>
      <name val="Arial"/>
      <family val="2"/>
    </font>
    <font>
      <sz val="11"/>
      <color rgb="FF1F497D"/>
      <name val="Calibri"/>
      <family val="2"/>
    </font>
    <font>
      <sz val="9"/>
      <color rgb="FF000000"/>
      <name val="Times New Roman"/>
      <family val="1"/>
    </font>
    <font>
      <sz val="9"/>
      <color indexed="81"/>
      <name val="Tahoma"/>
      <family val="2"/>
    </font>
    <font>
      <b/>
      <sz val="9"/>
      <color indexed="81"/>
      <name val="Tahoma"/>
      <family val="2"/>
    </font>
    <font>
      <b/>
      <sz val="12"/>
      <color indexed="9"/>
      <name val="Arial"/>
      <family val="2"/>
    </font>
    <font>
      <sz val="12"/>
      <color indexed="9"/>
      <name val="Arial"/>
      <family val="2"/>
    </font>
    <font>
      <u/>
      <sz val="9"/>
      <color theme="10"/>
      <name val="Times New Roman"/>
      <family val="1"/>
    </font>
    <font>
      <u/>
      <sz val="12"/>
      <color theme="0"/>
      <name val="Arial"/>
      <family val="2"/>
    </font>
  </fonts>
  <fills count="16">
    <fill>
      <patternFill patternType="none"/>
    </fill>
    <fill>
      <patternFill patternType="gray125"/>
    </fill>
    <fill>
      <patternFill patternType="solid">
        <fgColor indexed="22"/>
        <bgColor indexed="22"/>
      </patternFill>
    </fill>
    <fill>
      <patternFill patternType="solid">
        <fgColor indexed="9"/>
        <bgColor indexed="9"/>
      </patternFill>
    </fill>
    <fill>
      <patternFill patternType="solid">
        <fgColor indexed="65"/>
        <bgColor indexed="64"/>
      </patternFill>
    </fill>
    <fill>
      <patternFill patternType="solid">
        <fgColor indexed="9"/>
        <bgColor indexed="8"/>
      </patternFill>
    </fill>
    <fill>
      <patternFill patternType="solid">
        <fgColor indexed="42"/>
        <bgColor indexed="8"/>
      </patternFill>
    </fill>
    <fill>
      <patternFill patternType="solid">
        <fgColor indexed="42"/>
        <bgColor indexed="64"/>
      </patternFill>
    </fill>
    <fill>
      <patternFill patternType="solid">
        <fgColor indexed="42"/>
        <bgColor indexed="42"/>
      </patternFill>
    </fill>
    <fill>
      <patternFill patternType="solid">
        <fgColor indexed="42"/>
        <bgColor indexed="9"/>
      </patternFill>
    </fill>
    <fill>
      <patternFill patternType="solid">
        <fgColor rgb="FFFFFF00"/>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indexed="57"/>
        <bgColor indexed="64"/>
      </patternFill>
    </fill>
  </fills>
  <borders count="64">
    <border>
      <left/>
      <right/>
      <top/>
      <bottom/>
      <diagonal/>
    </border>
    <border>
      <left style="thin">
        <color indexed="8"/>
      </left>
      <right style="thin">
        <color indexed="8"/>
      </right>
      <top/>
      <bottom/>
      <diagonal/>
    </border>
    <border>
      <left/>
      <right/>
      <top style="thin">
        <color indexed="8"/>
      </top>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64"/>
      </bottom>
      <diagonal/>
    </border>
    <border>
      <left style="thin">
        <color indexed="8"/>
      </left>
      <right/>
      <top/>
      <bottom style="thin">
        <color indexed="8"/>
      </bottom>
      <diagonal/>
    </border>
    <border>
      <left style="thin">
        <color indexed="8"/>
      </left>
      <right/>
      <top/>
      <bottom/>
      <diagonal/>
    </border>
    <border>
      <left style="thin">
        <color indexed="8"/>
      </left>
      <right style="double">
        <color indexed="8"/>
      </right>
      <top/>
      <bottom/>
      <diagonal/>
    </border>
    <border>
      <left/>
      <right/>
      <top style="thin">
        <color indexed="8"/>
      </top>
      <bottom style="thin">
        <color indexed="8"/>
      </bottom>
      <diagonal/>
    </border>
    <border>
      <left style="thin">
        <color indexed="8"/>
      </left>
      <right/>
      <top style="thin">
        <color indexed="8"/>
      </top>
      <bottom/>
      <diagonal/>
    </border>
    <border>
      <left style="thin">
        <color indexed="64"/>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8"/>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8"/>
      </top>
      <bottom/>
      <diagonal/>
    </border>
    <border>
      <left style="thin">
        <color indexed="8"/>
      </left>
      <right style="double">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double">
        <color indexed="8"/>
      </left>
      <right style="thin">
        <color indexed="64"/>
      </right>
      <top style="thin">
        <color indexed="64"/>
      </top>
      <bottom style="thin">
        <color indexed="64"/>
      </bottom>
      <diagonal/>
    </border>
    <border>
      <left style="thin">
        <color indexed="8"/>
      </left>
      <right style="double">
        <color indexed="8"/>
      </right>
      <top style="thin">
        <color indexed="8"/>
      </top>
      <bottom/>
      <diagonal/>
    </border>
    <border>
      <left style="thin">
        <color indexed="8"/>
      </left>
      <right style="double">
        <color indexed="8"/>
      </right>
      <top/>
      <bottom style="thin">
        <color indexed="8"/>
      </bottom>
      <diagonal/>
    </border>
    <border>
      <left style="double">
        <color indexed="8"/>
      </left>
      <right style="thin">
        <color indexed="8"/>
      </right>
      <top style="thin">
        <color indexed="8"/>
      </top>
      <bottom/>
      <diagonal/>
    </border>
    <border>
      <left style="double">
        <color indexed="8"/>
      </left>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8"/>
      </right>
      <top/>
      <bottom/>
      <diagonal/>
    </border>
    <border>
      <left style="thick">
        <color theme="0"/>
      </left>
      <right style="thick">
        <color theme="0"/>
      </right>
      <top style="thick">
        <color theme="0"/>
      </top>
      <bottom style="thick">
        <color theme="0"/>
      </bottom>
      <diagonal/>
    </border>
  </borders>
  <cellStyleXfs count="9">
    <xf numFmtId="37" fontId="0" fillId="0" borderId="0"/>
    <xf numFmtId="0" fontId="2" fillId="2" borderId="1"/>
    <xf numFmtId="164" fontId="1" fillId="0" borderId="0" applyFont="0" applyFill="0" applyBorder="0" applyAlignment="0" applyProtection="0"/>
    <xf numFmtId="164" fontId="14" fillId="0" borderId="0" applyFont="0" applyFill="0" applyBorder="0" applyAlignment="0" applyProtection="0"/>
    <xf numFmtId="0" fontId="14" fillId="0" borderId="0"/>
    <xf numFmtId="39" fontId="18" fillId="0" borderId="0"/>
    <xf numFmtId="9" fontId="1" fillId="0" borderId="0" applyFont="0" applyFill="0" applyBorder="0" applyAlignment="0" applyProtection="0"/>
    <xf numFmtId="37" fontId="18" fillId="0" borderId="0"/>
    <xf numFmtId="0" fontId="37" fillId="0" borderId="0" applyNumberFormat="0" applyFill="0" applyBorder="0" applyAlignment="0" applyProtection="0">
      <alignment vertical="top"/>
      <protection locked="0"/>
    </xf>
  </cellStyleXfs>
  <cellXfs count="843">
    <xf numFmtId="37" fontId="0" fillId="0" borderId="0" xfId="0"/>
    <xf numFmtId="37" fontId="4" fillId="0" borderId="0" xfId="0" applyFont="1"/>
    <xf numFmtId="49" fontId="4" fillId="0" borderId="0" xfId="0" applyNumberFormat="1" applyFont="1" applyAlignment="1"/>
    <xf numFmtId="165" fontId="4" fillId="0" borderId="0" xfId="0" applyNumberFormat="1" applyFont="1" applyProtection="1"/>
    <xf numFmtId="37" fontId="4" fillId="3" borderId="0" xfId="0" applyFont="1" applyFill="1"/>
    <xf numFmtId="37" fontId="3" fillId="3" borderId="2" xfId="0" applyFont="1" applyFill="1" applyBorder="1" applyAlignment="1">
      <alignment horizontal="centerContinuous" vertical="center"/>
    </xf>
    <xf numFmtId="37" fontId="4" fillId="3" borderId="2" xfId="0" applyFont="1" applyFill="1" applyBorder="1" applyAlignment="1">
      <alignment horizontal="centerContinuous"/>
    </xf>
    <xf numFmtId="37" fontId="3" fillId="3" borderId="3" xfId="0" applyFont="1" applyFill="1" applyBorder="1" applyAlignment="1">
      <alignment horizontal="centerContinuous" vertical="center"/>
    </xf>
    <xf numFmtId="37" fontId="4" fillId="3" borderId="3" xfId="0" applyFont="1" applyFill="1" applyBorder="1" applyAlignment="1">
      <alignment horizontal="centerContinuous"/>
    </xf>
    <xf numFmtId="37" fontId="5" fillId="3" borderId="3" xfId="0" applyFont="1" applyFill="1" applyBorder="1" applyAlignment="1">
      <alignment horizontal="centerContinuous"/>
    </xf>
    <xf numFmtId="37" fontId="4" fillId="3" borderId="0" xfId="0" applyFont="1" applyFill="1" applyAlignment="1">
      <alignment horizontal="center"/>
    </xf>
    <xf numFmtId="37" fontId="3" fillId="3" borderId="1" xfId="0" applyFont="1" applyFill="1" applyBorder="1" applyAlignment="1">
      <alignment horizontal="center"/>
    </xf>
    <xf numFmtId="49" fontId="3" fillId="0" borderId="7" xfId="0" applyNumberFormat="1" applyFont="1" applyBorder="1"/>
    <xf numFmtId="49" fontId="3" fillId="0" borderId="8" xfId="0" applyNumberFormat="1" applyFont="1" applyBorder="1"/>
    <xf numFmtId="49" fontId="3" fillId="0" borderId="0" xfId="0" applyNumberFormat="1" applyFont="1"/>
    <xf numFmtId="49" fontId="4" fillId="0" borderId="1" xfId="0" applyNumberFormat="1" applyFont="1" applyBorder="1" applyAlignment="1">
      <alignment vertical="center"/>
    </xf>
    <xf numFmtId="170" fontId="4" fillId="0" borderId="1" xfId="0" applyNumberFormat="1" applyFont="1" applyBorder="1" applyAlignment="1">
      <alignment vertical="center"/>
    </xf>
    <xf numFmtId="49" fontId="4" fillId="0" borderId="0" xfId="0" applyNumberFormat="1" applyFont="1" applyAlignment="1">
      <alignment vertical="center"/>
    </xf>
    <xf numFmtId="171" fontId="4" fillId="0" borderId="0" xfId="0" applyNumberFormat="1" applyFont="1" applyAlignment="1">
      <alignment vertical="center"/>
    </xf>
    <xf numFmtId="37" fontId="4" fillId="0" borderId="11" xfId="0" applyFont="1" applyBorder="1"/>
    <xf numFmtId="37" fontId="4" fillId="0" borderId="0" xfId="0" applyFont="1" applyAlignment="1">
      <alignment horizontal="left"/>
    </xf>
    <xf numFmtId="49" fontId="4" fillId="0" borderId="0" xfId="0" applyNumberFormat="1" applyFont="1" applyAlignment="1">
      <alignment horizontal="left"/>
    </xf>
    <xf numFmtId="37" fontId="4" fillId="3" borderId="0" xfId="0" applyFont="1" applyFill="1" applyBorder="1"/>
    <xf numFmtId="37" fontId="4" fillId="0" borderId="0" xfId="0" applyNumberFormat="1" applyFont="1" applyBorder="1" applyProtection="1"/>
    <xf numFmtId="37" fontId="3" fillId="0" borderId="4" xfId="0" applyFont="1" applyBorder="1"/>
    <xf numFmtId="37" fontId="3" fillId="3" borderId="5" xfId="0" applyFont="1" applyFill="1" applyBorder="1" applyAlignment="1">
      <alignment horizontal="right"/>
    </xf>
    <xf numFmtId="37" fontId="3" fillId="3" borderId="5" xfId="0" applyFont="1" applyFill="1" applyBorder="1"/>
    <xf numFmtId="37" fontId="3" fillId="0" borderId="8" xfId="0" applyFont="1" applyBorder="1"/>
    <xf numFmtId="37" fontId="3" fillId="0" borderId="10" xfId="0" applyFont="1" applyBorder="1" applyAlignment="1">
      <alignment horizontal="right"/>
    </xf>
    <xf numFmtId="37" fontId="3" fillId="0" borderId="0" xfId="0" applyFont="1"/>
    <xf numFmtId="170" fontId="4" fillId="0" borderId="1" xfId="0" applyNumberFormat="1" applyFont="1" applyBorder="1" applyAlignment="1">
      <alignment horizontal="right" vertical="center"/>
    </xf>
    <xf numFmtId="37" fontId="4" fillId="0" borderId="0" xfId="0" applyFont="1" applyAlignment="1"/>
    <xf numFmtId="37" fontId="4" fillId="3" borderId="0" xfId="0" applyFont="1" applyFill="1" applyProtection="1"/>
    <xf numFmtId="165" fontId="4" fillId="0" borderId="2" xfId="0" applyNumberFormat="1" applyFont="1" applyBorder="1" applyProtection="1"/>
    <xf numFmtId="37" fontId="3" fillId="3" borderId="2" xfId="0" applyFont="1" applyFill="1" applyBorder="1" applyAlignment="1" applyProtection="1">
      <alignment horizontal="centerContinuous" vertical="center"/>
    </xf>
    <xf numFmtId="37" fontId="4" fillId="3" borderId="2" xfId="0" applyFont="1" applyFill="1" applyBorder="1" applyAlignment="1" applyProtection="1">
      <alignment horizontal="centerContinuous"/>
    </xf>
    <xf numFmtId="37" fontId="4" fillId="3" borderId="2" xfId="0" applyFont="1" applyFill="1" applyBorder="1" applyAlignment="1" applyProtection="1">
      <alignment horizontal="right"/>
    </xf>
    <xf numFmtId="165" fontId="4" fillId="0" borderId="3" xfId="0" applyNumberFormat="1" applyFont="1" applyBorder="1" applyProtection="1"/>
    <xf numFmtId="37" fontId="3" fillId="3" borderId="3" xfId="0" quotePrefix="1" applyFont="1" applyFill="1" applyBorder="1" applyAlignment="1" applyProtection="1">
      <alignment horizontal="centerContinuous" vertical="center"/>
    </xf>
    <xf numFmtId="37" fontId="4" fillId="3" borderId="3" xfId="0" applyFont="1" applyFill="1" applyBorder="1" applyAlignment="1" applyProtection="1">
      <alignment horizontal="centerContinuous"/>
    </xf>
    <xf numFmtId="37" fontId="4" fillId="3" borderId="3" xfId="0" quotePrefix="1" applyFont="1" applyFill="1" applyBorder="1" applyAlignment="1" applyProtection="1">
      <alignment horizontal="centerContinuous"/>
    </xf>
    <xf numFmtId="37" fontId="4" fillId="3" borderId="3" xfId="0" applyFont="1" applyFill="1" applyBorder="1" applyProtection="1"/>
    <xf numFmtId="169" fontId="4" fillId="3" borderId="0" xfId="0" applyNumberFormat="1" applyFont="1" applyFill="1" applyProtection="1"/>
    <xf numFmtId="37" fontId="3" fillId="0" borderId="10" xfId="0" applyFont="1" applyBorder="1" applyAlignment="1" applyProtection="1">
      <alignment horizontal="centerContinuous"/>
    </xf>
    <xf numFmtId="37" fontId="3" fillId="0" borderId="7" xfId="0" applyFont="1" applyBorder="1" applyAlignment="1">
      <alignment vertical="center"/>
    </xf>
    <xf numFmtId="37" fontId="3" fillId="0" borderId="8" xfId="0" applyFont="1" applyBorder="1" applyAlignment="1">
      <alignment vertical="center"/>
    </xf>
    <xf numFmtId="37" fontId="4" fillId="0" borderId="0" xfId="0" applyFont="1" applyProtection="1"/>
    <xf numFmtId="173" fontId="4" fillId="0" borderId="1" xfId="0" applyNumberFormat="1" applyFont="1" applyBorder="1" applyAlignment="1">
      <alignment vertical="center"/>
    </xf>
    <xf numFmtId="173" fontId="4" fillId="0" borderId="14" xfId="0" applyNumberFormat="1" applyFont="1" applyBorder="1" applyAlignment="1">
      <alignment vertical="center"/>
    </xf>
    <xf numFmtId="173" fontId="4" fillId="0" borderId="6" xfId="0" applyNumberFormat="1" applyFont="1" applyBorder="1" applyAlignment="1">
      <alignment vertical="center"/>
    </xf>
    <xf numFmtId="173" fontId="4" fillId="0" borderId="0" xfId="0" applyNumberFormat="1" applyFont="1" applyAlignment="1">
      <alignment vertical="center"/>
    </xf>
    <xf numFmtId="37" fontId="4" fillId="0" borderId="11" xfId="0" applyFont="1" applyBorder="1" applyProtection="1"/>
    <xf numFmtId="37" fontId="4" fillId="0" borderId="15" xfId="0" applyFont="1" applyBorder="1"/>
    <xf numFmtId="37" fontId="3" fillId="0" borderId="15" xfId="0" applyFont="1" applyBorder="1" applyAlignment="1">
      <alignment horizontal="centerContinuous" vertical="center"/>
    </xf>
    <xf numFmtId="37" fontId="3" fillId="3" borderId="0" xfId="0" applyFont="1" applyFill="1" applyAlignment="1">
      <alignment horizontal="centerContinuous"/>
    </xf>
    <xf numFmtId="37" fontId="4" fillId="3" borderId="0" xfId="0" applyFont="1" applyFill="1" applyAlignment="1">
      <alignment horizontal="centerContinuous"/>
    </xf>
    <xf numFmtId="37" fontId="4" fillId="0" borderId="16" xfId="0" applyFont="1" applyBorder="1"/>
    <xf numFmtId="37" fontId="4" fillId="0" borderId="5" xfId="0" applyFont="1" applyBorder="1"/>
    <xf numFmtId="37" fontId="3" fillId="0" borderId="17" xfId="0" applyFont="1" applyBorder="1"/>
    <xf numFmtId="170" fontId="4" fillId="0" borderId="1" xfId="0" applyNumberFormat="1" applyFont="1" applyBorder="1" applyProtection="1"/>
    <xf numFmtId="170" fontId="4" fillId="0" borderId="6" xfId="0" applyNumberFormat="1" applyFont="1" applyBorder="1" applyProtection="1"/>
    <xf numFmtId="37" fontId="4" fillId="0" borderId="6" xfId="0" applyFont="1" applyBorder="1"/>
    <xf numFmtId="165" fontId="4" fillId="0" borderId="13" xfId="0" applyNumberFormat="1" applyFont="1" applyBorder="1" applyProtection="1"/>
    <xf numFmtId="170" fontId="4" fillId="0" borderId="13" xfId="0" applyNumberFormat="1" applyFont="1" applyBorder="1" applyProtection="1"/>
    <xf numFmtId="49" fontId="8" fillId="0" borderId="6" xfId="0" applyNumberFormat="1" applyFont="1" applyBorder="1"/>
    <xf numFmtId="37" fontId="4" fillId="0" borderId="1" xfId="0" applyNumberFormat="1" applyFont="1" applyBorder="1" applyProtection="1"/>
    <xf numFmtId="37" fontId="4" fillId="0" borderId="6" xfId="0" applyNumberFormat="1" applyFont="1" applyBorder="1" applyProtection="1"/>
    <xf numFmtId="37" fontId="3" fillId="0" borderId="17" xfId="0" applyFont="1" applyBorder="1" applyAlignment="1">
      <alignment vertical="top"/>
    </xf>
    <xf numFmtId="37" fontId="4" fillId="0" borderId="13" xfId="0" applyFont="1" applyBorder="1" applyAlignment="1">
      <alignment horizontal="right" textRotation="180"/>
    </xf>
    <xf numFmtId="170" fontId="4" fillId="0" borderId="0" xfId="0" applyNumberFormat="1" applyFont="1" applyProtection="1"/>
    <xf numFmtId="49" fontId="8" fillId="0" borderId="0" xfId="0" applyNumberFormat="1" applyFont="1"/>
    <xf numFmtId="37" fontId="4" fillId="0" borderId="13" xfId="0" applyNumberFormat="1" applyFont="1" applyBorder="1" applyProtection="1"/>
    <xf numFmtId="37" fontId="4" fillId="0" borderId="0" xfId="0" applyNumberFormat="1" applyFont="1" applyProtection="1"/>
    <xf numFmtId="37" fontId="4" fillId="0" borderId="18" xfId="0" applyFont="1" applyBorder="1"/>
    <xf numFmtId="37" fontId="3" fillId="0" borderId="19" xfId="0" applyFont="1" applyBorder="1"/>
    <xf numFmtId="170" fontId="3" fillId="0" borderId="20" xfId="0" applyNumberFormat="1" applyFont="1" applyBorder="1" applyProtection="1"/>
    <xf numFmtId="170" fontId="3" fillId="0" borderId="19" xfId="0" applyNumberFormat="1" applyFont="1" applyBorder="1" applyProtection="1"/>
    <xf numFmtId="170" fontId="3" fillId="0" borderId="15" xfId="0" applyNumberFormat="1" applyFont="1" applyBorder="1" applyProtection="1"/>
    <xf numFmtId="170" fontId="4" fillId="0" borderId="15" xfId="0" applyNumberFormat="1" applyFont="1" applyBorder="1"/>
    <xf numFmtId="39" fontId="4" fillId="0" borderId="0" xfId="0" applyNumberFormat="1" applyFont="1"/>
    <xf numFmtId="37" fontId="4" fillId="3" borderId="2" xfId="0" applyFont="1" applyFill="1" applyBorder="1" applyAlignment="1">
      <alignment horizontal="center"/>
    </xf>
    <xf numFmtId="37" fontId="4" fillId="3" borderId="3" xfId="0" applyFont="1" applyFill="1" applyBorder="1"/>
    <xf numFmtId="37" fontId="3" fillId="0" borderId="7" xfId="0" applyFont="1" applyBorder="1"/>
    <xf numFmtId="37" fontId="3" fillId="3" borderId="1" xfId="0" applyFont="1" applyFill="1" applyBorder="1"/>
    <xf numFmtId="37" fontId="3" fillId="3" borderId="0" xfId="0" applyFont="1" applyFill="1"/>
    <xf numFmtId="37" fontId="4" fillId="3" borderId="2" xfId="0" applyFont="1" applyFill="1" applyBorder="1" applyAlignment="1"/>
    <xf numFmtId="37" fontId="3" fillId="3" borderId="3" xfId="0" applyFont="1" applyFill="1" applyBorder="1" applyAlignment="1" applyProtection="1">
      <alignment horizontal="centerContinuous" vertical="center"/>
    </xf>
    <xf numFmtId="37" fontId="4" fillId="3" borderId="3" xfId="0" applyFont="1" applyFill="1" applyBorder="1" applyAlignment="1"/>
    <xf numFmtId="37" fontId="3" fillId="3" borderId="5" xfId="0" applyFont="1" applyFill="1" applyBorder="1" applyAlignment="1">
      <alignment horizontal="centerContinuous"/>
    </xf>
    <xf numFmtId="37" fontId="3" fillId="0" borderId="10" xfId="0" applyFont="1" applyBorder="1" applyAlignment="1">
      <alignment horizontal="centerContinuous"/>
    </xf>
    <xf numFmtId="37" fontId="4" fillId="0" borderId="0" xfId="0" applyFont="1" applyAlignment="1">
      <alignment horizontal="centerContinuous"/>
    </xf>
    <xf numFmtId="167" fontId="4" fillId="0" borderId="0" xfId="0" applyNumberFormat="1" applyFont="1" applyAlignment="1" applyProtection="1">
      <alignment horizontal="centerContinuous"/>
    </xf>
    <xf numFmtId="37" fontId="4" fillId="3" borderId="2" xfId="0" applyFont="1" applyFill="1" applyBorder="1" applyAlignment="1">
      <alignment horizontal="right"/>
    </xf>
    <xf numFmtId="37" fontId="3" fillId="0" borderId="9" xfId="0" applyFont="1" applyBorder="1"/>
    <xf numFmtId="37" fontId="3" fillId="0" borderId="9" xfId="0" applyFont="1" applyBorder="1" applyAlignment="1">
      <alignment horizontal="center"/>
    </xf>
    <xf numFmtId="37" fontId="3" fillId="4" borderId="1" xfId="0" applyFont="1" applyFill="1" applyBorder="1" applyAlignment="1">
      <alignment horizontal="center"/>
    </xf>
    <xf numFmtId="37" fontId="4" fillId="4" borderId="0" xfId="0" applyFont="1" applyFill="1" applyBorder="1"/>
    <xf numFmtId="167" fontId="4" fillId="5" borderId="0" xfId="0" applyNumberFormat="1" applyFont="1" applyFill="1" applyBorder="1" applyProtection="1"/>
    <xf numFmtId="167" fontId="3" fillId="5" borderId="0" xfId="0" applyNumberFormat="1" applyFont="1" applyFill="1" applyBorder="1" applyProtection="1"/>
    <xf numFmtId="167" fontId="4" fillId="0" borderId="11" xfId="0" applyNumberFormat="1" applyFont="1" applyBorder="1" applyAlignment="1" applyProtection="1">
      <alignment horizontal="right"/>
    </xf>
    <xf numFmtId="37" fontId="3" fillId="0" borderId="15" xfId="0" applyFont="1" applyBorder="1" applyAlignment="1">
      <alignment horizontal="centerContinuous"/>
    </xf>
    <xf numFmtId="37" fontId="4" fillId="0" borderId="15" xfId="0" applyFont="1" applyBorder="1" applyAlignment="1">
      <alignment horizontal="centerContinuous"/>
    </xf>
    <xf numFmtId="37" fontId="4" fillId="0" borderId="15" xfId="0" applyFont="1" applyBorder="1" applyAlignment="1"/>
    <xf numFmtId="37" fontId="4" fillId="0" borderId="15" xfId="0" applyFont="1" applyBorder="1" applyAlignment="1">
      <alignment horizontal="right"/>
    </xf>
    <xf numFmtId="37" fontId="3" fillId="0" borderId="0" xfId="0" applyFont="1" applyAlignment="1">
      <alignment horizontal="centerContinuous"/>
    </xf>
    <xf numFmtId="37" fontId="3" fillId="0" borderId="18" xfId="0" applyFont="1" applyBorder="1" applyAlignment="1">
      <alignment horizontal="centerContinuous"/>
    </xf>
    <xf numFmtId="37" fontId="4" fillId="0" borderId="19" xfId="0" applyFont="1" applyBorder="1" applyAlignment="1">
      <alignment horizontal="centerContinuous"/>
    </xf>
    <xf numFmtId="37" fontId="3" fillId="3" borderId="23" xfId="0" applyFont="1" applyFill="1" applyBorder="1" applyAlignment="1">
      <alignment horizontal="center"/>
    </xf>
    <xf numFmtId="37" fontId="3" fillId="3" borderId="12" xfId="0" applyFont="1" applyFill="1" applyBorder="1" applyAlignment="1">
      <alignment horizontal="centerContinuous"/>
    </xf>
    <xf numFmtId="37" fontId="3" fillId="3" borderId="9" xfId="0" applyFont="1" applyFill="1" applyBorder="1" applyAlignment="1">
      <alignment horizontal="centerContinuous"/>
    </xf>
    <xf numFmtId="37" fontId="4" fillId="0" borderId="2" xfId="0" applyFont="1" applyBorder="1"/>
    <xf numFmtId="170" fontId="4" fillId="3" borderId="7" xfId="0" applyNumberFormat="1" applyFont="1" applyFill="1" applyBorder="1" applyProtection="1"/>
    <xf numFmtId="37" fontId="4" fillId="3" borderId="21" xfId="0" applyFont="1" applyFill="1" applyBorder="1"/>
    <xf numFmtId="170" fontId="4" fillId="3" borderId="21" xfId="0" applyNumberFormat="1" applyFont="1" applyFill="1" applyBorder="1" applyProtection="1"/>
    <xf numFmtId="37" fontId="4" fillId="0" borderId="21" xfId="0" applyFont="1" applyBorder="1"/>
    <xf numFmtId="170" fontId="4" fillId="0" borderId="21" xfId="0" applyNumberFormat="1" applyFont="1" applyBorder="1" applyProtection="1"/>
    <xf numFmtId="170" fontId="4" fillId="0" borderId="21" xfId="0" applyNumberFormat="1" applyFont="1" applyBorder="1"/>
    <xf numFmtId="37" fontId="4" fillId="0" borderId="8" xfId="0" applyFont="1" applyBorder="1" applyAlignment="1">
      <alignment horizontal="left"/>
    </xf>
    <xf numFmtId="170" fontId="4" fillId="0" borderId="8" xfId="0" applyNumberFormat="1" applyFont="1" applyBorder="1" applyProtection="1"/>
    <xf numFmtId="37" fontId="3" fillId="0" borderId="23" xfId="0" applyFont="1" applyFill="1" applyBorder="1"/>
    <xf numFmtId="37" fontId="4" fillId="0" borderId="21" xfId="0" applyNumberFormat="1" applyFont="1" applyBorder="1" applyProtection="1"/>
    <xf numFmtId="37" fontId="4" fillId="0" borderId="21" xfId="0" quotePrefix="1" applyFont="1" applyBorder="1" applyAlignment="1">
      <alignment horizontal="left"/>
    </xf>
    <xf numFmtId="37" fontId="4" fillId="0" borderId="8" xfId="0" applyFont="1" applyBorder="1"/>
    <xf numFmtId="37" fontId="3" fillId="0" borderId="7" xfId="0" applyFont="1" applyFill="1" applyBorder="1"/>
    <xf numFmtId="37" fontId="4" fillId="0" borderId="8" xfId="0" applyNumberFormat="1" applyFont="1" applyBorder="1" applyProtection="1"/>
    <xf numFmtId="170" fontId="3" fillId="0" borderId="23" xfId="0" applyNumberFormat="1" applyFont="1" applyFill="1" applyBorder="1"/>
    <xf numFmtId="166" fontId="4" fillId="0" borderId="0" xfId="0" applyNumberFormat="1" applyFont="1" applyProtection="1"/>
    <xf numFmtId="49" fontId="4" fillId="0" borderId="0" xfId="0" applyNumberFormat="1" applyFont="1"/>
    <xf numFmtId="37" fontId="4" fillId="0" borderId="0" xfId="0" applyFont="1" applyAlignment="1">
      <alignment horizontal="right"/>
    </xf>
    <xf numFmtId="37" fontId="4" fillId="0" borderId="0" xfId="0" applyNumberFormat="1" applyFont="1" applyAlignment="1" applyProtection="1">
      <alignment horizontal="right"/>
    </xf>
    <xf numFmtId="49" fontId="4" fillId="0" borderId="0" xfId="0" quotePrefix="1" applyNumberFormat="1" applyFont="1" applyBorder="1" applyAlignment="1">
      <alignment horizontal="left"/>
    </xf>
    <xf numFmtId="37" fontId="4" fillId="0" borderId="0" xfId="0" quotePrefix="1" applyFont="1" applyAlignment="1">
      <alignment horizontal="left"/>
    </xf>
    <xf numFmtId="165" fontId="4" fillId="0" borderId="2" xfId="0" applyNumberFormat="1" applyFont="1" applyBorder="1" applyAlignment="1" applyProtection="1">
      <alignment vertical="center"/>
    </xf>
    <xf numFmtId="37" fontId="4" fillId="0" borderId="24" xfId="0" applyFont="1" applyBorder="1" applyAlignment="1">
      <alignment horizontal="centerContinuous"/>
    </xf>
    <xf numFmtId="37" fontId="5" fillId="0" borderId="2" xfId="0" applyFont="1" applyBorder="1" applyProtection="1">
      <protection locked="0"/>
    </xf>
    <xf numFmtId="165" fontId="4" fillId="0" borderId="3" xfId="0" applyNumberFormat="1" applyFont="1" applyBorder="1" applyAlignment="1" applyProtection="1">
      <alignment vertical="center"/>
    </xf>
    <xf numFmtId="37" fontId="5" fillId="0" borderId="3" xfId="0" applyFont="1" applyBorder="1" applyProtection="1">
      <protection locked="0"/>
    </xf>
    <xf numFmtId="37" fontId="3" fillId="3" borderId="6" xfId="0" applyFont="1" applyFill="1" applyBorder="1" applyAlignment="1">
      <alignment horizontal="centerContinuous"/>
    </xf>
    <xf numFmtId="37" fontId="3" fillId="3" borderId="6" xfId="0" applyFont="1" applyFill="1" applyBorder="1"/>
    <xf numFmtId="170" fontId="4" fillId="0" borderId="1" xfId="0" applyNumberFormat="1" applyFont="1" applyBorder="1"/>
    <xf numFmtId="170" fontId="4" fillId="0" borderId="0" xfId="0" applyNumberFormat="1" applyFont="1"/>
    <xf numFmtId="37" fontId="4" fillId="0" borderId="24" xfId="0" applyFont="1" applyBorder="1" applyAlignment="1"/>
    <xf numFmtId="37" fontId="4" fillId="3" borderId="2" xfId="0" applyFont="1" applyFill="1" applyBorder="1" applyAlignment="1">
      <alignment horizontal="centerContinuous" vertical="center"/>
    </xf>
    <xf numFmtId="37" fontId="4" fillId="3" borderId="3" xfId="0" applyFont="1" applyFill="1" applyBorder="1" applyAlignment="1">
      <alignment horizontal="centerContinuous" vertical="center"/>
    </xf>
    <xf numFmtId="37" fontId="4" fillId="0" borderId="11" xfId="0" applyFont="1" applyBorder="1" applyAlignment="1">
      <alignment horizontal="centerContinuous"/>
    </xf>
    <xf numFmtId="39" fontId="4" fillId="0" borderId="1" xfId="0" applyNumberFormat="1" applyFont="1" applyBorder="1"/>
    <xf numFmtId="0" fontId="4" fillId="3" borderId="2" xfId="0" applyNumberFormat="1" applyFont="1" applyFill="1" applyBorder="1" applyAlignment="1"/>
    <xf numFmtId="0" fontId="4" fillId="3" borderId="3" xfId="0" applyNumberFormat="1" applyFont="1" applyFill="1" applyBorder="1" applyAlignment="1"/>
    <xf numFmtId="37" fontId="4" fillId="3" borderId="6" xfId="0" applyFont="1" applyFill="1" applyBorder="1"/>
    <xf numFmtId="39" fontId="4" fillId="0" borderId="0" xfId="0" applyNumberFormat="1" applyFont="1" applyProtection="1"/>
    <xf numFmtId="37" fontId="4" fillId="3" borderId="2" xfId="0" applyFont="1" applyFill="1" applyBorder="1" applyAlignment="1">
      <alignment horizontal="right" vertical="center"/>
    </xf>
    <xf numFmtId="37" fontId="3" fillId="0" borderId="19" xfId="0" applyFont="1" applyBorder="1" applyAlignment="1">
      <alignment horizontal="centerContinuous"/>
    </xf>
    <xf numFmtId="165" fontId="4" fillId="0" borderId="2" xfId="0" applyNumberFormat="1" applyFont="1" applyBorder="1" applyAlignment="1" applyProtection="1">
      <alignment horizontal="centerContinuous"/>
    </xf>
    <xf numFmtId="165" fontId="4" fillId="0" borderId="3" xfId="0" applyNumberFormat="1" applyFont="1" applyBorder="1" applyAlignment="1" applyProtection="1">
      <alignment horizontal="centerContinuous"/>
    </xf>
    <xf numFmtId="37" fontId="3" fillId="0" borderId="20" xfId="0" applyFont="1" applyBorder="1" applyAlignment="1">
      <alignment horizontal="centerContinuous"/>
    </xf>
    <xf numFmtId="10" fontId="4" fillId="3" borderId="2" xfId="0" applyNumberFormat="1" applyFont="1" applyFill="1" applyBorder="1" applyAlignment="1" applyProtection="1">
      <alignment horizontal="centerContinuous"/>
    </xf>
    <xf numFmtId="37" fontId="4" fillId="3" borderId="3" xfId="0" applyFont="1" applyFill="1" applyBorder="1" applyAlignment="1" applyProtection="1">
      <alignment horizontal="centerContinuous"/>
      <protection locked="0"/>
    </xf>
    <xf numFmtId="37" fontId="3" fillId="3" borderId="15" xfId="0" applyFont="1" applyFill="1" applyBorder="1" applyProtection="1"/>
    <xf numFmtId="37" fontId="4" fillId="3" borderId="15" xfId="0" applyFont="1" applyFill="1" applyBorder="1" applyProtection="1"/>
    <xf numFmtId="37" fontId="4" fillId="3" borderId="19" xfId="0" applyFont="1" applyFill="1" applyBorder="1" applyProtection="1"/>
    <xf numFmtId="37" fontId="3" fillId="3" borderId="5" xfId="0" applyFont="1" applyFill="1" applyBorder="1" applyProtection="1"/>
    <xf numFmtId="37" fontId="3" fillId="3" borderId="1" xfId="0" applyFont="1" applyFill="1" applyBorder="1" applyProtection="1"/>
    <xf numFmtId="37" fontId="3" fillId="3" borderId="1" xfId="0" applyFont="1" applyFill="1" applyBorder="1" applyAlignment="1" applyProtection="1">
      <alignment horizontal="centerContinuous"/>
    </xf>
    <xf numFmtId="37" fontId="3" fillId="0" borderId="9" xfId="0" applyFont="1" applyBorder="1" applyAlignment="1" applyProtection="1">
      <alignment horizontal="centerContinuous"/>
    </xf>
    <xf numFmtId="37" fontId="4" fillId="0" borderId="0" xfId="0" applyFont="1" applyBorder="1"/>
    <xf numFmtId="37" fontId="4" fillId="0" borderId="0" xfId="0" applyNumberFormat="1" applyFont="1" applyAlignment="1" applyProtection="1">
      <alignment horizontal="centerContinuous"/>
    </xf>
    <xf numFmtId="37" fontId="4" fillId="3" borderId="2" xfId="0" applyFont="1" applyFill="1" applyBorder="1" applyAlignment="1" applyProtection="1"/>
    <xf numFmtId="37" fontId="4" fillId="3" borderId="3" xfId="0" applyFont="1" applyFill="1" applyBorder="1" applyAlignment="1" applyProtection="1"/>
    <xf numFmtId="37" fontId="4" fillId="3" borderId="3" xfId="0" applyFont="1" applyFill="1" applyBorder="1" applyAlignment="1" applyProtection="1">
      <alignment horizontal="center"/>
    </xf>
    <xf numFmtId="37" fontId="3" fillId="3" borderId="6" xfId="0" applyFont="1" applyFill="1" applyBorder="1" applyProtection="1"/>
    <xf numFmtId="37" fontId="4" fillId="0" borderId="6" xfId="0" applyFont="1" applyBorder="1" applyProtection="1"/>
    <xf numFmtId="170" fontId="4" fillId="0" borderId="13" xfId="0" applyNumberFormat="1" applyFont="1" applyBorder="1" applyAlignment="1">
      <alignment vertical="center"/>
    </xf>
    <xf numFmtId="174" fontId="4" fillId="0" borderId="25" xfId="0" applyNumberFormat="1" applyFont="1" applyBorder="1" applyAlignment="1">
      <alignment vertical="center"/>
    </xf>
    <xf numFmtId="174" fontId="4" fillId="0" borderId="0" xfId="0" applyNumberFormat="1" applyFont="1" applyAlignment="1">
      <alignment vertical="center"/>
    </xf>
    <xf numFmtId="37" fontId="3" fillId="3" borderId="6" xfId="0" applyFont="1" applyFill="1" applyBorder="1" applyAlignment="1" applyProtection="1">
      <alignment horizontal="centerContinuous"/>
    </xf>
    <xf numFmtId="37" fontId="3" fillId="3" borderId="3" xfId="0" applyFont="1" applyFill="1" applyBorder="1" applyAlignment="1" applyProtection="1">
      <alignment horizontal="centerContinuous" vertical="center"/>
      <protection locked="0"/>
    </xf>
    <xf numFmtId="37" fontId="3" fillId="3" borderId="1" xfId="0" applyFont="1" applyFill="1" applyBorder="1" applyAlignment="1">
      <alignment horizontal="centerContinuous"/>
    </xf>
    <xf numFmtId="165" fontId="4" fillId="0" borderId="2" xfId="0" applyNumberFormat="1" applyFont="1" applyBorder="1" applyAlignment="1" applyProtection="1">
      <alignment horizontal="centerContinuous" vertical="center"/>
    </xf>
    <xf numFmtId="37" fontId="4" fillId="0" borderId="24" xfId="0" applyFont="1" applyBorder="1" applyAlignment="1">
      <alignment horizontal="centerContinuous" vertical="center"/>
    </xf>
    <xf numFmtId="165" fontId="4" fillId="0" borderId="3" xfId="0" applyNumberFormat="1" applyFont="1" applyBorder="1" applyAlignment="1" applyProtection="1">
      <alignment horizontal="centerContinuous" vertical="center"/>
    </xf>
    <xf numFmtId="165" fontId="4" fillId="0" borderId="0" xfId="0" applyNumberFormat="1" applyFont="1" applyBorder="1" applyProtection="1"/>
    <xf numFmtId="37" fontId="3" fillId="3" borderId="18" xfId="0" applyFont="1" applyFill="1" applyBorder="1" applyAlignment="1">
      <alignment horizontal="centerContinuous"/>
    </xf>
    <xf numFmtId="165" fontId="5" fillId="0" borderId="0" xfId="0" applyNumberFormat="1" applyFont="1" applyProtection="1">
      <protection locked="0"/>
    </xf>
    <xf numFmtId="165" fontId="4" fillId="0" borderId="15" xfId="0" applyNumberFormat="1" applyFont="1" applyBorder="1" applyAlignment="1" applyProtection="1">
      <alignment vertical="center"/>
    </xf>
    <xf numFmtId="37" fontId="3" fillId="3" borderId="15" xfId="0" quotePrefix="1" applyFont="1" applyFill="1" applyBorder="1" applyAlignment="1" applyProtection="1">
      <alignment horizontal="centerContinuous" vertical="center"/>
    </xf>
    <xf numFmtId="37" fontId="4" fillId="0" borderId="15" xfId="0" applyFont="1" applyBorder="1" applyAlignment="1">
      <alignment horizontal="right" vertical="center"/>
    </xf>
    <xf numFmtId="37" fontId="3" fillId="0" borderId="4" xfId="0" applyFont="1" applyBorder="1" applyAlignment="1">
      <alignment horizontal="center"/>
    </xf>
    <xf numFmtId="37" fontId="4" fillId="0" borderId="0" xfId="0" applyFont="1" applyAlignment="1">
      <alignment wrapText="1"/>
    </xf>
    <xf numFmtId="37" fontId="4" fillId="0" borderId="15" xfId="0" applyFont="1" applyBorder="1" applyAlignment="1">
      <alignment vertical="center"/>
    </xf>
    <xf numFmtId="37" fontId="3" fillId="3" borderId="20" xfId="0" applyFont="1" applyFill="1" applyBorder="1" applyAlignment="1">
      <alignment horizontal="centerContinuous"/>
    </xf>
    <xf numFmtId="37" fontId="4" fillId="0" borderId="15" xfId="0" applyFont="1" applyBorder="1" applyAlignment="1">
      <alignment horizontal="left" vertical="center"/>
    </xf>
    <xf numFmtId="37" fontId="4" fillId="0" borderId="15" xfId="0" applyFont="1" applyBorder="1" applyAlignment="1">
      <alignment horizontal="left"/>
    </xf>
    <xf numFmtId="49" fontId="4" fillId="0" borderId="0" xfId="2" applyNumberFormat="1" applyFont="1"/>
    <xf numFmtId="37" fontId="3" fillId="0" borderId="2" xfId="0" applyFont="1" applyBorder="1" applyAlignment="1">
      <alignment horizontal="centerContinuous" vertical="center"/>
    </xf>
    <xf numFmtId="37" fontId="4" fillId="0" borderId="2" xfId="0" applyFont="1" applyBorder="1" applyAlignment="1">
      <alignment horizontal="centerContinuous" vertical="center"/>
    </xf>
    <xf numFmtId="37" fontId="3" fillId="0" borderId="3" xfId="0" applyFont="1" applyBorder="1" applyAlignment="1">
      <alignment horizontal="centerContinuous" vertical="center"/>
    </xf>
    <xf numFmtId="37" fontId="4" fillId="0" borderId="3" xfId="0" applyFont="1" applyBorder="1" applyAlignment="1">
      <alignment horizontal="centerContinuous" vertical="center"/>
    </xf>
    <xf numFmtId="37" fontId="10" fillId="0" borderId="3" xfId="0" applyFont="1" applyBorder="1" applyAlignment="1">
      <alignment horizontal="centerContinuous" vertical="center"/>
    </xf>
    <xf numFmtId="49" fontId="3" fillId="0" borderId="9" xfId="0" applyNumberFormat="1" applyFont="1" applyBorder="1"/>
    <xf numFmtId="167" fontId="4" fillId="0" borderId="0" xfId="0" applyNumberFormat="1" applyFont="1"/>
    <xf numFmtId="173" fontId="4" fillId="0" borderId="1" xfId="0" applyNumberFormat="1" applyFont="1" applyBorder="1"/>
    <xf numFmtId="172" fontId="4" fillId="0" borderId="0" xfId="0" applyNumberFormat="1" applyFont="1"/>
    <xf numFmtId="173" fontId="4" fillId="0" borderId="0" xfId="0" applyNumberFormat="1" applyFont="1"/>
    <xf numFmtId="165" fontId="4" fillId="0" borderId="0" xfId="0" applyNumberFormat="1" applyFont="1" applyAlignment="1" applyProtection="1">
      <alignment horizontal="right"/>
    </xf>
    <xf numFmtId="37" fontId="4" fillId="0" borderId="0" xfId="0" applyFont="1" applyAlignment="1">
      <alignment horizontal="center"/>
    </xf>
    <xf numFmtId="37" fontId="4" fillId="0" borderId="30" xfId="0" applyFont="1" applyBorder="1"/>
    <xf numFmtId="37" fontId="4" fillId="0" borderId="27" xfId="0" applyFont="1" applyBorder="1"/>
    <xf numFmtId="0" fontId="4" fillId="0" borderId="0" xfId="0" applyNumberFormat="1" applyFont="1" applyAlignment="1">
      <alignment horizontal="center"/>
    </xf>
    <xf numFmtId="37" fontId="4" fillId="3" borderId="0" xfId="0" applyFont="1" applyFill="1" applyAlignment="1">
      <alignment horizontal="left"/>
    </xf>
    <xf numFmtId="37" fontId="4" fillId="0" borderId="0" xfId="0" quotePrefix="1" applyFont="1" applyAlignment="1">
      <alignment horizontal="center"/>
    </xf>
    <xf numFmtId="37" fontId="3" fillId="0" borderId="21" xfId="0" applyFont="1" applyBorder="1" applyAlignment="1">
      <alignment horizontal="center" vertical="center"/>
    </xf>
    <xf numFmtId="164" fontId="4" fillId="0" borderId="0" xfId="2" applyFont="1" applyAlignment="1">
      <alignment horizontal="left"/>
    </xf>
    <xf numFmtId="37" fontId="4" fillId="0" borderId="2" xfId="0" applyFont="1" applyBorder="1" applyAlignment="1">
      <alignment horizontal="centerContinuous"/>
    </xf>
    <xf numFmtId="37" fontId="4" fillId="0" borderId="2" xfId="0" applyFont="1" applyBorder="1" applyAlignment="1"/>
    <xf numFmtId="37" fontId="4" fillId="0" borderId="3" xfId="0" applyFont="1" applyBorder="1" applyAlignment="1">
      <alignment horizontal="centerContinuous"/>
    </xf>
    <xf numFmtId="37" fontId="4" fillId="0" borderId="3" xfId="0" applyFont="1" applyBorder="1" applyAlignment="1"/>
    <xf numFmtId="37" fontId="4" fillId="0" borderId="11" xfId="0" applyFont="1" applyBorder="1" applyAlignment="1">
      <alignment vertical="center"/>
    </xf>
    <xf numFmtId="37" fontId="4" fillId="0" borderId="0" xfId="0" quotePrefix="1" applyFont="1" applyBorder="1" applyAlignment="1">
      <alignment horizontal="centerContinuous"/>
    </xf>
    <xf numFmtId="49" fontId="3" fillId="5" borderId="20" xfId="0" applyNumberFormat="1" applyFont="1" applyFill="1" applyBorder="1" applyAlignment="1">
      <alignment horizontal="center"/>
    </xf>
    <xf numFmtId="37" fontId="3" fillId="3" borderId="15" xfId="0" applyFont="1" applyFill="1" applyBorder="1" applyAlignment="1">
      <alignment horizontal="centerContinuous" vertical="center"/>
    </xf>
    <xf numFmtId="37" fontId="3" fillId="3" borderId="0" xfId="0" applyFont="1" applyFill="1" applyBorder="1" applyAlignment="1">
      <alignment horizontal="centerContinuous" vertical="center"/>
    </xf>
    <xf numFmtId="37" fontId="4" fillId="3" borderId="0" xfId="0" applyFont="1" applyFill="1" applyBorder="1" applyAlignment="1">
      <alignment horizontal="centerContinuous"/>
    </xf>
    <xf numFmtId="37" fontId="4" fillId="3" borderId="0" xfId="0" quotePrefix="1" applyFont="1" applyFill="1" applyBorder="1" applyAlignment="1">
      <alignment horizontal="right"/>
    </xf>
    <xf numFmtId="37" fontId="4" fillId="0" borderId="0" xfId="0" applyFont="1" applyBorder="1" applyAlignment="1">
      <alignment vertical="center"/>
    </xf>
    <xf numFmtId="37" fontId="3" fillId="0" borderId="31" xfId="0" applyFont="1" applyBorder="1" applyAlignment="1">
      <alignment horizontal="center"/>
    </xf>
    <xf numFmtId="37" fontId="4" fillId="0" borderId="7" xfId="0" applyFont="1" applyBorder="1"/>
    <xf numFmtId="37" fontId="3" fillId="0" borderId="21" xfId="0" applyFont="1" applyBorder="1" applyAlignment="1">
      <alignment horizontal="center"/>
    </xf>
    <xf numFmtId="49" fontId="4" fillId="0" borderId="0" xfId="0" applyNumberFormat="1" applyFont="1" applyBorder="1" applyAlignment="1">
      <alignment horizontal="left"/>
    </xf>
    <xf numFmtId="37" fontId="4" fillId="3" borderId="0" xfId="0" applyFont="1" applyFill="1" applyBorder="1" applyAlignment="1">
      <alignment horizontal="right"/>
    </xf>
    <xf numFmtId="165" fontId="4" fillId="0" borderId="15" xfId="0" applyNumberFormat="1" applyFont="1" applyBorder="1" applyProtection="1"/>
    <xf numFmtId="37" fontId="4" fillId="0" borderId="15" xfId="0" applyFont="1" applyBorder="1" applyAlignment="1">
      <alignment horizontal="centerContinuous" vertical="center"/>
    </xf>
    <xf numFmtId="165" fontId="4" fillId="0" borderId="0" xfId="0" applyNumberFormat="1" applyFont="1" applyAlignment="1" applyProtection="1">
      <alignment horizontal="centerContinuous"/>
    </xf>
    <xf numFmtId="37" fontId="5" fillId="0" borderId="15" xfId="0" applyFont="1" applyBorder="1" applyAlignment="1" applyProtection="1">
      <alignment horizontal="centerContinuous" vertical="center"/>
      <protection locked="0"/>
    </xf>
    <xf numFmtId="0" fontId="4" fillId="0" borderId="0" xfId="2" applyNumberFormat="1" applyFont="1" applyAlignment="1"/>
    <xf numFmtId="37" fontId="4" fillId="0" borderId="0" xfId="0" quotePrefix="1" applyFont="1" applyAlignment="1"/>
    <xf numFmtId="37" fontId="3" fillId="0" borderId="27" xfId="0" applyFont="1" applyBorder="1" applyAlignment="1">
      <alignment horizontal="centerContinuous" vertical="center"/>
    </xf>
    <xf numFmtId="37" fontId="4" fillId="0" borderId="27" xfId="0" applyFont="1" applyBorder="1" applyAlignment="1">
      <alignment horizontal="centerContinuous" vertical="center"/>
    </xf>
    <xf numFmtId="37" fontId="5" fillId="0" borderId="15" xfId="0" applyFont="1" applyBorder="1" applyAlignment="1" applyProtection="1">
      <alignment vertical="center"/>
      <protection locked="0"/>
    </xf>
    <xf numFmtId="37" fontId="3" fillId="0" borderId="1" xfId="0" applyFont="1" applyBorder="1"/>
    <xf numFmtId="49" fontId="4" fillId="0" borderId="0" xfId="0" applyNumberFormat="1" applyFont="1" applyBorder="1" applyAlignment="1">
      <alignment vertical="center"/>
    </xf>
    <xf numFmtId="170" fontId="4" fillId="0" borderId="0" xfId="0" applyNumberFormat="1" applyFont="1" applyBorder="1"/>
    <xf numFmtId="165" fontId="4" fillId="0" borderId="24" xfId="0" applyNumberFormat="1" applyFont="1" applyBorder="1" applyAlignment="1" applyProtection="1">
      <alignment vertical="center"/>
    </xf>
    <xf numFmtId="37" fontId="3" fillId="0" borderId="24" xfId="0" applyFont="1" applyBorder="1" applyAlignment="1">
      <alignment horizontal="centerContinuous" vertical="center"/>
    </xf>
    <xf numFmtId="165" fontId="4" fillId="0" borderId="11" xfId="0" applyNumberFormat="1" applyFont="1" applyBorder="1" applyAlignment="1" applyProtection="1">
      <alignment vertical="center"/>
    </xf>
    <xf numFmtId="37" fontId="4" fillId="0" borderId="11" xfId="0" applyFont="1" applyBorder="1" applyAlignment="1"/>
    <xf numFmtId="37" fontId="4" fillId="0" borderId="32" xfId="0" applyFont="1" applyBorder="1"/>
    <xf numFmtId="166" fontId="4" fillId="0" borderId="0" xfId="6" applyNumberFormat="1" applyFont="1" applyBorder="1"/>
    <xf numFmtId="37" fontId="4" fillId="0" borderId="0" xfId="0" applyNumberFormat="1" applyFont="1"/>
    <xf numFmtId="170" fontId="4" fillId="0" borderId="1" xfId="0" applyNumberFormat="1" applyFont="1" applyBorder="1" applyAlignment="1">
      <alignment horizontal="right"/>
    </xf>
    <xf numFmtId="37" fontId="3" fillId="0" borderId="33" xfId="0" applyFont="1" applyBorder="1"/>
    <xf numFmtId="37" fontId="3" fillId="0" borderId="34" xfId="0" applyFont="1" applyBorder="1"/>
    <xf numFmtId="37" fontId="3" fillId="0" borderId="7" xfId="0" applyFont="1" applyFill="1" applyBorder="1" applyAlignment="1">
      <alignment horizontal="centerContinuous" vertical="center"/>
    </xf>
    <xf numFmtId="37" fontId="3" fillId="0" borderId="8" xfId="0" applyFont="1" applyFill="1" applyBorder="1" applyAlignment="1">
      <alignment horizontal="centerContinuous"/>
    </xf>
    <xf numFmtId="37" fontId="3" fillId="0" borderId="7" xfId="0" applyFont="1" applyFill="1" applyBorder="1" applyAlignment="1">
      <alignment vertical="center"/>
    </xf>
    <xf numFmtId="37" fontId="3" fillId="0" borderId="21" xfId="0" applyFont="1" applyFill="1" applyBorder="1" applyAlignment="1"/>
    <xf numFmtId="37" fontId="11" fillId="3" borderId="0" xfId="0" applyFont="1" applyFill="1" applyAlignment="1">
      <alignment horizontal="centerContinuous"/>
    </xf>
    <xf numFmtId="49" fontId="7" fillId="0" borderId="0" xfId="0" applyNumberFormat="1" applyFont="1" applyAlignment="1">
      <alignment horizontal="right"/>
    </xf>
    <xf numFmtId="37" fontId="11" fillId="0" borderId="0" xfId="0" applyFont="1" applyAlignment="1">
      <alignment horizontal="centerContinuous"/>
    </xf>
    <xf numFmtId="37" fontId="12" fillId="0" borderId="17" xfId="0" applyFont="1" applyBorder="1" applyAlignment="1">
      <alignment horizontal="right" vertical="top" textRotation="180"/>
    </xf>
    <xf numFmtId="168" fontId="4" fillId="3" borderId="21" xfId="0" applyNumberFormat="1" applyFont="1" applyFill="1" applyBorder="1" applyProtection="1"/>
    <xf numFmtId="168" fontId="4" fillId="0" borderId="21" xfId="0" applyNumberFormat="1" applyFont="1" applyBorder="1" applyProtection="1"/>
    <xf numFmtId="168" fontId="4" fillId="0" borderId="8" xfId="0" applyNumberFormat="1" applyFont="1" applyBorder="1" applyProtection="1"/>
    <xf numFmtId="168" fontId="4" fillId="3" borderId="7" xfId="0" applyNumberFormat="1" applyFont="1" applyFill="1" applyBorder="1" applyProtection="1"/>
    <xf numFmtId="168" fontId="3" fillId="0" borderId="23" xfId="6" applyNumberFormat="1" applyFont="1" applyFill="1" applyBorder="1"/>
    <xf numFmtId="168" fontId="3" fillId="0" borderId="7" xfId="6" applyNumberFormat="1" applyFont="1" applyFill="1" applyBorder="1"/>
    <xf numFmtId="168" fontId="4" fillId="0" borderId="0" xfId="0" applyNumberFormat="1" applyFont="1" applyProtection="1"/>
    <xf numFmtId="168" fontId="4" fillId="0" borderId="0" xfId="6" applyNumberFormat="1" applyFont="1"/>
    <xf numFmtId="168" fontId="4" fillId="0" borderId="1" xfId="6" applyNumberFormat="1" applyFont="1" applyBorder="1"/>
    <xf numFmtId="37" fontId="3" fillId="6" borderId="16" xfId="0" applyFont="1" applyFill="1" applyBorder="1" applyAlignment="1">
      <alignment horizontal="centerContinuous"/>
    </xf>
    <xf numFmtId="37" fontId="3" fillId="6" borderId="2" xfId="0" applyFont="1" applyFill="1" applyBorder="1" applyAlignment="1">
      <alignment horizontal="centerContinuous"/>
    </xf>
    <xf numFmtId="37" fontId="3" fillId="6" borderId="5" xfId="0" applyFont="1" applyFill="1" applyBorder="1" applyAlignment="1">
      <alignment horizontal="centerContinuous"/>
    </xf>
    <xf numFmtId="49" fontId="4" fillId="6" borderId="1" xfId="0" applyNumberFormat="1" applyFont="1" applyFill="1" applyBorder="1" applyAlignment="1">
      <alignment vertical="center"/>
    </xf>
    <xf numFmtId="170" fontId="4" fillId="6" borderId="1" xfId="0" applyNumberFormat="1" applyFont="1" applyFill="1" applyBorder="1" applyAlignment="1">
      <alignment vertical="center"/>
    </xf>
    <xf numFmtId="168" fontId="4" fillId="6" borderId="1" xfId="6" applyNumberFormat="1" applyFont="1" applyFill="1" applyBorder="1"/>
    <xf numFmtId="49" fontId="3" fillId="6" borderId="20" xfId="2" applyNumberFormat="1" applyFont="1" applyFill="1" applyBorder="1" applyAlignment="1">
      <alignment vertical="center"/>
    </xf>
    <xf numFmtId="170" fontId="3" fillId="6" borderId="20" xfId="0" applyNumberFormat="1" applyFont="1" applyFill="1" applyBorder="1" applyAlignment="1">
      <alignment vertical="center"/>
    </xf>
    <xf numFmtId="168" fontId="3" fillId="6" borderId="20" xfId="6" applyNumberFormat="1" applyFont="1" applyFill="1" applyBorder="1"/>
    <xf numFmtId="37" fontId="4" fillId="6" borderId="16" xfId="0" applyFont="1" applyFill="1" applyBorder="1"/>
    <xf numFmtId="37" fontId="3" fillId="6" borderId="2" xfId="0" applyFont="1" applyFill="1" applyBorder="1"/>
    <xf numFmtId="37" fontId="4" fillId="6" borderId="5" xfId="0" applyFont="1" applyFill="1" applyBorder="1" applyAlignment="1">
      <alignment horizontal="centerContinuous"/>
    </xf>
    <xf numFmtId="37" fontId="4" fillId="6" borderId="2" xfId="0" applyFont="1" applyFill="1" applyBorder="1" applyAlignment="1">
      <alignment horizontal="centerContinuous"/>
    </xf>
    <xf numFmtId="37" fontId="3" fillId="7" borderId="23" xfId="0" applyFont="1" applyFill="1" applyBorder="1"/>
    <xf numFmtId="37" fontId="3" fillId="7" borderId="35" xfId="0" applyFont="1" applyFill="1" applyBorder="1"/>
    <xf numFmtId="37" fontId="3" fillId="6" borderId="18" xfId="0" applyFont="1" applyFill="1" applyBorder="1" applyAlignment="1">
      <alignment horizontal="centerContinuous"/>
    </xf>
    <xf numFmtId="37" fontId="3" fillId="6" borderId="4" xfId="0" applyFont="1" applyFill="1" applyBorder="1" applyAlignment="1">
      <alignment horizontal="centerContinuous"/>
    </xf>
    <xf numFmtId="37" fontId="3" fillId="6" borderId="9" xfId="0" applyFont="1" applyFill="1" applyBorder="1" applyAlignment="1">
      <alignment horizontal="centerContinuous"/>
    </xf>
    <xf numFmtId="37" fontId="3" fillId="6" borderId="30" xfId="0" applyFont="1" applyFill="1" applyBorder="1" applyAlignment="1">
      <alignment horizontal="centerContinuous"/>
    </xf>
    <xf numFmtId="37" fontId="3" fillId="6" borderId="27" xfId="0" applyFont="1" applyFill="1" applyBorder="1" applyAlignment="1">
      <alignment horizontal="centerContinuous"/>
    </xf>
    <xf numFmtId="37" fontId="3" fillId="6" borderId="28" xfId="0" applyFont="1" applyFill="1" applyBorder="1" applyAlignment="1">
      <alignment horizontal="centerContinuous"/>
    </xf>
    <xf numFmtId="37" fontId="3" fillId="6" borderId="36" xfId="0" applyFont="1" applyFill="1" applyBorder="1" applyAlignment="1">
      <alignment horizontal="center"/>
    </xf>
    <xf numFmtId="37" fontId="3" fillId="6" borderId="19" xfId="0" applyFont="1" applyFill="1" applyBorder="1" applyAlignment="1">
      <alignment horizontal="center"/>
    </xf>
    <xf numFmtId="37" fontId="3" fillId="6" borderId="20" xfId="0" applyFont="1" applyFill="1" applyBorder="1" applyAlignment="1">
      <alignment horizontal="center"/>
    </xf>
    <xf numFmtId="173" fontId="4" fillId="6" borderId="1" xfId="0" applyNumberFormat="1" applyFont="1" applyFill="1" applyBorder="1" applyAlignment="1">
      <alignment vertical="center"/>
    </xf>
    <xf numFmtId="173" fontId="3" fillId="6" borderId="20" xfId="0" applyNumberFormat="1" applyFont="1" applyFill="1" applyBorder="1" applyAlignment="1">
      <alignment vertical="center"/>
    </xf>
    <xf numFmtId="37" fontId="3" fillId="6" borderId="19" xfId="0" applyFont="1" applyFill="1" applyBorder="1" applyAlignment="1">
      <alignment horizontal="centerContinuous"/>
    </xf>
    <xf numFmtId="173" fontId="4" fillId="6" borderId="14" xfId="0" applyNumberFormat="1" applyFont="1" applyFill="1" applyBorder="1" applyAlignment="1">
      <alignment vertical="center"/>
    </xf>
    <xf numFmtId="173" fontId="4" fillId="6" borderId="6" xfId="0" applyNumberFormat="1" applyFont="1" applyFill="1" applyBorder="1" applyAlignment="1">
      <alignment vertical="center"/>
    </xf>
    <xf numFmtId="37" fontId="3" fillId="6" borderId="19" xfId="0" applyFont="1" applyFill="1" applyBorder="1" applyAlignment="1">
      <alignment horizontal="centerContinuous" vertical="center"/>
    </xf>
    <xf numFmtId="170" fontId="4" fillId="6" borderId="13" xfId="0" applyNumberFormat="1" applyFont="1" applyFill="1" applyBorder="1" applyAlignment="1">
      <alignment vertical="center"/>
    </xf>
    <xf numFmtId="174" fontId="4" fillId="6" borderId="25" xfId="0" applyNumberFormat="1" applyFont="1" applyFill="1" applyBorder="1" applyAlignment="1">
      <alignment vertical="center"/>
    </xf>
    <xf numFmtId="168" fontId="3" fillId="6" borderId="19" xfId="6" applyNumberFormat="1" applyFont="1" applyFill="1" applyBorder="1"/>
    <xf numFmtId="37" fontId="3" fillId="6" borderId="16" xfId="0" applyFont="1" applyFill="1" applyBorder="1" applyAlignment="1"/>
    <xf numFmtId="37" fontId="3" fillId="6" borderId="5" xfId="0" applyFont="1" applyFill="1" applyBorder="1" applyAlignment="1"/>
    <xf numFmtId="170" fontId="4" fillId="6" borderId="1" xfId="0" applyNumberFormat="1" applyFont="1" applyFill="1" applyBorder="1"/>
    <xf numFmtId="39" fontId="4" fillId="6" borderId="1" xfId="0" applyNumberFormat="1" applyFont="1" applyFill="1" applyBorder="1"/>
    <xf numFmtId="170" fontId="3" fillId="6" borderId="20" xfId="0" applyNumberFormat="1" applyFont="1" applyFill="1" applyBorder="1"/>
    <xf numFmtId="39" fontId="3" fillId="6" borderId="20" xfId="0" applyNumberFormat="1" applyFont="1" applyFill="1" applyBorder="1"/>
    <xf numFmtId="170" fontId="4" fillId="6" borderId="1" xfId="0" applyNumberFormat="1" applyFont="1" applyFill="1" applyBorder="1" applyAlignment="1">
      <alignment horizontal="right"/>
    </xf>
    <xf numFmtId="39" fontId="4" fillId="6" borderId="1" xfId="0" applyNumberFormat="1" applyFont="1" applyFill="1" applyBorder="1" applyAlignment="1">
      <alignment horizontal="right"/>
    </xf>
    <xf numFmtId="37" fontId="4" fillId="6" borderId="2" xfId="0" applyFont="1" applyFill="1" applyBorder="1"/>
    <xf numFmtId="37" fontId="3" fillId="6" borderId="33" xfId="0" applyFont="1" applyFill="1" applyBorder="1" applyAlignment="1">
      <alignment horizontal="left"/>
    </xf>
    <xf numFmtId="37" fontId="3" fillId="6" borderId="24" xfId="0" applyFont="1" applyFill="1" applyBorder="1" applyAlignment="1">
      <alignment horizontal="left"/>
    </xf>
    <xf numFmtId="37" fontId="3" fillId="6" borderId="38" xfId="0" applyFont="1" applyFill="1" applyBorder="1" applyAlignment="1">
      <alignment horizontal="left"/>
    </xf>
    <xf numFmtId="37" fontId="3" fillId="6" borderId="1" xfId="0" applyFont="1" applyFill="1" applyBorder="1" applyAlignment="1">
      <alignment horizontal="centerContinuous"/>
    </xf>
    <xf numFmtId="37" fontId="3" fillId="6" borderId="16" xfId="0" applyFont="1" applyFill="1" applyBorder="1"/>
    <xf numFmtId="37" fontId="3" fillId="6" borderId="0" xfId="0" applyFont="1" applyFill="1"/>
    <xf numFmtId="37" fontId="3" fillId="6" borderId="4" xfId="0" applyFont="1" applyFill="1" applyBorder="1" applyAlignment="1">
      <alignment horizontal="center"/>
    </xf>
    <xf numFmtId="37" fontId="3" fillId="6" borderId="4" xfId="0" applyFont="1" applyFill="1" applyBorder="1"/>
    <xf numFmtId="37" fontId="3" fillId="6" borderId="4" xfId="0" applyNumberFormat="1" applyFont="1" applyFill="1" applyBorder="1" applyAlignment="1" applyProtection="1">
      <alignment horizontal="center"/>
    </xf>
    <xf numFmtId="37" fontId="3" fillId="6" borderId="9" xfId="0" applyNumberFormat="1" applyFont="1" applyFill="1" applyBorder="1" applyAlignment="1" applyProtection="1">
      <alignment horizontal="centerContinuous"/>
    </xf>
    <xf numFmtId="37" fontId="3" fillId="6" borderId="1" xfId="0" applyNumberFormat="1" applyFont="1" applyFill="1" applyBorder="1" applyAlignment="1" applyProtection="1"/>
    <xf numFmtId="37" fontId="3" fillId="6" borderId="1" xfId="0" applyFont="1" applyFill="1" applyBorder="1" applyAlignment="1"/>
    <xf numFmtId="37" fontId="3" fillId="8" borderId="4" xfId="0" applyFont="1" applyFill="1" applyBorder="1" applyAlignment="1">
      <alignment horizontal="centerContinuous"/>
    </xf>
    <xf numFmtId="37" fontId="3" fillId="8" borderId="4" xfId="0" applyFont="1" applyFill="1" applyBorder="1" applyAlignment="1">
      <alignment horizontal="center"/>
    </xf>
    <xf numFmtId="37" fontId="3" fillId="8" borderId="1" xfId="0" applyFont="1" applyFill="1" applyBorder="1" applyAlignment="1">
      <alignment horizontal="center"/>
    </xf>
    <xf numFmtId="37" fontId="3" fillId="8" borderId="10" xfId="0" applyFont="1" applyFill="1" applyBorder="1" applyAlignment="1">
      <alignment horizontal="centerContinuous"/>
    </xf>
    <xf numFmtId="37" fontId="3" fillId="8" borderId="9" xfId="0" applyFont="1" applyFill="1" applyBorder="1" applyAlignment="1">
      <alignment horizontal="centerContinuous"/>
    </xf>
    <xf numFmtId="37" fontId="3" fillId="7" borderId="16" xfId="0" applyFont="1" applyFill="1" applyBorder="1" applyAlignment="1"/>
    <xf numFmtId="37" fontId="3" fillId="7" borderId="5" xfId="0" applyFont="1" applyFill="1" applyBorder="1" applyAlignment="1"/>
    <xf numFmtId="170" fontId="4" fillId="5" borderId="1" xfId="0" applyNumberFormat="1" applyFont="1" applyFill="1" applyBorder="1"/>
    <xf numFmtId="170" fontId="4" fillId="4" borderId="1" xfId="0" applyNumberFormat="1" applyFont="1" applyFill="1" applyBorder="1"/>
    <xf numFmtId="37" fontId="4" fillId="4" borderId="0" xfId="0" applyFont="1" applyFill="1"/>
    <xf numFmtId="170" fontId="3" fillId="5" borderId="20" xfId="0" applyNumberFormat="1" applyFont="1" applyFill="1" applyBorder="1"/>
    <xf numFmtId="170" fontId="4" fillId="4" borderId="0" xfId="0" applyNumberFormat="1" applyFont="1" applyFill="1"/>
    <xf numFmtId="168" fontId="4" fillId="0" borderId="1" xfId="6" applyNumberFormat="1" applyFont="1" applyBorder="1" applyAlignment="1">
      <alignment horizontal="right"/>
    </xf>
    <xf numFmtId="168" fontId="4" fillId="6" borderId="1" xfId="6" applyNumberFormat="1" applyFont="1" applyFill="1" applyBorder="1" applyAlignment="1">
      <alignment horizontal="right"/>
    </xf>
    <xf numFmtId="173" fontId="3" fillId="6" borderId="23" xfId="0" applyNumberFormat="1" applyFont="1" applyFill="1" applyBorder="1"/>
    <xf numFmtId="168" fontId="4" fillId="0" borderId="0" xfId="6" applyNumberFormat="1" applyFont="1" applyBorder="1"/>
    <xf numFmtId="166" fontId="4" fillId="5" borderId="1" xfId="6" applyNumberFormat="1" applyFont="1" applyFill="1" applyBorder="1"/>
    <xf numFmtId="166" fontId="4" fillId="4" borderId="1" xfId="6" applyNumberFormat="1" applyFont="1" applyFill="1" applyBorder="1"/>
    <xf numFmtId="166" fontId="4" fillId="4" borderId="1" xfId="6" quotePrefix="1" applyNumberFormat="1" applyFont="1" applyFill="1" applyBorder="1" applyAlignment="1">
      <alignment horizontal="right"/>
    </xf>
    <xf numFmtId="166" fontId="4" fillId="4" borderId="0" xfId="6" applyNumberFormat="1" applyFont="1" applyFill="1"/>
    <xf numFmtId="166" fontId="3" fillId="5" borderId="23" xfId="6" applyNumberFormat="1" applyFont="1" applyFill="1" applyBorder="1"/>
    <xf numFmtId="170" fontId="4" fillId="5" borderId="20" xfId="0" applyNumberFormat="1" applyFont="1" applyFill="1" applyBorder="1"/>
    <xf numFmtId="170" fontId="3" fillId="7" borderId="23" xfId="0" applyNumberFormat="1" applyFont="1" applyFill="1" applyBorder="1"/>
    <xf numFmtId="168" fontId="3" fillId="7" borderId="23" xfId="6" applyNumberFormat="1" applyFont="1" applyFill="1" applyBorder="1"/>
    <xf numFmtId="37" fontId="3" fillId="6" borderId="16" xfId="0" applyFont="1" applyFill="1" applyBorder="1" applyAlignment="1" applyProtection="1"/>
    <xf numFmtId="37" fontId="4" fillId="6" borderId="2" xfId="0" applyFont="1" applyFill="1" applyBorder="1" applyAlignment="1" applyProtection="1"/>
    <xf numFmtId="37" fontId="4" fillId="6" borderId="5" xfId="0" applyFont="1" applyFill="1" applyBorder="1" applyAlignment="1" applyProtection="1"/>
    <xf numFmtId="170" fontId="4" fillId="6" borderId="1" xfId="0" applyNumberFormat="1" applyFont="1" applyFill="1" applyBorder="1" applyAlignment="1"/>
    <xf numFmtId="49" fontId="3" fillId="6" borderId="18" xfId="2" applyNumberFormat="1" applyFont="1" applyFill="1" applyBorder="1" applyAlignment="1">
      <alignment vertical="center"/>
    </xf>
    <xf numFmtId="173" fontId="3" fillId="6" borderId="40" xfId="0" applyNumberFormat="1" applyFont="1" applyFill="1" applyBorder="1" applyAlignment="1">
      <alignment vertical="center"/>
    </xf>
    <xf numFmtId="173" fontId="3" fillId="6" borderId="36" xfId="0" applyNumberFormat="1" applyFont="1" applyFill="1" applyBorder="1" applyAlignment="1">
      <alignment vertical="center"/>
    </xf>
    <xf numFmtId="170" fontId="4" fillId="6" borderId="1" xfId="0" applyNumberFormat="1" applyFont="1" applyFill="1" applyBorder="1" applyAlignment="1">
      <alignment horizontal="right" vertical="center"/>
    </xf>
    <xf numFmtId="37" fontId="3" fillId="0" borderId="21" xfId="0" applyFont="1" applyFill="1" applyBorder="1"/>
    <xf numFmtId="168" fontId="3" fillId="0" borderId="21" xfId="6" applyNumberFormat="1" applyFont="1" applyFill="1" applyBorder="1"/>
    <xf numFmtId="49" fontId="4" fillId="0" borderId="0" xfId="0" quotePrefix="1" applyNumberFormat="1" applyFont="1" applyAlignment="1">
      <alignment horizontal="left"/>
    </xf>
    <xf numFmtId="173" fontId="3" fillId="6" borderId="19" xfId="0" applyNumberFormat="1" applyFont="1" applyFill="1" applyBorder="1" applyAlignment="1">
      <alignment vertical="center"/>
    </xf>
    <xf numFmtId="173" fontId="3" fillId="6" borderId="42" xfId="0" applyNumberFormat="1" applyFont="1" applyFill="1" applyBorder="1" applyAlignment="1">
      <alignment vertical="center"/>
    </xf>
    <xf numFmtId="37" fontId="4" fillId="0" borderId="0" xfId="0" quotePrefix="1" applyFont="1" applyAlignment="1">
      <alignment horizontal="right"/>
    </xf>
    <xf numFmtId="49" fontId="4" fillId="6" borderId="1" xfId="0" quotePrefix="1" applyNumberFormat="1" applyFont="1" applyFill="1" applyBorder="1" applyAlignment="1">
      <alignment horizontal="left" vertical="center"/>
    </xf>
    <xf numFmtId="170" fontId="4" fillId="0" borderId="1" xfId="0" quotePrefix="1" applyNumberFormat="1" applyFont="1" applyBorder="1" applyAlignment="1">
      <alignment horizontal="right"/>
    </xf>
    <xf numFmtId="37" fontId="4" fillId="0" borderId="21" xfId="0" quotePrefix="1" applyNumberFormat="1" applyFont="1" applyBorder="1" applyAlignment="1" applyProtection="1">
      <alignment horizontal="left"/>
    </xf>
    <xf numFmtId="37" fontId="4" fillId="3" borderId="15" xfId="0" applyFont="1" applyFill="1" applyBorder="1" applyAlignment="1">
      <alignment horizontal="centerContinuous" vertical="center"/>
    </xf>
    <xf numFmtId="37" fontId="4" fillId="3" borderId="15" xfId="0" applyFont="1" applyFill="1" applyBorder="1" applyAlignment="1">
      <alignment horizontal="right" vertical="center"/>
    </xf>
    <xf numFmtId="37" fontId="4" fillId="3" borderId="15" xfId="0" quotePrefix="1" applyFont="1" applyFill="1" applyBorder="1" applyAlignment="1">
      <alignment horizontal="right" vertical="center"/>
    </xf>
    <xf numFmtId="37" fontId="3" fillId="0" borderId="0" xfId="0" quotePrefix="1" applyFont="1" applyAlignment="1">
      <alignment horizontal="left" wrapText="1"/>
    </xf>
    <xf numFmtId="37" fontId="3" fillId="3" borderId="18" xfId="0" quotePrefix="1" applyFont="1" applyFill="1" applyBorder="1" applyAlignment="1" applyProtection="1">
      <alignment horizontal="left"/>
    </xf>
    <xf numFmtId="37" fontId="0" fillId="0" borderId="0" xfId="0" applyAlignment="1">
      <alignment horizontal="right" indent="1"/>
    </xf>
    <xf numFmtId="171" fontId="4" fillId="0" borderId="0" xfId="0" applyNumberFormat="1" applyFont="1" applyAlignment="1">
      <alignment horizontal="right" indent="1"/>
    </xf>
    <xf numFmtId="37" fontId="0" fillId="0" borderId="11" xfId="0" applyBorder="1"/>
    <xf numFmtId="37" fontId="3" fillId="6" borderId="4" xfId="0" quotePrefix="1" applyFont="1" applyFill="1" applyBorder="1" applyAlignment="1">
      <alignment horizontal="center"/>
    </xf>
    <xf numFmtId="49" fontId="4" fillId="0" borderId="11" xfId="0" applyNumberFormat="1" applyFont="1" applyBorder="1"/>
    <xf numFmtId="37" fontId="4" fillId="0" borderId="0" xfId="0" applyFont="1" applyFill="1"/>
    <xf numFmtId="168" fontId="4" fillId="0" borderId="1" xfId="6" applyNumberFormat="1" applyFont="1" applyFill="1" applyBorder="1"/>
    <xf numFmtId="37" fontId="4" fillId="0" borderId="0" xfId="0" applyFont="1" applyFill="1" applyAlignment="1">
      <alignment horizontal="right"/>
    </xf>
    <xf numFmtId="175" fontId="4" fillId="0" borderId="0" xfId="5" applyNumberFormat="1" applyFont="1" applyBorder="1" applyProtection="1"/>
    <xf numFmtId="37" fontId="20" fillId="0" borderId="0" xfId="5" applyNumberFormat="1" applyFont="1" applyBorder="1" applyAlignment="1" applyProtection="1">
      <alignment horizontal="centerContinuous"/>
    </xf>
    <xf numFmtId="39" fontId="4" fillId="0" borderId="0" xfId="5" applyFont="1"/>
    <xf numFmtId="165" fontId="4" fillId="0" borderId="2" xfId="5" applyNumberFormat="1" applyFont="1" applyBorder="1" applyAlignment="1" applyProtection="1">
      <alignment horizontal="left"/>
    </xf>
    <xf numFmtId="39" fontId="4" fillId="0" borderId="0" xfId="5" applyFont="1" applyAlignment="1">
      <alignment horizontal="left"/>
    </xf>
    <xf numFmtId="165" fontId="4" fillId="0" borderId="3" xfId="5" applyNumberFormat="1" applyFont="1" applyBorder="1" applyAlignment="1" applyProtection="1">
      <alignment horizontal="left"/>
    </xf>
    <xf numFmtId="37" fontId="4" fillId="0" borderId="0" xfId="5" applyNumberFormat="1" applyFont="1" applyProtection="1"/>
    <xf numFmtId="39" fontId="3" fillId="0" borderId="16" xfId="5" applyFont="1" applyBorder="1" applyProtection="1"/>
    <xf numFmtId="39" fontId="3" fillId="3" borderId="12" xfId="5" applyFont="1" applyFill="1" applyBorder="1" applyProtection="1"/>
    <xf numFmtId="39" fontId="4" fillId="3" borderId="0" xfId="5" applyFont="1" applyFill="1" applyProtection="1"/>
    <xf numFmtId="39" fontId="4" fillId="6" borderId="1" xfId="5" applyFont="1" applyFill="1" applyBorder="1" applyProtection="1"/>
    <xf numFmtId="167" fontId="4" fillId="6" borderId="1" xfId="5" applyNumberFormat="1" applyFont="1" applyFill="1" applyBorder="1"/>
    <xf numFmtId="39" fontId="4" fillId="0" borderId="1" xfId="5" applyFont="1" applyBorder="1" applyProtection="1"/>
    <xf numFmtId="167" fontId="4" fillId="3" borderId="1" xfId="5" applyNumberFormat="1" applyFont="1" applyFill="1" applyBorder="1"/>
    <xf numFmtId="39" fontId="3" fillId="6" borderId="20" xfId="5" applyFont="1" applyFill="1" applyBorder="1" applyProtection="1"/>
    <xf numFmtId="167" fontId="3" fillId="6" borderId="20" xfId="5" applyNumberFormat="1" applyFont="1" applyFill="1" applyBorder="1"/>
    <xf numFmtId="167" fontId="4" fillId="0" borderId="0" xfId="5" applyNumberFormat="1" applyFont="1"/>
    <xf numFmtId="39" fontId="4" fillId="0" borderId="3" xfId="5" applyFont="1" applyBorder="1"/>
    <xf numFmtId="174" fontId="7" fillId="0" borderId="3" xfId="5" applyNumberFormat="1" applyFont="1" applyBorder="1" applyProtection="1"/>
    <xf numFmtId="37" fontId="4" fillId="0" borderId="0" xfId="5" applyNumberFormat="1" applyFont="1"/>
    <xf numFmtId="37" fontId="21" fillId="0" borderId="0" xfId="0" applyFont="1"/>
    <xf numFmtId="165" fontId="4" fillId="0" borderId="0" xfId="4" applyNumberFormat="1" applyFont="1" applyProtection="1"/>
    <xf numFmtId="0" fontId="4" fillId="3" borderId="0" xfId="4" applyFont="1" applyFill="1"/>
    <xf numFmtId="0" fontId="4" fillId="0" borderId="0" xfId="4" applyFont="1"/>
    <xf numFmtId="0" fontId="3" fillId="0" borderId="2" xfId="4" applyFont="1" applyFill="1" applyBorder="1" applyAlignment="1">
      <alignment horizontal="centerContinuous"/>
    </xf>
    <xf numFmtId="0" fontId="4" fillId="3" borderId="2" xfId="4" applyFont="1" applyFill="1" applyBorder="1" applyAlignment="1">
      <alignment horizontal="centerContinuous"/>
    </xf>
    <xf numFmtId="0" fontId="4" fillId="3" borderId="3" xfId="4" applyFont="1" applyFill="1" applyBorder="1" applyAlignment="1">
      <alignment horizontal="centerContinuous"/>
    </xf>
    <xf numFmtId="0" fontId="3" fillId="0" borderId="8" xfId="4" applyFont="1" applyBorder="1"/>
    <xf numFmtId="0" fontId="3" fillId="0" borderId="0" xfId="4" applyFont="1"/>
    <xf numFmtId="165" fontId="5" fillId="0" borderId="0" xfId="4" applyNumberFormat="1" applyFont="1" applyProtection="1">
      <protection locked="0"/>
    </xf>
    <xf numFmtId="49" fontId="4" fillId="6" borderId="1" xfId="4" applyNumberFormat="1" applyFont="1" applyFill="1" applyBorder="1" applyAlignment="1">
      <alignment vertical="center"/>
    </xf>
    <xf numFmtId="170" fontId="4" fillId="6" borderId="1" xfId="4" applyNumberFormat="1" applyFont="1" applyFill="1" applyBorder="1" applyAlignment="1">
      <alignment vertical="center"/>
    </xf>
    <xf numFmtId="173" fontId="4" fillId="6" borderId="1" xfId="4" applyNumberFormat="1" applyFont="1" applyFill="1" applyBorder="1" applyAlignment="1">
      <alignment vertical="center"/>
    </xf>
    <xf numFmtId="49" fontId="4" fillId="0" borderId="1" xfId="4" applyNumberFormat="1" applyFont="1" applyBorder="1" applyAlignment="1">
      <alignment vertical="center"/>
    </xf>
    <xf numFmtId="170" fontId="4" fillId="0" borderId="1" xfId="4" applyNumberFormat="1" applyFont="1" applyBorder="1" applyAlignment="1">
      <alignment vertical="center"/>
    </xf>
    <xf numFmtId="173" fontId="4" fillId="0" borderId="1" xfId="4" applyNumberFormat="1" applyFont="1" applyBorder="1" applyAlignment="1">
      <alignment vertical="center"/>
    </xf>
    <xf numFmtId="170" fontId="4" fillId="0" borderId="0" xfId="4" applyNumberFormat="1" applyFont="1"/>
    <xf numFmtId="49" fontId="3" fillId="6" borderId="20" xfId="3" applyNumberFormat="1" applyFont="1" applyFill="1" applyBorder="1" applyAlignment="1">
      <alignment vertical="center"/>
    </xf>
    <xf numFmtId="170" fontId="3" fillId="6" borderId="23" xfId="4" applyNumberFormat="1" applyFont="1" applyFill="1" applyBorder="1"/>
    <xf numFmtId="173" fontId="3" fillId="6" borderId="23" xfId="4" applyNumberFormat="1" applyFont="1" applyFill="1" applyBorder="1"/>
    <xf numFmtId="0" fontId="4" fillId="0" borderId="0" xfId="4" applyFont="1" applyAlignment="1"/>
    <xf numFmtId="37" fontId="3" fillId="3" borderId="3" xfId="4" quotePrefix="1" applyNumberFormat="1" applyFont="1" applyFill="1" applyBorder="1" applyAlignment="1" applyProtection="1">
      <alignment horizontal="centerContinuous" vertical="center"/>
    </xf>
    <xf numFmtId="0" fontId="4" fillId="0" borderId="11" xfId="4" applyFont="1" applyBorder="1"/>
    <xf numFmtId="170" fontId="4" fillId="0" borderId="11" xfId="4" applyNumberFormat="1" applyFont="1" applyBorder="1"/>
    <xf numFmtId="0" fontId="23" fillId="0" borderId="0" xfId="4" applyFont="1"/>
    <xf numFmtId="170" fontId="23" fillId="0" borderId="0" xfId="4" applyNumberFormat="1" applyFont="1"/>
    <xf numFmtId="165" fontId="4" fillId="0" borderId="0" xfId="0" applyNumberFormat="1" applyFont="1" applyFill="1"/>
    <xf numFmtId="37" fontId="24" fillId="0" borderId="0" xfId="0" applyFont="1"/>
    <xf numFmtId="37" fontId="4" fillId="0" borderId="23" xfId="0" applyFont="1" applyBorder="1"/>
    <xf numFmtId="37" fontId="24" fillId="0" borderId="23" xfId="0" applyFont="1" applyBorder="1"/>
    <xf numFmtId="37" fontId="3" fillId="7" borderId="9" xfId="0" applyFont="1" applyFill="1" applyBorder="1" applyAlignment="1">
      <alignment horizontal="center" wrapText="1"/>
    </xf>
    <xf numFmtId="49" fontId="4" fillId="0" borderId="0" xfId="0" quotePrefix="1" applyNumberFormat="1" applyFont="1" applyAlignment="1"/>
    <xf numFmtId="37" fontId="18" fillId="0" borderId="0" xfId="0" applyFont="1"/>
    <xf numFmtId="37" fontId="18" fillId="0" borderId="11" xfId="0" applyFont="1" applyBorder="1"/>
    <xf numFmtId="37" fontId="4" fillId="9" borderId="23" xfId="0" applyNumberFormat="1" applyFont="1" applyFill="1" applyBorder="1" applyProtection="1"/>
    <xf numFmtId="37" fontId="25" fillId="0" borderId="0" xfId="0" applyNumberFormat="1" applyFont="1"/>
    <xf numFmtId="37" fontId="4" fillId="0" borderId="0" xfId="0" applyNumberFormat="1" applyFont="1" applyAlignment="1">
      <alignment horizontal="right"/>
    </xf>
    <xf numFmtId="176" fontId="0" fillId="0" borderId="0" xfId="0" quotePrefix="1" applyNumberFormat="1" applyBorder="1" applyAlignment="1" applyProtection="1">
      <alignment horizontal="right"/>
    </xf>
    <xf numFmtId="176" fontId="0" fillId="0" borderId="0" xfId="0" applyNumberFormat="1" applyBorder="1" applyAlignment="1" applyProtection="1">
      <alignment horizontal="right"/>
    </xf>
    <xf numFmtId="176" fontId="0" fillId="0" borderId="3" xfId="0" quotePrefix="1" applyNumberFormat="1" applyBorder="1" applyAlignment="1" applyProtection="1">
      <alignment horizontal="right"/>
    </xf>
    <xf numFmtId="37" fontId="0" fillId="0" borderId="0" xfId="0" applyNumberFormat="1" applyProtection="1"/>
    <xf numFmtId="176" fontId="0" fillId="0" borderId="0" xfId="0" applyNumberFormat="1" applyAlignment="1" applyProtection="1">
      <alignment horizontal="right"/>
    </xf>
    <xf numFmtId="176" fontId="18" fillId="0" borderId="0" xfId="0" quotePrefix="1" applyNumberFormat="1" applyFont="1" applyBorder="1" applyAlignment="1" applyProtection="1">
      <alignment horizontal="right"/>
    </xf>
    <xf numFmtId="168" fontId="3" fillId="6" borderId="18" xfId="6" applyNumberFormat="1" applyFont="1" applyFill="1" applyBorder="1"/>
    <xf numFmtId="170" fontId="3" fillId="6" borderId="30" xfId="0" applyNumberFormat="1" applyFont="1" applyFill="1" applyBorder="1" applyAlignment="1">
      <alignment vertical="center"/>
    </xf>
    <xf numFmtId="174" fontId="3" fillId="6" borderId="48" xfId="0" applyNumberFormat="1" applyFont="1" applyFill="1" applyBorder="1" applyAlignment="1">
      <alignment vertical="center"/>
    </xf>
    <xf numFmtId="37" fontId="27" fillId="0" borderId="0" xfId="0" applyFont="1"/>
    <xf numFmtId="0" fontId="4" fillId="0" borderId="0" xfId="0" applyNumberFormat="1" applyFont="1" applyAlignment="1">
      <alignment horizontal="left"/>
    </xf>
    <xf numFmtId="37" fontId="26" fillId="0" borderId="23" xfId="0" quotePrefix="1" applyNumberFormat="1" applyFont="1" applyBorder="1" applyAlignment="1">
      <alignment horizontal="left"/>
    </xf>
    <xf numFmtId="0" fontId="24" fillId="0" borderId="0" xfId="0" applyNumberFormat="1" applyFont="1" applyAlignment="1">
      <alignment horizontal="center"/>
    </xf>
    <xf numFmtId="37" fontId="4" fillId="10" borderId="0" xfId="0" applyFont="1" applyFill="1"/>
    <xf numFmtId="49" fontId="3" fillId="5" borderId="20" xfId="0" quotePrefix="1" applyNumberFormat="1" applyFont="1" applyFill="1" applyBorder="1" applyAlignment="1">
      <alignment horizontal="center"/>
    </xf>
    <xf numFmtId="0" fontId="3" fillId="5" borderId="20" xfId="0" quotePrefix="1" applyNumberFormat="1" applyFont="1" applyFill="1" applyBorder="1" applyAlignment="1">
      <alignment horizontal="center"/>
    </xf>
    <xf numFmtId="49" fontId="7" fillId="0" borderId="0" xfId="0" quotePrefix="1" applyNumberFormat="1" applyFont="1" applyAlignment="1">
      <alignment horizontal="left"/>
    </xf>
    <xf numFmtId="169" fontId="4" fillId="0" borderId="0" xfId="6" applyNumberFormat="1" applyFont="1"/>
    <xf numFmtId="169" fontId="4" fillId="0" borderId="0" xfId="0" applyNumberFormat="1" applyFont="1"/>
    <xf numFmtId="37" fontId="3" fillId="0" borderId="10" xfId="0" applyFont="1" applyBorder="1" applyAlignment="1">
      <alignment horizontal="center"/>
    </xf>
    <xf numFmtId="37" fontId="3" fillId="11" borderId="7" xfId="0" applyFont="1" applyFill="1" applyBorder="1"/>
    <xf numFmtId="37" fontId="3" fillId="11" borderId="21" xfId="0" applyFont="1" applyFill="1" applyBorder="1"/>
    <xf numFmtId="37" fontId="3" fillId="11" borderId="8" xfId="0" applyFont="1" applyFill="1" applyBorder="1"/>
    <xf numFmtId="37" fontId="29" fillId="0" borderId="0" xfId="0" applyFont="1"/>
    <xf numFmtId="37" fontId="29" fillId="0" borderId="0" xfId="0" applyFont="1" applyBorder="1"/>
    <xf numFmtId="37" fontId="30" fillId="3" borderId="0" xfId="0" applyFont="1" applyFill="1" applyBorder="1" applyAlignment="1">
      <alignment horizontal="centerContinuous" vertical="center"/>
    </xf>
    <xf numFmtId="37" fontId="29" fillId="0" borderId="0" xfId="0" quotePrefix="1" applyFont="1" applyAlignment="1">
      <alignment horizontal="center"/>
    </xf>
    <xf numFmtId="37" fontId="29" fillId="0" borderId="0" xfId="0" applyFont="1" applyAlignment="1">
      <alignment horizontal="center"/>
    </xf>
    <xf numFmtId="37" fontId="30" fillId="3" borderId="0" xfId="0" applyFont="1" applyFill="1" applyBorder="1" applyAlignment="1" applyProtection="1">
      <alignment horizontal="centerContinuous" vertical="center"/>
    </xf>
    <xf numFmtId="37" fontId="30" fillId="3" borderId="0" xfId="0" quotePrefix="1" applyFont="1" applyFill="1" applyBorder="1" applyAlignment="1" applyProtection="1">
      <alignment horizontal="centerContinuous" vertical="center"/>
    </xf>
    <xf numFmtId="37" fontId="30" fillId="3" borderId="0" xfId="0" applyFont="1" applyFill="1" applyBorder="1" applyAlignment="1">
      <alignment horizontal="centerContinuous"/>
    </xf>
    <xf numFmtId="37" fontId="3" fillId="6" borderId="4" xfId="0" applyFont="1" applyFill="1" applyBorder="1" applyAlignment="1">
      <alignment horizontal="center"/>
    </xf>
    <xf numFmtId="37" fontId="28" fillId="0" borderId="0" xfId="0" applyFont="1" applyAlignment="1">
      <alignment horizontal="centerContinuous"/>
    </xf>
    <xf numFmtId="37" fontId="3" fillId="3" borderId="18" xfId="0" applyFont="1" applyFill="1" applyBorder="1" applyAlignment="1" applyProtection="1">
      <alignment horizontal="left"/>
    </xf>
    <xf numFmtId="0" fontId="3" fillId="3" borderId="15" xfId="0" applyNumberFormat="1" applyFont="1" applyFill="1" applyBorder="1" applyAlignment="1" applyProtection="1">
      <alignment horizontal="left"/>
    </xf>
    <xf numFmtId="0" fontId="4" fillId="3" borderId="19" xfId="0" applyNumberFormat="1" applyFont="1" applyFill="1" applyBorder="1" applyAlignment="1" applyProtection="1">
      <alignment horizontal="left"/>
    </xf>
    <xf numFmtId="37" fontId="3" fillId="0" borderId="16" xfId="0" applyFont="1" applyBorder="1"/>
    <xf numFmtId="37" fontId="3" fillId="0" borderId="33" xfId="0" applyFont="1" applyFill="1" applyBorder="1" applyAlignment="1">
      <alignment horizontal="centerContinuous" vertical="center"/>
    </xf>
    <xf numFmtId="37" fontId="29" fillId="0" borderId="15" xfId="0" applyFont="1" applyBorder="1" applyAlignment="1">
      <alignment horizontal="centerContinuous" vertical="center"/>
    </xf>
    <xf numFmtId="37" fontId="29" fillId="3" borderId="0" xfId="0" quotePrefix="1" applyFont="1" applyFill="1" applyBorder="1" applyAlignment="1" applyProtection="1">
      <alignment horizontal="centerContinuous" vertical="center"/>
    </xf>
    <xf numFmtId="37" fontId="3" fillId="3" borderId="3" xfId="0" applyFont="1" applyFill="1" applyBorder="1" applyAlignment="1">
      <alignment horizontal="centerContinuous"/>
    </xf>
    <xf numFmtId="37" fontId="29" fillId="12" borderId="0" xfId="0" applyFont="1" applyFill="1" applyBorder="1" applyAlignment="1">
      <alignment horizontal="centerContinuous" vertical="center"/>
    </xf>
    <xf numFmtId="37" fontId="29" fillId="0" borderId="0" xfId="0" applyFont="1" applyBorder="1" applyAlignment="1">
      <alignment horizontal="left" vertical="center"/>
    </xf>
    <xf numFmtId="37" fontId="3" fillId="6" borderId="5" xfId="0" applyNumberFormat="1" applyFont="1" applyFill="1" applyBorder="1" applyAlignment="1" applyProtection="1">
      <alignment horizontal="center"/>
    </xf>
    <xf numFmtId="37" fontId="3" fillId="8" borderId="6" xfId="0" applyFont="1" applyFill="1" applyBorder="1" applyAlignment="1">
      <alignment horizontal="center"/>
    </xf>
    <xf numFmtId="37" fontId="4" fillId="0" borderId="0" xfId="0" applyFont="1" applyAlignment="1">
      <alignment vertical="center"/>
    </xf>
    <xf numFmtId="49" fontId="3" fillId="0" borderId="33" xfId="0" applyNumberFormat="1" applyFont="1" applyBorder="1"/>
    <xf numFmtId="49" fontId="3" fillId="0" borderId="34" xfId="0" applyNumberFormat="1" applyFont="1" applyBorder="1"/>
    <xf numFmtId="37" fontId="3" fillId="8" borderId="5" xfId="0" applyFont="1" applyFill="1" applyBorder="1" applyAlignment="1">
      <alignment horizontal="center"/>
    </xf>
    <xf numFmtId="37" fontId="29" fillId="0" borderId="0" xfId="0" quotePrefix="1" applyFont="1" applyAlignment="1">
      <alignment horizontal="left"/>
    </xf>
    <xf numFmtId="39" fontId="29" fillId="0" borderId="0" xfId="5" applyFont="1" applyAlignment="1">
      <alignment horizontal="left"/>
    </xf>
    <xf numFmtId="0" fontId="29" fillId="0" borderId="0" xfId="5" applyNumberFormat="1" applyFont="1" applyAlignment="1">
      <alignment horizontal="left"/>
    </xf>
    <xf numFmtId="49" fontId="3" fillId="5" borderId="9" xfId="4" applyNumberFormat="1" applyFont="1" applyFill="1" applyBorder="1" applyAlignment="1">
      <alignment horizontal="center"/>
    </xf>
    <xf numFmtId="0" fontId="3" fillId="5" borderId="9" xfId="4" applyNumberFormat="1" applyFont="1" applyFill="1" applyBorder="1" applyAlignment="1">
      <alignment horizontal="center" wrapText="1"/>
    </xf>
    <xf numFmtId="0" fontId="29" fillId="0" borderId="0" xfId="4" applyFont="1"/>
    <xf numFmtId="37" fontId="3" fillId="7" borderId="2" xfId="0" applyFont="1" applyFill="1" applyBorder="1" applyAlignment="1"/>
    <xf numFmtId="49" fontId="3" fillId="5" borderId="9" xfId="0" quotePrefix="1" applyNumberFormat="1" applyFont="1" applyFill="1" applyBorder="1" applyAlignment="1">
      <alignment horizontal="center" wrapText="1"/>
    </xf>
    <xf numFmtId="49" fontId="3" fillId="5" borderId="9" xfId="0" quotePrefix="1" applyNumberFormat="1" applyFont="1" applyFill="1" applyBorder="1" applyAlignment="1">
      <alignment horizontal="center"/>
    </xf>
    <xf numFmtId="173" fontId="4" fillId="0" borderId="1" xfId="0" applyNumberFormat="1" applyFont="1" applyFill="1" applyBorder="1" applyAlignment="1">
      <alignment vertical="center"/>
    </xf>
    <xf numFmtId="168" fontId="4" fillId="0" borderId="1" xfId="0" applyNumberFormat="1" applyFont="1" applyBorder="1" applyAlignment="1">
      <alignment vertical="center"/>
    </xf>
    <xf numFmtId="168" fontId="4" fillId="6" borderId="1" xfId="0" applyNumberFormat="1" applyFont="1" applyFill="1" applyBorder="1" applyAlignment="1">
      <alignment vertical="center"/>
    </xf>
    <xf numFmtId="177" fontId="4" fillId="6" borderId="1" xfId="0" applyNumberFormat="1" applyFont="1" applyFill="1" applyBorder="1" applyAlignment="1">
      <alignment vertical="center"/>
    </xf>
    <xf numFmtId="177" fontId="4" fillId="0" borderId="1" xfId="6" applyNumberFormat="1" applyFont="1" applyBorder="1"/>
    <xf numFmtId="177" fontId="4" fillId="6" borderId="1" xfId="6" applyNumberFormat="1" applyFont="1" applyFill="1" applyBorder="1"/>
    <xf numFmtId="177" fontId="0" fillId="0" borderId="0" xfId="0" applyNumberFormat="1"/>
    <xf numFmtId="177" fontId="3" fillId="6" borderId="20" xfId="6" applyNumberFormat="1" applyFont="1" applyFill="1" applyBorder="1"/>
    <xf numFmtId="177" fontId="4" fillId="0" borderId="0" xfId="6" applyNumberFormat="1" applyFont="1"/>
    <xf numFmtId="168" fontId="0" fillId="0" borderId="0" xfId="0" applyNumberFormat="1"/>
    <xf numFmtId="168" fontId="3" fillId="6" borderId="20" xfId="0" applyNumberFormat="1" applyFont="1" applyFill="1" applyBorder="1" applyAlignment="1">
      <alignment vertical="center"/>
    </xf>
    <xf numFmtId="168" fontId="4" fillId="0" borderId="0" xfId="0" applyNumberFormat="1" applyFont="1" applyAlignment="1">
      <alignment vertical="center"/>
    </xf>
    <xf numFmtId="37" fontId="4" fillId="3" borderId="2" xfId="0" quotePrefix="1" applyFont="1" applyFill="1" applyBorder="1" applyAlignment="1">
      <alignment horizontal="right" vertical="center"/>
    </xf>
    <xf numFmtId="37" fontId="3" fillId="6" borderId="33" xfId="0" applyFont="1" applyFill="1" applyBorder="1" applyAlignment="1">
      <alignment horizontal="centerContinuous"/>
    </xf>
    <xf numFmtId="37" fontId="3" fillId="6" borderId="38" xfId="0" applyFont="1" applyFill="1" applyBorder="1" applyAlignment="1">
      <alignment horizontal="centerContinuous"/>
    </xf>
    <xf numFmtId="37" fontId="0" fillId="0" borderId="0" xfId="0"/>
    <xf numFmtId="168" fontId="3" fillId="6" borderId="20" xfId="6" applyNumberFormat="1" applyFont="1" applyFill="1" applyBorder="1" applyAlignment="1">
      <alignment horizontal="right"/>
    </xf>
    <xf numFmtId="37" fontId="0" fillId="0" borderId="0" xfId="0"/>
    <xf numFmtId="37" fontId="25" fillId="10" borderId="0" xfId="0" applyFont="1" applyFill="1" applyBorder="1"/>
    <xf numFmtId="37" fontId="7" fillId="0" borderId="0" xfId="0" applyFont="1" applyAlignment="1">
      <alignment horizontal="center" wrapText="1"/>
    </xf>
    <xf numFmtId="37" fontId="4" fillId="0" borderId="0" xfId="0" quotePrefix="1" applyFont="1" applyBorder="1" applyAlignment="1">
      <alignment horizontal="left"/>
    </xf>
    <xf numFmtId="37" fontId="4" fillId="13" borderId="0" xfId="0" applyFont="1" applyFill="1" applyBorder="1"/>
    <xf numFmtId="37" fontId="4" fillId="0" borderId="0" xfId="0" applyFont="1" applyAlignment="1">
      <alignment horizontal="center" wrapText="1"/>
    </xf>
    <xf numFmtId="37" fontId="4" fillId="11" borderId="30" xfId="0" applyFont="1" applyFill="1" applyBorder="1" applyAlignment="1">
      <alignment horizontal="right"/>
    </xf>
    <xf numFmtId="37" fontId="4" fillId="11" borderId="23" xfId="0" applyFont="1" applyFill="1" applyBorder="1"/>
    <xf numFmtId="37" fontId="25" fillId="0" borderId="0" xfId="0" applyFont="1"/>
    <xf numFmtId="37" fontId="25" fillId="0" borderId="0" xfId="0" quotePrefix="1" applyFont="1" applyAlignment="1">
      <alignment horizontal="left"/>
    </xf>
    <xf numFmtId="37" fontId="31" fillId="0" borderId="0" xfId="0" applyFont="1"/>
    <xf numFmtId="49" fontId="3" fillId="5" borderId="10" xfId="4" applyNumberFormat="1" applyFont="1" applyFill="1" applyBorder="1" applyAlignment="1">
      <alignment horizontal="center"/>
    </xf>
    <xf numFmtId="0" fontId="3" fillId="0" borderId="7" xfId="4" applyFont="1" applyBorder="1"/>
    <xf numFmtId="0" fontId="4" fillId="0" borderId="21" xfId="4" applyFont="1" applyBorder="1"/>
    <xf numFmtId="37" fontId="0" fillId="0" borderId="0" xfId="0" applyBorder="1"/>
    <xf numFmtId="37" fontId="18" fillId="0" borderId="0" xfId="0" applyFont="1" applyBorder="1"/>
    <xf numFmtId="37" fontId="4" fillId="0" borderId="24" xfId="0" applyFont="1" applyBorder="1"/>
    <xf numFmtId="37" fontId="18" fillId="0" borderId="24" xfId="0" applyFont="1" applyBorder="1"/>
    <xf numFmtId="37" fontId="4" fillId="10" borderId="0" xfId="0" applyFont="1" applyFill="1" applyBorder="1"/>
    <xf numFmtId="37" fontId="4" fillId="10" borderId="0" xfId="0" applyNumberFormat="1" applyFont="1" applyFill="1" applyProtection="1"/>
    <xf numFmtId="37" fontId="16" fillId="15" borderId="0" xfId="7" applyFont="1" applyFill="1"/>
    <xf numFmtId="37" fontId="16" fillId="0" borderId="0" xfId="7" applyFont="1"/>
    <xf numFmtId="37" fontId="35" fillId="15" borderId="63" xfId="7" quotePrefix="1" applyFont="1" applyFill="1" applyBorder="1" applyAlignment="1">
      <alignment horizontal="center"/>
    </xf>
    <xf numFmtId="37" fontId="17" fillId="15" borderId="0" xfId="7" applyFont="1" applyFill="1"/>
    <xf numFmtId="37" fontId="36" fillId="15" borderId="0" xfId="7" applyFont="1" applyFill="1" applyAlignment="1"/>
    <xf numFmtId="37" fontId="16" fillId="15" borderId="0" xfId="7" applyFont="1" applyFill="1" applyAlignment="1"/>
    <xf numFmtId="37" fontId="36" fillId="15" borderId="0" xfId="7" applyFont="1" applyFill="1" applyAlignment="1">
      <alignment wrapText="1"/>
    </xf>
    <xf numFmtId="37" fontId="38" fillId="15" borderId="0" xfId="8" applyNumberFormat="1" applyFont="1" applyFill="1" applyAlignment="1" applyProtection="1">
      <alignment horizontal="center" wrapText="1"/>
    </xf>
    <xf numFmtId="37" fontId="36" fillId="15" borderId="0" xfId="7" applyFont="1" applyFill="1" applyAlignment="1">
      <alignment wrapText="1"/>
    </xf>
    <xf numFmtId="37" fontId="36" fillId="15" borderId="0" xfId="7" quotePrefix="1" applyFont="1" applyFill="1" applyAlignment="1">
      <alignment horizontal="left" wrapText="1"/>
    </xf>
    <xf numFmtId="37" fontId="3" fillId="3" borderId="4" xfId="0" quotePrefix="1" applyFont="1" applyFill="1" applyBorder="1" applyAlignment="1">
      <alignment horizontal="center" wrapText="1"/>
    </xf>
    <xf numFmtId="37" fontId="3" fillId="3" borderId="1" xfId="0" quotePrefix="1" applyFont="1" applyFill="1" applyBorder="1" applyAlignment="1">
      <alignment horizontal="center" wrapText="1"/>
    </xf>
    <xf numFmtId="37" fontId="3" fillId="3" borderId="9" xfId="0" quotePrefix="1" applyFont="1" applyFill="1" applyBorder="1" applyAlignment="1">
      <alignment horizontal="center" wrapText="1"/>
    </xf>
    <xf numFmtId="0" fontId="3" fillId="3" borderId="4" xfId="0" quotePrefix="1" applyNumberFormat="1" applyFont="1" applyFill="1" applyBorder="1" applyAlignment="1">
      <alignment horizontal="center" wrapText="1"/>
    </xf>
    <xf numFmtId="0" fontId="3" fillId="3" borderId="1" xfId="0" quotePrefix="1" applyNumberFormat="1" applyFont="1" applyFill="1" applyBorder="1" applyAlignment="1">
      <alignment horizontal="center" wrapText="1"/>
    </xf>
    <xf numFmtId="0" fontId="3" fillId="3" borderId="9" xfId="0" quotePrefix="1" applyNumberFormat="1" applyFont="1" applyFill="1" applyBorder="1" applyAlignment="1">
      <alignment horizontal="center" wrapText="1"/>
    </xf>
    <xf numFmtId="37" fontId="3" fillId="3" borderId="41" xfId="0" quotePrefix="1" applyFont="1" applyFill="1" applyBorder="1" applyAlignment="1">
      <alignment horizontal="center" vertical="center" wrapText="1"/>
    </xf>
    <xf numFmtId="37" fontId="3" fillId="3" borderId="43" xfId="0" quotePrefix="1" applyFont="1" applyFill="1" applyBorder="1" applyAlignment="1">
      <alignment horizontal="center" vertical="center" wrapText="1"/>
    </xf>
    <xf numFmtId="37" fontId="3" fillId="3" borderId="24" xfId="0" applyFont="1" applyFill="1" applyBorder="1" applyAlignment="1">
      <alignment horizontal="center" vertical="center"/>
    </xf>
    <xf numFmtId="37" fontId="3" fillId="3" borderId="11" xfId="0" applyFont="1" applyFill="1" applyBorder="1" applyAlignment="1">
      <alignment horizontal="center" vertical="center"/>
    </xf>
    <xf numFmtId="0" fontId="4" fillId="0" borderId="24" xfId="0" quotePrefix="1" applyNumberFormat="1" applyFont="1" applyBorder="1" applyAlignment="1">
      <alignment horizontal="left" vertical="top" wrapText="1"/>
    </xf>
    <xf numFmtId="0" fontId="4" fillId="0" borderId="0" xfId="0" quotePrefix="1" applyNumberFormat="1" applyFont="1" applyAlignment="1">
      <alignment horizontal="left" vertical="top" wrapText="1"/>
    </xf>
    <xf numFmtId="37" fontId="3" fillId="0" borderId="4" xfId="0" quotePrefix="1" applyFont="1" applyBorder="1" applyAlignment="1" applyProtection="1">
      <alignment horizontal="center" wrapText="1"/>
    </xf>
    <xf numFmtId="37" fontId="3" fillId="0" borderId="9" xfId="0" quotePrefix="1" applyFont="1" applyBorder="1" applyAlignment="1" applyProtection="1">
      <alignment horizontal="center" wrapText="1"/>
    </xf>
    <xf numFmtId="37" fontId="3" fillId="0" borderId="52" xfId="0" applyFont="1" applyBorder="1" applyAlignment="1" applyProtection="1">
      <alignment horizontal="center" vertical="center"/>
    </xf>
    <xf numFmtId="37" fontId="3" fillId="0" borderId="15" xfId="0" applyFont="1" applyBorder="1" applyAlignment="1" applyProtection="1">
      <alignment horizontal="center" vertical="center"/>
    </xf>
    <xf numFmtId="37" fontId="3" fillId="0" borderId="19" xfId="0" applyFont="1" applyBorder="1" applyAlignment="1" applyProtection="1">
      <alignment horizontal="center" vertical="center"/>
    </xf>
    <xf numFmtId="37" fontId="3" fillId="0" borderId="18" xfId="0" applyFont="1" applyBorder="1" applyAlignment="1" applyProtection="1">
      <alignment horizontal="center" vertical="center"/>
    </xf>
    <xf numFmtId="37" fontId="3" fillId="0" borderId="53" xfId="0" applyFont="1" applyBorder="1" applyAlignment="1" applyProtection="1">
      <alignment horizontal="center" vertical="center"/>
    </xf>
    <xf numFmtId="37" fontId="3" fillId="6" borderId="18" xfId="0" applyFont="1" applyFill="1" applyBorder="1" applyAlignment="1" applyProtection="1">
      <alignment horizontal="center" vertical="center"/>
    </xf>
    <xf numFmtId="37" fontId="3" fillId="6" borderId="15" xfId="0" applyFont="1" applyFill="1" applyBorder="1" applyAlignment="1" applyProtection="1">
      <alignment horizontal="center" vertical="center"/>
    </xf>
    <xf numFmtId="37" fontId="3" fillId="6" borderId="19" xfId="0" applyFont="1" applyFill="1" applyBorder="1" applyAlignment="1" applyProtection="1">
      <alignment horizontal="center" vertical="center"/>
    </xf>
    <xf numFmtId="37" fontId="3" fillId="0" borderId="41" xfId="0" quotePrefix="1" applyFont="1" applyBorder="1" applyAlignment="1" applyProtection="1">
      <alignment horizontal="center" wrapText="1"/>
    </xf>
    <xf numFmtId="37" fontId="3" fillId="0" borderId="43" xfId="0" quotePrefix="1" applyFont="1" applyBorder="1" applyAlignment="1" applyProtection="1">
      <alignment horizontal="center" wrapText="1"/>
    </xf>
    <xf numFmtId="37" fontId="3" fillId="0" borderId="49" xfId="0" quotePrefix="1" applyFont="1" applyBorder="1" applyAlignment="1" applyProtection="1">
      <alignment horizontal="center" wrapText="1"/>
    </xf>
    <xf numFmtId="37" fontId="3" fillId="0" borderId="50" xfId="0" quotePrefix="1" applyFont="1" applyBorder="1" applyAlignment="1" applyProtection="1">
      <alignment horizontal="center" wrapText="1"/>
    </xf>
    <xf numFmtId="37" fontId="3" fillId="0" borderId="51" xfId="0" quotePrefix="1" applyFont="1" applyBorder="1" applyAlignment="1" applyProtection="1">
      <alignment horizontal="center" wrapText="1"/>
    </xf>
    <xf numFmtId="37" fontId="3" fillId="0" borderId="26" xfId="0" quotePrefix="1" applyFont="1" applyBorder="1" applyAlignment="1" applyProtection="1">
      <alignment horizontal="center" wrapText="1"/>
    </xf>
    <xf numFmtId="37" fontId="4" fillId="0" borderId="24" xfId="0" quotePrefix="1" applyFont="1" applyBorder="1" applyAlignment="1">
      <alignment horizontal="left" vertical="top" wrapText="1"/>
    </xf>
    <xf numFmtId="37" fontId="4" fillId="0" borderId="0" xfId="0" quotePrefix="1" applyFont="1" applyAlignment="1">
      <alignment horizontal="left" vertical="top" wrapText="1"/>
    </xf>
    <xf numFmtId="37" fontId="3" fillId="6" borderId="4" xfId="0" applyFont="1" applyFill="1" applyBorder="1" applyAlignment="1" applyProtection="1">
      <alignment horizontal="center"/>
    </xf>
    <xf numFmtId="37" fontId="3" fillId="6" borderId="9" xfId="0" applyFont="1" applyFill="1" applyBorder="1" applyAlignment="1" applyProtection="1">
      <alignment horizontal="center"/>
    </xf>
    <xf numFmtId="37" fontId="3" fillId="6" borderId="33" xfId="0" applyFont="1" applyFill="1" applyBorder="1" applyAlignment="1" applyProtection="1">
      <alignment horizontal="center"/>
    </xf>
    <xf numFmtId="37" fontId="3" fillId="6" borderId="38" xfId="0" applyFont="1" applyFill="1" applyBorder="1" applyAlignment="1" applyProtection="1">
      <alignment horizontal="center"/>
    </xf>
    <xf numFmtId="37" fontId="3" fillId="6" borderId="34" xfId="0" applyFont="1" applyFill="1" applyBorder="1" applyAlignment="1" applyProtection="1">
      <alignment horizontal="center"/>
    </xf>
    <xf numFmtId="37" fontId="3" fillId="6" borderId="39" xfId="0" applyFont="1" applyFill="1" applyBorder="1" applyAlignment="1" applyProtection="1">
      <alignment horizontal="center"/>
    </xf>
    <xf numFmtId="37" fontId="3" fillId="3" borderId="54" xfId="0" quotePrefix="1" applyFont="1" applyFill="1" applyBorder="1" applyAlignment="1">
      <alignment horizontal="center" wrapText="1"/>
    </xf>
    <xf numFmtId="37" fontId="3" fillId="3" borderId="54" xfId="0" applyFont="1" applyFill="1" applyBorder="1" applyAlignment="1">
      <alignment horizontal="center"/>
    </xf>
    <xf numFmtId="37" fontId="3" fillId="3" borderId="9" xfId="0" applyFont="1" applyFill="1" applyBorder="1" applyAlignment="1">
      <alignment horizontal="center"/>
    </xf>
    <xf numFmtId="37" fontId="3" fillId="3" borderId="4" xfId="0" applyFont="1" applyFill="1" applyBorder="1" applyAlignment="1">
      <alignment horizontal="center" wrapText="1"/>
    </xf>
    <xf numFmtId="37" fontId="3" fillId="3" borderId="9" xfId="0" applyFont="1" applyFill="1" applyBorder="1" applyAlignment="1">
      <alignment horizontal="center" wrapText="1"/>
    </xf>
    <xf numFmtId="49" fontId="3" fillId="0" borderId="33" xfId="0" quotePrefix="1" applyNumberFormat="1" applyFont="1" applyFill="1" applyBorder="1" applyAlignment="1">
      <alignment horizontal="center" wrapText="1"/>
    </xf>
    <xf numFmtId="49" fontId="3" fillId="0" borderId="24" xfId="0" quotePrefix="1" applyNumberFormat="1" applyFont="1" applyFill="1" applyBorder="1" applyAlignment="1">
      <alignment horizontal="center" wrapText="1"/>
    </xf>
    <xf numFmtId="49" fontId="3" fillId="0" borderId="38" xfId="0" quotePrefix="1" applyNumberFormat="1" applyFont="1" applyFill="1" applyBorder="1" applyAlignment="1">
      <alignment horizontal="center" wrapText="1"/>
    </xf>
    <xf numFmtId="49" fontId="3" fillId="0" borderId="44" xfId="0" quotePrefix="1" applyNumberFormat="1" applyFont="1" applyFill="1" applyBorder="1" applyAlignment="1">
      <alignment horizontal="center" wrapText="1"/>
    </xf>
    <xf numFmtId="49" fontId="3" fillId="0" borderId="3" xfId="0" quotePrefix="1" applyNumberFormat="1" applyFont="1" applyFill="1" applyBorder="1" applyAlignment="1">
      <alignment horizontal="center" wrapText="1"/>
    </xf>
    <xf numFmtId="49" fontId="3" fillId="0" borderId="45" xfId="0" quotePrefix="1" applyNumberFormat="1" applyFont="1" applyFill="1" applyBorder="1" applyAlignment="1">
      <alignment horizontal="center" wrapText="1"/>
    </xf>
    <xf numFmtId="49" fontId="3" fillId="0" borderId="7" xfId="0" quotePrefix="1" applyNumberFormat="1" applyFont="1" applyFill="1" applyBorder="1" applyAlignment="1">
      <alignment horizontal="center" wrapText="1"/>
    </xf>
    <xf numFmtId="49" fontId="3" fillId="0" borderId="22" xfId="0" quotePrefix="1" applyNumberFormat="1" applyFont="1" applyFill="1" applyBorder="1" applyAlignment="1">
      <alignment horizontal="center" wrapText="1"/>
    </xf>
    <xf numFmtId="37" fontId="4" fillId="0" borderId="0" xfId="0" quotePrefix="1" applyFont="1" applyAlignment="1">
      <alignment horizontal="left" vertical="top"/>
    </xf>
    <xf numFmtId="37" fontId="3" fillId="0" borderId="41" xfId="0" quotePrefix="1" applyFont="1" applyFill="1" applyBorder="1" applyAlignment="1">
      <alignment horizontal="center" wrapText="1"/>
    </xf>
    <xf numFmtId="37" fontId="3" fillId="0" borderId="43" xfId="0" quotePrefix="1" applyFont="1" applyFill="1" applyBorder="1" applyAlignment="1">
      <alignment horizontal="center" wrapText="1"/>
    </xf>
    <xf numFmtId="37" fontId="3" fillId="0" borderId="4" xfId="0" quotePrefix="1" applyFont="1" applyFill="1" applyBorder="1" applyAlignment="1">
      <alignment horizontal="center" wrapText="1"/>
    </xf>
    <xf numFmtId="37" fontId="3" fillId="0" borderId="9" xfId="0" quotePrefix="1" applyFont="1" applyFill="1" applyBorder="1" applyAlignment="1">
      <alignment horizontal="center" wrapText="1"/>
    </xf>
    <xf numFmtId="37" fontId="3" fillId="3" borderId="41" xfId="0" quotePrefix="1" applyFont="1" applyFill="1" applyBorder="1" applyAlignment="1">
      <alignment horizontal="center" wrapText="1"/>
    </xf>
    <xf numFmtId="37" fontId="3" fillId="3" borderId="43" xfId="0" quotePrefix="1" applyFont="1" applyFill="1" applyBorder="1" applyAlignment="1">
      <alignment horizontal="center"/>
    </xf>
    <xf numFmtId="37" fontId="3" fillId="3" borderId="4" xfId="0" quotePrefix="1" applyFont="1" applyFill="1" applyBorder="1" applyAlignment="1">
      <alignment horizontal="center"/>
    </xf>
    <xf numFmtId="37" fontId="3" fillId="6" borderId="18" xfId="0" applyFont="1" applyFill="1" applyBorder="1" applyAlignment="1">
      <alignment horizontal="center" vertical="center"/>
    </xf>
    <xf numFmtId="37" fontId="3" fillId="6" borderId="19" xfId="0" applyFont="1" applyFill="1" applyBorder="1" applyAlignment="1">
      <alignment horizontal="center" vertical="center"/>
    </xf>
    <xf numFmtId="37" fontId="4" fillId="0" borderId="24" xfId="0" quotePrefix="1" applyFont="1" applyBorder="1" applyAlignment="1">
      <alignment horizontal="left" vertical="top"/>
    </xf>
    <xf numFmtId="49" fontId="9" fillId="0" borderId="13" xfId="0" applyNumberFormat="1" applyFont="1" applyBorder="1" applyAlignment="1">
      <alignment horizontal="right" vertical="center" textRotation="180"/>
    </xf>
    <xf numFmtId="37" fontId="3" fillId="0" borderId="12" xfId="0" applyFont="1" applyBorder="1" applyAlignment="1">
      <alignment horizontal="center"/>
    </xf>
    <xf numFmtId="37" fontId="3" fillId="0" borderId="10" xfId="0" applyFont="1" applyBorder="1" applyAlignment="1">
      <alignment horizontal="center"/>
    </xf>
    <xf numFmtId="37" fontId="3" fillId="6" borderId="18" xfId="0" applyFont="1" applyFill="1" applyBorder="1" applyAlignment="1">
      <alignment horizontal="center"/>
    </xf>
    <xf numFmtId="37" fontId="3" fillId="6" borderId="15" xfId="0" applyFont="1" applyFill="1" applyBorder="1" applyAlignment="1">
      <alignment horizontal="center"/>
    </xf>
    <xf numFmtId="37" fontId="3" fillId="6" borderId="19" xfId="0" applyFont="1" applyFill="1" applyBorder="1" applyAlignment="1">
      <alignment horizontal="center"/>
    </xf>
    <xf numFmtId="37" fontId="3" fillId="6" borderId="4" xfId="0" applyFont="1" applyFill="1" applyBorder="1" applyAlignment="1">
      <alignment horizontal="center"/>
    </xf>
    <xf numFmtId="37" fontId="3" fillId="6" borderId="9" xfId="0" applyFont="1" applyFill="1" applyBorder="1" applyAlignment="1">
      <alignment horizontal="center"/>
    </xf>
    <xf numFmtId="37" fontId="3" fillId="6" borderId="4" xfId="0" applyFont="1" applyFill="1" applyBorder="1" applyAlignment="1">
      <alignment horizontal="center" wrapText="1"/>
    </xf>
    <xf numFmtId="37" fontId="3" fillId="6" borderId="9" xfId="0" applyFont="1" applyFill="1" applyBorder="1" applyAlignment="1">
      <alignment horizontal="center" wrapText="1"/>
    </xf>
    <xf numFmtId="37" fontId="3" fillId="6" borderId="55" xfId="0" applyFont="1" applyFill="1" applyBorder="1" applyAlignment="1">
      <alignment horizontal="center" wrapText="1"/>
    </xf>
    <xf numFmtId="37" fontId="3" fillId="6" borderId="56" xfId="0" applyFont="1" applyFill="1" applyBorder="1" applyAlignment="1">
      <alignment horizontal="center" wrapText="1"/>
    </xf>
    <xf numFmtId="37" fontId="3" fillId="6" borderId="7" xfId="0" applyFont="1" applyFill="1" applyBorder="1" applyAlignment="1">
      <alignment horizontal="center" wrapText="1"/>
    </xf>
    <xf numFmtId="37" fontId="3" fillId="6" borderId="8" xfId="0" applyFont="1" applyFill="1" applyBorder="1" applyAlignment="1">
      <alignment horizontal="center" wrapText="1"/>
    </xf>
    <xf numFmtId="37" fontId="3" fillId="6" borderId="57" xfId="0" applyFont="1" applyFill="1" applyBorder="1" applyAlignment="1">
      <alignment horizontal="center"/>
    </xf>
    <xf numFmtId="37" fontId="3" fillId="6" borderId="5" xfId="0" applyFont="1" applyFill="1" applyBorder="1" applyAlignment="1">
      <alignment horizontal="center"/>
    </xf>
    <xf numFmtId="37" fontId="3" fillId="6" borderId="44" xfId="0" applyFont="1" applyFill="1" applyBorder="1" applyAlignment="1">
      <alignment horizontal="center"/>
    </xf>
    <xf numFmtId="37" fontId="3" fillId="6" borderId="10" xfId="0" applyFont="1" applyFill="1" applyBorder="1" applyAlignment="1">
      <alignment horizontal="center"/>
    </xf>
    <xf numFmtId="37" fontId="3" fillId="0" borderId="18" xfId="0" applyFont="1" applyBorder="1" applyAlignment="1">
      <alignment horizontal="center"/>
    </xf>
    <xf numFmtId="37" fontId="3" fillId="0" borderId="15" xfId="0" applyFont="1" applyBorder="1" applyAlignment="1">
      <alignment horizontal="center"/>
    </xf>
    <xf numFmtId="37" fontId="3" fillId="0" borderId="19" xfId="0" applyFont="1" applyBorder="1" applyAlignment="1">
      <alignment horizontal="center"/>
    </xf>
    <xf numFmtId="49" fontId="9" fillId="0" borderId="17" xfId="0" applyNumberFormat="1" applyFont="1" applyBorder="1" applyAlignment="1">
      <alignment horizontal="right" vertical="center" textRotation="180"/>
    </xf>
    <xf numFmtId="37" fontId="3" fillId="6" borderId="16" xfId="0" quotePrefix="1" applyFont="1" applyFill="1" applyBorder="1" applyAlignment="1">
      <alignment horizontal="center" wrapText="1"/>
    </xf>
    <xf numFmtId="37" fontId="3" fillId="6" borderId="5" xfId="0" applyFont="1" applyFill="1" applyBorder="1" applyAlignment="1">
      <alignment horizontal="center" wrapText="1"/>
    </xf>
    <xf numFmtId="37" fontId="3" fillId="6" borderId="12" xfId="0" applyFont="1" applyFill="1" applyBorder="1" applyAlignment="1">
      <alignment horizontal="center" wrapText="1"/>
    </xf>
    <xf numFmtId="37" fontId="3" fillId="6" borderId="10" xfId="0" applyFont="1" applyFill="1" applyBorder="1" applyAlignment="1">
      <alignment horizontal="center" wrapText="1"/>
    </xf>
    <xf numFmtId="37" fontId="3" fillId="6" borderId="16" xfId="0" applyFont="1" applyFill="1" applyBorder="1" applyAlignment="1">
      <alignment horizontal="center" wrapText="1"/>
    </xf>
    <xf numFmtId="37" fontId="0" fillId="0" borderId="17" xfId="0" applyBorder="1" applyAlignment="1">
      <alignment horizontal="right" vertical="center" textRotation="180"/>
    </xf>
    <xf numFmtId="37" fontId="3" fillId="6" borderId="16" xfId="0" applyFont="1" applyFill="1" applyBorder="1" applyAlignment="1">
      <alignment horizontal="center"/>
    </xf>
    <xf numFmtId="37" fontId="3" fillId="6" borderId="12" xfId="0" applyFont="1" applyFill="1" applyBorder="1" applyAlignment="1">
      <alignment horizontal="center"/>
    </xf>
    <xf numFmtId="37" fontId="3" fillId="6" borderId="2" xfId="0" applyFont="1" applyFill="1" applyBorder="1" applyAlignment="1">
      <alignment horizontal="center"/>
    </xf>
    <xf numFmtId="37" fontId="3" fillId="6" borderId="3" xfId="0" applyFont="1" applyFill="1" applyBorder="1" applyAlignment="1">
      <alignment horizontal="center"/>
    </xf>
    <xf numFmtId="37" fontId="3" fillId="6" borderId="2" xfId="0" applyFont="1" applyFill="1" applyBorder="1" applyAlignment="1">
      <alignment horizontal="center" wrapText="1"/>
    </xf>
    <xf numFmtId="37" fontId="3" fillId="6" borderId="3" xfId="0" applyFont="1" applyFill="1" applyBorder="1" applyAlignment="1">
      <alignment horizontal="center" wrapText="1"/>
    </xf>
    <xf numFmtId="37" fontId="3" fillId="6" borderId="2" xfId="0" quotePrefix="1" applyFont="1" applyFill="1" applyBorder="1" applyAlignment="1">
      <alignment horizontal="center"/>
    </xf>
    <xf numFmtId="37" fontId="3" fillId="6" borderId="5" xfId="0" quotePrefix="1" applyFont="1" applyFill="1" applyBorder="1" applyAlignment="1">
      <alignment horizontal="center"/>
    </xf>
    <xf numFmtId="37" fontId="3" fillId="6" borderId="12" xfId="0" quotePrefix="1" applyFont="1" applyFill="1" applyBorder="1" applyAlignment="1">
      <alignment horizontal="center"/>
    </xf>
    <xf numFmtId="37" fontId="3" fillId="6" borderId="3" xfId="0" quotePrefix="1" applyFont="1" applyFill="1" applyBorder="1" applyAlignment="1">
      <alignment horizontal="center"/>
    </xf>
    <xf numFmtId="37" fontId="3" fillId="6" borderId="10" xfId="0" quotePrefix="1" applyFont="1" applyFill="1" applyBorder="1" applyAlignment="1">
      <alignment horizontal="center"/>
    </xf>
    <xf numFmtId="37" fontId="3" fillId="3" borderId="18" xfId="0" applyFont="1" applyFill="1" applyBorder="1" applyAlignment="1" applyProtection="1">
      <alignment horizontal="left"/>
    </xf>
    <xf numFmtId="37" fontId="3" fillId="3" borderId="15" xfId="0" applyFont="1" applyFill="1" applyBorder="1" applyAlignment="1" applyProtection="1">
      <alignment horizontal="left"/>
    </xf>
    <xf numFmtId="37" fontId="3" fillId="3" borderId="19" xfId="0" applyFont="1" applyFill="1" applyBorder="1" applyAlignment="1" applyProtection="1">
      <alignment horizontal="left"/>
    </xf>
    <xf numFmtId="37" fontId="3" fillId="6" borderId="16" xfId="0" applyFont="1" applyFill="1" applyBorder="1" applyAlignment="1" applyProtection="1">
      <alignment horizontal="center"/>
    </xf>
    <xf numFmtId="37" fontId="3" fillId="6" borderId="2" xfId="0" applyFont="1" applyFill="1" applyBorder="1" applyAlignment="1" applyProtection="1">
      <alignment horizontal="center"/>
    </xf>
    <xf numFmtId="37" fontId="3" fillId="6" borderId="5" xfId="0" applyFont="1" applyFill="1" applyBorder="1" applyAlignment="1" applyProtection="1">
      <alignment horizontal="center"/>
    </xf>
    <xf numFmtId="37" fontId="3" fillId="6" borderId="12" xfId="0" applyFont="1" applyFill="1" applyBorder="1" applyAlignment="1" applyProtection="1">
      <alignment horizontal="center"/>
    </xf>
    <xf numFmtId="37" fontId="3" fillId="6" borderId="3" xfId="0" applyFont="1" applyFill="1" applyBorder="1" applyAlignment="1" applyProtection="1">
      <alignment horizontal="center"/>
    </xf>
    <xf numFmtId="37" fontId="3" fillId="6" borderId="10" xfId="0" applyFont="1" applyFill="1" applyBorder="1" applyAlignment="1" applyProtection="1">
      <alignment horizontal="center"/>
    </xf>
    <xf numFmtId="37" fontId="3" fillId="6" borderId="16" xfId="0" quotePrefix="1" applyFont="1" applyFill="1" applyBorder="1" applyAlignment="1" applyProtection="1">
      <alignment horizontal="center" wrapText="1"/>
    </xf>
    <xf numFmtId="37" fontId="3" fillId="6" borderId="2" xfId="0" applyFont="1" applyFill="1" applyBorder="1" applyAlignment="1" applyProtection="1">
      <alignment horizontal="center" wrapText="1"/>
    </xf>
    <xf numFmtId="37" fontId="3" fillId="6" borderId="5" xfId="0" applyFont="1" applyFill="1" applyBorder="1" applyAlignment="1" applyProtection="1">
      <alignment horizontal="center" wrapText="1"/>
    </xf>
    <xf numFmtId="37" fontId="3" fillId="6" borderId="12" xfId="0" applyFont="1" applyFill="1" applyBorder="1" applyAlignment="1" applyProtection="1">
      <alignment horizontal="center" wrapText="1"/>
    </xf>
    <xf numFmtId="37" fontId="3" fillId="6" borderId="3" xfId="0" applyFont="1" applyFill="1" applyBorder="1" applyAlignment="1" applyProtection="1">
      <alignment horizontal="center" wrapText="1"/>
    </xf>
    <xf numFmtId="37" fontId="3" fillId="6" borderId="10" xfId="0" applyFont="1" applyFill="1" applyBorder="1" applyAlignment="1" applyProtection="1">
      <alignment horizontal="center" wrapText="1"/>
    </xf>
    <xf numFmtId="37" fontId="3" fillId="6" borderId="37" xfId="0" applyFont="1" applyFill="1" applyBorder="1" applyAlignment="1" applyProtection="1">
      <alignment horizontal="center"/>
    </xf>
    <xf numFmtId="37" fontId="3" fillId="6" borderId="15" xfId="0" applyFont="1" applyFill="1" applyBorder="1" applyAlignment="1" applyProtection="1">
      <alignment horizontal="center"/>
    </xf>
    <xf numFmtId="37" fontId="3" fillId="6" borderId="19" xfId="0" applyFont="1" applyFill="1" applyBorder="1" applyAlignment="1" applyProtection="1">
      <alignment horizontal="center"/>
    </xf>
    <xf numFmtId="37" fontId="3" fillId="6" borderId="18" xfId="0" applyFont="1" applyFill="1" applyBorder="1" applyAlignment="1" applyProtection="1">
      <alignment horizontal="center"/>
    </xf>
    <xf numFmtId="37" fontId="3" fillId="3" borderId="49" xfId="0" quotePrefix="1" applyFont="1" applyFill="1" applyBorder="1" applyAlignment="1">
      <alignment horizontal="center" wrapText="1"/>
    </xf>
    <xf numFmtId="37" fontId="3" fillId="3" borderId="14" xfId="0" quotePrefix="1" applyFont="1" applyFill="1" applyBorder="1" applyAlignment="1">
      <alignment horizontal="center" wrapText="1"/>
    </xf>
    <xf numFmtId="37" fontId="3" fillId="3" borderId="50" xfId="0" quotePrefix="1" applyFont="1" applyFill="1" applyBorder="1" applyAlignment="1">
      <alignment horizontal="center" wrapText="1"/>
    </xf>
    <xf numFmtId="37" fontId="3" fillId="3" borderId="51" xfId="0" quotePrefix="1" applyFont="1" applyFill="1" applyBorder="1" applyAlignment="1" applyProtection="1">
      <alignment horizontal="center" wrapText="1"/>
    </xf>
    <xf numFmtId="37" fontId="3" fillId="3" borderId="25" xfId="0" quotePrefix="1" applyFont="1" applyFill="1" applyBorder="1" applyAlignment="1" applyProtection="1">
      <alignment horizontal="center" wrapText="1"/>
    </xf>
    <xf numFmtId="37" fontId="3" fillId="3" borderId="26" xfId="0" quotePrefix="1" applyFont="1" applyFill="1" applyBorder="1" applyAlignment="1" applyProtection="1">
      <alignment horizontal="center" wrapText="1"/>
    </xf>
    <xf numFmtId="37" fontId="3" fillId="0" borderId="4" xfId="0" applyFont="1" applyBorder="1" applyAlignment="1" applyProtection="1">
      <alignment horizontal="center"/>
    </xf>
    <xf numFmtId="37" fontId="3" fillId="0" borderId="9" xfId="0" applyFont="1" applyBorder="1" applyAlignment="1" applyProtection="1">
      <alignment horizontal="center"/>
    </xf>
    <xf numFmtId="37" fontId="3" fillId="3" borderId="18" xfId="0" applyFont="1" applyFill="1" applyBorder="1" applyAlignment="1" applyProtection="1">
      <alignment horizontal="center"/>
    </xf>
    <xf numFmtId="37" fontId="3" fillId="3" borderId="15" xfId="0" applyFont="1" applyFill="1" applyBorder="1" applyAlignment="1" applyProtection="1">
      <alignment horizontal="center"/>
    </xf>
    <xf numFmtId="37" fontId="3" fillId="3" borderId="19" xfId="0" applyFont="1" applyFill="1" applyBorder="1" applyAlignment="1" applyProtection="1">
      <alignment horizontal="center"/>
    </xf>
    <xf numFmtId="37" fontId="4" fillId="0" borderId="0" xfId="0" quotePrefix="1" applyFont="1" applyFill="1" applyBorder="1" applyAlignment="1">
      <alignment horizontal="left" vertical="top" wrapText="1"/>
    </xf>
    <xf numFmtId="37" fontId="3" fillId="3" borderId="18" xfId="0" applyFont="1" applyFill="1" applyBorder="1" applyAlignment="1">
      <alignment horizontal="left"/>
    </xf>
    <xf numFmtId="37" fontId="3" fillId="3" borderId="15" xfId="0" applyFont="1" applyFill="1" applyBorder="1" applyAlignment="1">
      <alignment horizontal="left"/>
    </xf>
    <xf numFmtId="37" fontId="3" fillId="3" borderId="19" xfId="0" applyFont="1" applyFill="1" applyBorder="1" applyAlignment="1">
      <alignment horizontal="left"/>
    </xf>
    <xf numFmtId="49" fontId="4" fillId="0" borderId="24" xfId="0" quotePrefix="1" applyNumberFormat="1" applyFont="1" applyBorder="1" applyAlignment="1">
      <alignment horizontal="left" vertical="top" wrapText="1"/>
    </xf>
    <xf numFmtId="49" fontId="4" fillId="0" borderId="24" xfId="0" quotePrefix="1" applyNumberFormat="1" applyFont="1" applyBorder="1" applyAlignment="1">
      <alignment horizontal="left" vertical="top"/>
    </xf>
    <xf numFmtId="49" fontId="4" fillId="0" borderId="0" xfId="0" quotePrefix="1" applyNumberFormat="1" applyFont="1" applyAlignment="1">
      <alignment horizontal="left" vertical="top"/>
    </xf>
    <xf numFmtId="37" fontId="3" fillId="6" borderId="2" xfId="0" quotePrefix="1" applyFont="1" applyFill="1" applyBorder="1" applyAlignment="1">
      <alignment horizontal="center" wrapText="1"/>
    </xf>
    <xf numFmtId="37" fontId="3" fillId="6" borderId="5" xfId="0" quotePrefix="1" applyFont="1" applyFill="1" applyBorder="1" applyAlignment="1">
      <alignment horizontal="center" wrapText="1"/>
    </xf>
    <xf numFmtId="37" fontId="3" fillId="6" borderId="12" xfId="0" quotePrefix="1" applyFont="1" applyFill="1" applyBorder="1" applyAlignment="1">
      <alignment horizontal="center" wrapText="1"/>
    </xf>
    <xf numFmtId="37" fontId="3" fillId="6" borderId="3" xfId="0" quotePrefix="1" applyFont="1" applyFill="1" applyBorder="1" applyAlignment="1">
      <alignment horizontal="center" wrapText="1"/>
    </xf>
    <xf numFmtId="37" fontId="3" fillId="6" borderId="10" xfId="0" quotePrefix="1" applyFont="1" applyFill="1" applyBorder="1" applyAlignment="1">
      <alignment horizontal="center" wrapText="1"/>
    </xf>
    <xf numFmtId="37" fontId="3" fillId="3" borderId="16" xfId="0" applyFont="1" applyFill="1" applyBorder="1" applyAlignment="1">
      <alignment horizontal="left"/>
    </xf>
    <xf numFmtId="37" fontId="3" fillId="3" borderId="2" xfId="0" applyFont="1" applyFill="1" applyBorder="1" applyAlignment="1">
      <alignment horizontal="left"/>
    </xf>
    <xf numFmtId="37" fontId="3" fillId="6" borderId="17" xfId="0" applyFont="1" applyFill="1" applyBorder="1" applyAlignment="1">
      <alignment horizontal="center" wrapText="1"/>
    </xf>
    <xf numFmtId="37" fontId="3" fillId="6" borderId="31" xfId="0" applyFont="1" applyFill="1" applyBorder="1" applyAlignment="1">
      <alignment horizontal="center" wrapText="1"/>
    </xf>
    <xf numFmtId="37" fontId="3" fillId="6" borderId="34" xfId="0" applyFont="1" applyFill="1" applyBorder="1" applyAlignment="1">
      <alignment horizontal="center" wrapText="1"/>
    </xf>
    <xf numFmtId="37" fontId="3" fillId="6" borderId="39" xfId="0" applyFont="1" applyFill="1" applyBorder="1" applyAlignment="1">
      <alignment horizontal="center" wrapText="1"/>
    </xf>
    <xf numFmtId="37" fontId="3" fillId="6" borderId="0" xfId="0" applyFont="1" applyFill="1" applyBorder="1" applyAlignment="1">
      <alignment horizontal="center" wrapText="1"/>
    </xf>
    <xf numFmtId="37" fontId="3" fillId="6" borderId="6" xfId="0" applyFont="1" applyFill="1" applyBorder="1" applyAlignment="1">
      <alignment horizontal="center" wrapText="1"/>
    </xf>
    <xf numFmtId="37" fontId="3" fillId="6" borderId="13" xfId="0" applyFont="1" applyFill="1" applyBorder="1" applyAlignment="1">
      <alignment horizontal="center" wrapText="1"/>
    </xf>
    <xf numFmtId="37" fontId="3" fillId="3" borderId="18" xfId="0" quotePrefix="1" applyFont="1" applyFill="1" applyBorder="1" applyAlignment="1">
      <alignment horizontal="left"/>
    </xf>
    <xf numFmtId="37" fontId="3" fillId="3" borderId="15" xfId="0" quotePrefix="1" applyFont="1" applyFill="1" applyBorder="1" applyAlignment="1">
      <alignment horizontal="left"/>
    </xf>
    <xf numFmtId="37" fontId="3" fillId="3" borderId="19" xfId="0" quotePrefix="1" applyFont="1" applyFill="1" applyBorder="1" applyAlignment="1">
      <alignment horizontal="left"/>
    </xf>
    <xf numFmtId="37" fontId="3" fillId="6" borderId="33" xfId="0" quotePrefix="1" applyFont="1" applyFill="1" applyBorder="1" applyAlignment="1">
      <alignment horizontal="center" wrapText="1"/>
    </xf>
    <xf numFmtId="37" fontId="3" fillId="6" borderId="38" xfId="0" applyFont="1" applyFill="1" applyBorder="1" applyAlignment="1">
      <alignment horizontal="center"/>
    </xf>
    <xf numFmtId="37" fontId="3" fillId="6" borderId="34" xfId="0" applyFont="1" applyFill="1" applyBorder="1" applyAlignment="1">
      <alignment horizontal="center"/>
    </xf>
    <xf numFmtId="37" fontId="3" fillId="6" borderId="39" xfId="0" applyFont="1" applyFill="1" applyBorder="1" applyAlignment="1">
      <alignment horizontal="center"/>
    </xf>
    <xf numFmtId="37" fontId="3" fillId="6" borderId="58" xfId="0" applyFont="1" applyFill="1" applyBorder="1" applyAlignment="1">
      <alignment horizontal="center"/>
    </xf>
    <xf numFmtId="37" fontId="3" fillId="6" borderId="32" xfId="0" applyFont="1" applyFill="1" applyBorder="1" applyAlignment="1">
      <alignment horizontal="center"/>
    </xf>
    <xf numFmtId="37" fontId="3" fillId="6" borderId="59" xfId="0" applyFont="1" applyFill="1" applyBorder="1" applyAlignment="1">
      <alignment horizontal="center"/>
    </xf>
    <xf numFmtId="37" fontId="3" fillId="6" borderId="60" xfId="0" applyFont="1" applyFill="1" applyBorder="1" applyAlignment="1">
      <alignment horizontal="center"/>
    </xf>
    <xf numFmtId="37" fontId="3" fillId="6" borderId="61" xfId="0" applyFont="1" applyFill="1" applyBorder="1" applyAlignment="1">
      <alignment horizontal="center"/>
    </xf>
    <xf numFmtId="37" fontId="3" fillId="0" borderId="4" xfId="0" applyFont="1" applyBorder="1" applyAlignment="1">
      <alignment horizontal="center" wrapText="1"/>
    </xf>
    <xf numFmtId="37" fontId="3" fillId="0" borderId="9" xfId="0" applyFont="1" applyBorder="1" applyAlignment="1">
      <alignment horizontal="center" wrapText="1"/>
    </xf>
    <xf numFmtId="37" fontId="3" fillId="0" borderId="4" xfId="0" quotePrefix="1" applyFont="1" applyBorder="1" applyAlignment="1">
      <alignment horizontal="center" wrapText="1"/>
    </xf>
    <xf numFmtId="37" fontId="3" fillId="0" borderId="9" xfId="0" applyFont="1" applyBorder="1" applyAlignment="1">
      <alignment horizontal="center"/>
    </xf>
    <xf numFmtId="37" fontId="3" fillId="3" borderId="30" xfId="0" applyFont="1" applyFill="1" applyBorder="1" applyAlignment="1">
      <alignment horizontal="left"/>
    </xf>
    <xf numFmtId="37" fontId="3" fillId="3" borderId="27" xfId="0" applyFont="1" applyFill="1" applyBorder="1" applyAlignment="1">
      <alignment horizontal="left"/>
    </xf>
    <xf numFmtId="37" fontId="3" fillId="3" borderId="29" xfId="0" applyFont="1" applyFill="1" applyBorder="1" applyAlignment="1">
      <alignment horizontal="left"/>
    </xf>
    <xf numFmtId="37" fontId="3" fillId="6" borderId="11" xfId="0" applyFont="1" applyFill="1" applyBorder="1" applyAlignment="1">
      <alignment horizontal="center"/>
    </xf>
    <xf numFmtId="37" fontId="3" fillId="6" borderId="24" xfId="0" applyFont="1" applyFill="1" applyBorder="1" applyAlignment="1">
      <alignment horizontal="center" wrapText="1"/>
    </xf>
    <xf numFmtId="37" fontId="3" fillId="6" borderId="38" xfId="0" applyFont="1" applyFill="1" applyBorder="1" applyAlignment="1">
      <alignment horizontal="center" wrapText="1"/>
    </xf>
    <xf numFmtId="37" fontId="3" fillId="6" borderId="11" xfId="0" applyFont="1" applyFill="1" applyBorder="1" applyAlignment="1">
      <alignment horizontal="center" wrapText="1"/>
    </xf>
    <xf numFmtId="37" fontId="4" fillId="0" borderId="24" xfId="0" applyFont="1" applyBorder="1" applyAlignment="1">
      <alignment horizontal="left" vertical="top" wrapText="1"/>
    </xf>
    <xf numFmtId="37" fontId="4" fillId="0" borderId="0" xfId="0" applyFont="1" applyAlignment="1">
      <alignment horizontal="left" vertical="top" wrapText="1"/>
    </xf>
    <xf numFmtId="37" fontId="3" fillId="3" borderId="16" xfId="0" applyFont="1" applyFill="1" applyBorder="1" applyAlignment="1">
      <alignment horizontal="center"/>
    </xf>
    <xf numFmtId="37" fontId="3" fillId="3" borderId="2" xfId="0" applyFont="1" applyFill="1" applyBorder="1" applyAlignment="1">
      <alignment horizontal="center"/>
    </xf>
    <xf numFmtId="37" fontId="3" fillId="3" borderId="15" xfId="0" applyFont="1" applyFill="1" applyBorder="1" applyAlignment="1">
      <alignment horizontal="center"/>
    </xf>
    <xf numFmtId="37" fontId="3" fillId="3" borderId="19" xfId="0" applyFont="1" applyFill="1" applyBorder="1" applyAlignment="1">
      <alignment horizontal="center"/>
    </xf>
    <xf numFmtId="37" fontId="3" fillId="6" borderId="33" xfId="0" applyFont="1" applyFill="1" applyBorder="1" applyAlignment="1">
      <alignment horizontal="center" vertical="center"/>
    </xf>
    <xf numFmtId="37" fontId="3" fillId="6" borderId="24" xfId="0" applyFont="1" applyFill="1" applyBorder="1" applyAlignment="1">
      <alignment horizontal="center" vertical="center"/>
    </xf>
    <xf numFmtId="37" fontId="3" fillId="6" borderId="38" xfId="0" applyFont="1" applyFill="1" applyBorder="1" applyAlignment="1">
      <alignment horizontal="center" vertical="center"/>
    </xf>
    <xf numFmtId="37" fontId="3" fillId="6" borderId="34" xfId="0" applyFont="1" applyFill="1" applyBorder="1" applyAlignment="1">
      <alignment horizontal="center" vertical="center"/>
    </xf>
    <xf numFmtId="37" fontId="3" fillId="6" borderId="11" xfId="0" applyFont="1" applyFill="1" applyBorder="1" applyAlignment="1">
      <alignment horizontal="center" vertical="center"/>
    </xf>
    <xf numFmtId="37" fontId="3" fillId="6" borderId="39" xfId="0" applyFont="1" applyFill="1" applyBorder="1" applyAlignment="1">
      <alignment horizontal="center" vertical="center"/>
    </xf>
    <xf numFmtId="37" fontId="3" fillId="6" borderId="1" xfId="0" applyFont="1" applyFill="1" applyBorder="1" applyAlignment="1">
      <alignment horizontal="center" wrapText="1"/>
    </xf>
    <xf numFmtId="37" fontId="0" fillId="0" borderId="9" xfId="0" applyBorder="1"/>
    <xf numFmtId="49" fontId="4" fillId="0" borderId="0" xfId="0" quotePrefix="1" applyNumberFormat="1" applyFont="1" applyFill="1" applyAlignment="1">
      <alignment horizontal="left" vertical="top" wrapText="1"/>
    </xf>
    <xf numFmtId="37" fontId="3" fillId="6" borderId="58" xfId="0" applyFont="1" applyFill="1" applyBorder="1" applyAlignment="1">
      <alignment horizontal="center" vertical="center"/>
    </xf>
    <xf numFmtId="37" fontId="3" fillId="6" borderId="32" xfId="0" applyFont="1" applyFill="1" applyBorder="1" applyAlignment="1">
      <alignment horizontal="center" vertical="center"/>
    </xf>
    <xf numFmtId="37" fontId="3" fillId="6" borderId="59" xfId="0" applyFont="1" applyFill="1" applyBorder="1" applyAlignment="1">
      <alignment horizontal="center" vertical="center"/>
    </xf>
    <xf numFmtId="37" fontId="3" fillId="6" borderId="15" xfId="0" applyFont="1" applyFill="1" applyBorder="1" applyAlignment="1">
      <alignment horizontal="center" vertical="center"/>
    </xf>
    <xf numFmtId="37" fontId="3" fillId="0" borderId="21" xfId="0" quotePrefix="1" applyFont="1" applyFill="1" applyBorder="1" applyAlignment="1">
      <alignment horizontal="center" wrapText="1"/>
    </xf>
    <xf numFmtId="37" fontId="3" fillId="0" borderId="21" xfId="0" applyFont="1" applyFill="1" applyBorder="1" applyAlignment="1">
      <alignment horizontal="center" wrapText="1"/>
    </xf>
    <xf numFmtId="37" fontId="3" fillId="0" borderId="8" xfId="0" applyFont="1" applyFill="1" applyBorder="1" applyAlignment="1">
      <alignment horizontal="center" wrapText="1"/>
    </xf>
    <xf numFmtId="37" fontId="3" fillId="0" borderId="8" xfId="0" quotePrefix="1" applyFont="1" applyFill="1" applyBorder="1" applyAlignment="1">
      <alignment horizontal="center" wrapText="1"/>
    </xf>
    <xf numFmtId="37" fontId="3" fillId="0" borderId="17" xfId="0" applyFont="1" applyFill="1" applyBorder="1" applyAlignment="1">
      <alignment horizontal="center" wrapText="1"/>
    </xf>
    <xf numFmtId="37" fontId="3" fillId="0" borderId="34" xfId="0" applyFont="1" applyFill="1" applyBorder="1" applyAlignment="1">
      <alignment horizontal="center" wrapText="1"/>
    </xf>
    <xf numFmtId="37" fontId="3" fillId="0" borderId="7" xfId="0" quotePrefix="1" applyFont="1" applyBorder="1" applyAlignment="1">
      <alignment horizontal="center" wrapText="1"/>
    </xf>
    <xf numFmtId="37" fontId="3" fillId="0" borderId="21" xfId="0" applyFont="1" applyBorder="1" applyAlignment="1">
      <alignment horizontal="center" wrapText="1"/>
    </xf>
    <xf numFmtId="37" fontId="3" fillId="0" borderId="8" xfId="0" applyFont="1" applyBorder="1" applyAlignment="1">
      <alignment horizontal="center" wrapText="1"/>
    </xf>
    <xf numFmtId="37" fontId="3" fillId="6" borderId="57" xfId="0" quotePrefix="1" applyFont="1" applyFill="1" applyBorder="1" applyAlignment="1">
      <alignment horizontal="center" wrapText="1"/>
    </xf>
    <xf numFmtId="37" fontId="3" fillId="6" borderId="44" xfId="0" applyFont="1" applyFill="1" applyBorder="1" applyAlignment="1">
      <alignment horizontal="center" wrapText="1"/>
    </xf>
    <xf numFmtId="0" fontId="4" fillId="0" borderId="24" xfId="0" applyNumberFormat="1" applyFont="1" applyBorder="1" applyAlignment="1">
      <alignment horizontal="left" vertical="top" wrapText="1"/>
    </xf>
    <xf numFmtId="0" fontId="4" fillId="0" borderId="0" xfId="0" applyNumberFormat="1" applyFont="1" applyAlignment="1">
      <alignment horizontal="left" vertical="top" wrapText="1"/>
    </xf>
    <xf numFmtId="37" fontId="3" fillId="6" borderId="4" xfId="0" quotePrefix="1" applyFont="1" applyFill="1" applyBorder="1" applyAlignment="1">
      <alignment horizontal="center" wrapText="1"/>
    </xf>
    <xf numFmtId="37" fontId="3" fillId="6" borderId="1" xfId="0" quotePrefix="1" applyFont="1" applyFill="1" applyBorder="1" applyAlignment="1">
      <alignment horizontal="center" wrapText="1"/>
    </xf>
    <xf numFmtId="37" fontId="3" fillId="6" borderId="9" xfId="0" quotePrefix="1" applyFont="1" applyFill="1" applyBorder="1" applyAlignment="1">
      <alignment horizontal="center" wrapText="1"/>
    </xf>
    <xf numFmtId="37" fontId="3" fillId="6" borderId="7" xfId="0" quotePrefix="1" applyNumberFormat="1" applyFont="1" applyFill="1" applyBorder="1" applyAlignment="1" applyProtection="1">
      <alignment horizontal="center" wrapText="1"/>
    </xf>
    <xf numFmtId="37" fontId="3" fillId="6" borderId="21" xfId="0" quotePrefix="1" applyNumberFormat="1" applyFont="1" applyFill="1" applyBorder="1" applyAlignment="1" applyProtection="1">
      <alignment horizontal="center" wrapText="1"/>
    </xf>
    <xf numFmtId="37" fontId="3" fillId="6" borderId="8" xfId="0" quotePrefix="1" applyNumberFormat="1" applyFont="1" applyFill="1" applyBorder="1" applyAlignment="1" applyProtection="1">
      <alignment horizontal="center" wrapText="1"/>
    </xf>
    <xf numFmtId="37" fontId="3" fillId="6" borderId="62" xfId="0" quotePrefix="1" applyNumberFormat="1" applyFont="1" applyFill="1" applyBorder="1" applyAlignment="1" applyProtection="1">
      <alignment horizontal="center" wrapText="1"/>
    </xf>
    <xf numFmtId="37" fontId="3" fillId="6" borderId="43" xfId="0" quotePrefix="1" applyNumberFormat="1" applyFont="1" applyFill="1" applyBorder="1" applyAlignment="1" applyProtection="1">
      <alignment horizontal="center" wrapText="1"/>
    </xf>
    <xf numFmtId="37" fontId="4" fillId="0" borderId="24" xfId="0" quotePrefix="1" applyFont="1" applyBorder="1" applyAlignment="1">
      <alignment horizontal="left" wrapText="1"/>
    </xf>
    <xf numFmtId="37" fontId="0" fillId="0" borderId="24" xfId="0" applyBorder="1"/>
    <xf numFmtId="37" fontId="0" fillId="0" borderId="0" xfId="0"/>
    <xf numFmtId="37" fontId="3" fillId="3" borderId="18" xfId="0" applyFont="1" applyFill="1" applyBorder="1" applyAlignment="1">
      <alignment horizontal="center"/>
    </xf>
    <xf numFmtId="37" fontId="3" fillId="6" borderId="4" xfId="0" quotePrefix="1" applyNumberFormat="1" applyFont="1" applyFill="1" applyBorder="1" applyAlignment="1" applyProtection="1">
      <alignment horizontal="center" wrapText="1"/>
    </xf>
    <xf numFmtId="37" fontId="3" fillId="6" borderId="1" xfId="0" applyNumberFormat="1" applyFont="1" applyFill="1" applyBorder="1" applyAlignment="1" applyProtection="1">
      <alignment horizontal="center" wrapText="1"/>
    </xf>
    <xf numFmtId="37" fontId="3" fillId="6" borderId="9" xfId="0" applyNumberFormat="1" applyFont="1" applyFill="1" applyBorder="1" applyAlignment="1" applyProtection="1">
      <alignment horizontal="center" wrapText="1"/>
    </xf>
    <xf numFmtId="37" fontId="3" fillId="6" borderId="1" xfId="0" applyNumberFormat="1" applyFont="1" applyFill="1" applyBorder="1" applyAlignment="1" applyProtection="1">
      <alignment horizontal="center"/>
    </xf>
    <xf numFmtId="37" fontId="3" fillId="6" borderId="9" xfId="0" applyNumberFormat="1" applyFont="1" applyFill="1" applyBorder="1" applyAlignment="1" applyProtection="1">
      <alignment horizontal="center"/>
    </xf>
    <xf numFmtId="0" fontId="4" fillId="0" borderId="24" xfId="0" quotePrefix="1" applyNumberFormat="1" applyFont="1" applyBorder="1" applyAlignment="1">
      <alignment horizontal="left" vertical="center" wrapText="1"/>
    </xf>
    <xf numFmtId="0" fontId="4" fillId="0" borderId="0" xfId="0" quotePrefix="1" applyNumberFormat="1" applyFont="1" applyAlignment="1">
      <alignment horizontal="left" vertical="center" wrapText="1"/>
    </xf>
    <xf numFmtId="37" fontId="3" fillId="0" borderId="24" xfId="0" applyFont="1" applyBorder="1" applyAlignment="1">
      <alignment horizontal="center" vertical="center"/>
    </xf>
    <xf numFmtId="37" fontId="3" fillId="0" borderId="11" xfId="0" applyFont="1" applyBorder="1" applyAlignment="1">
      <alignment horizontal="center" vertical="center"/>
    </xf>
    <xf numFmtId="37" fontId="3" fillId="8" borderId="62" xfId="0" quotePrefix="1" applyFont="1" applyFill="1" applyBorder="1" applyAlignment="1">
      <alignment horizontal="center" wrapText="1"/>
    </xf>
    <xf numFmtId="37" fontId="3" fillId="8" borderId="43" xfId="0" applyFont="1" applyFill="1" applyBorder="1" applyAlignment="1">
      <alignment horizontal="center" wrapText="1"/>
    </xf>
    <xf numFmtId="37" fontId="3" fillId="8" borderId="7" xfId="0" quotePrefix="1" applyFont="1" applyFill="1" applyBorder="1" applyAlignment="1">
      <alignment horizontal="center" wrapText="1"/>
    </xf>
    <xf numFmtId="37" fontId="3" fillId="8" borderId="21" xfId="0" applyFont="1" applyFill="1" applyBorder="1" applyAlignment="1">
      <alignment horizontal="center" wrapText="1"/>
    </xf>
    <xf numFmtId="37" fontId="3" fillId="8" borderId="8" xfId="0" applyFont="1" applyFill="1" applyBorder="1" applyAlignment="1">
      <alignment horizontal="center" wrapText="1"/>
    </xf>
    <xf numFmtId="37" fontId="3" fillId="6" borderId="16" xfId="0" applyFont="1" applyFill="1" applyBorder="1" applyAlignment="1">
      <alignment horizontal="center" vertical="center"/>
    </xf>
    <xf numFmtId="37" fontId="3" fillId="6" borderId="2" xfId="0" applyFont="1" applyFill="1" applyBorder="1" applyAlignment="1">
      <alignment horizontal="center" vertical="center"/>
    </xf>
    <xf numFmtId="37" fontId="3" fillId="6" borderId="5" xfId="0" applyFont="1" applyFill="1" applyBorder="1" applyAlignment="1">
      <alignment horizontal="center" vertical="center"/>
    </xf>
    <xf numFmtId="37" fontId="3" fillId="6" borderId="12" xfId="0" applyFont="1" applyFill="1" applyBorder="1" applyAlignment="1">
      <alignment horizontal="center" vertical="center"/>
    </xf>
    <xf numFmtId="37" fontId="3" fillId="6" borderId="3" xfId="0" applyFont="1" applyFill="1" applyBorder="1" applyAlignment="1">
      <alignment horizontal="center" vertical="center"/>
    </xf>
    <xf numFmtId="37" fontId="3" fillId="6" borderId="10" xfId="0" applyFont="1" applyFill="1" applyBorder="1" applyAlignment="1">
      <alignment horizontal="center" vertical="center"/>
    </xf>
    <xf numFmtId="37" fontId="3" fillId="0" borderId="62" xfId="0" quotePrefix="1" applyFont="1" applyBorder="1" applyAlignment="1">
      <alignment horizontal="center" wrapText="1"/>
    </xf>
    <xf numFmtId="37" fontId="3" fillId="0" borderId="43" xfId="0" quotePrefix="1" applyFont="1" applyBorder="1" applyAlignment="1">
      <alignment horizontal="center" wrapText="1"/>
    </xf>
    <xf numFmtId="37" fontId="3" fillId="0" borderId="1" xfId="0" quotePrefix="1" applyFont="1" applyBorder="1" applyAlignment="1">
      <alignment horizontal="center" wrapText="1"/>
    </xf>
    <xf numFmtId="37" fontId="3" fillId="0" borderId="9" xfId="0" quotePrefix="1" applyFont="1" applyBorder="1" applyAlignment="1">
      <alignment horizontal="center" wrapText="1"/>
    </xf>
    <xf numFmtId="37" fontId="3" fillId="0" borderId="18" xfId="0" applyFont="1" applyBorder="1" applyAlignment="1">
      <alignment horizontal="center" vertical="center"/>
    </xf>
    <xf numFmtId="37" fontId="3" fillId="0" borderId="15" xfId="0" applyFont="1" applyBorder="1" applyAlignment="1">
      <alignment horizontal="center" vertical="center"/>
    </xf>
    <xf numFmtId="37" fontId="3" fillId="0" borderId="19" xfId="0" applyFont="1" applyBorder="1" applyAlignment="1">
      <alignment horizontal="center" vertical="center"/>
    </xf>
    <xf numFmtId="37" fontId="4" fillId="0" borderId="0" xfId="0" applyFont="1" applyAlignment="1">
      <alignment horizontal="left" wrapText="1"/>
    </xf>
    <xf numFmtId="37" fontId="3" fillId="0" borderId="16" xfId="0" applyFont="1" applyBorder="1" applyAlignment="1">
      <alignment horizontal="center" vertical="center"/>
    </xf>
    <xf numFmtId="37" fontId="3" fillId="0" borderId="21" xfId="0" quotePrefix="1" applyFont="1" applyBorder="1" applyAlignment="1">
      <alignment horizontal="center" wrapText="1"/>
    </xf>
    <xf numFmtId="37" fontId="3" fillId="0" borderId="8" xfId="0" quotePrefix="1" applyFont="1" applyBorder="1" applyAlignment="1">
      <alignment horizontal="center" wrapText="1"/>
    </xf>
    <xf numFmtId="37" fontId="3" fillId="0" borderId="5" xfId="0" quotePrefix="1" applyFont="1" applyBorder="1" applyAlignment="1">
      <alignment horizontal="center" wrapText="1"/>
    </xf>
    <xf numFmtId="37" fontId="3" fillId="0" borderId="6" xfId="0" quotePrefix="1" applyFont="1" applyBorder="1" applyAlignment="1">
      <alignment horizontal="center" wrapText="1"/>
    </xf>
    <xf numFmtId="37" fontId="3" fillId="0" borderId="10" xfId="0" quotePrefix="1" applyFont="1" applyBorder="1" applyAlignment="1">
      <alignment horizontal="center" wrapText="1"/>
    </xf>
    <xf numFmtId="49" fontId="4" fillId="0" borderId="24" xfId="0" quotePrefix="1" applyNumberFormat="1" applyFont="1" applyBorder="1" applyAlignment="1">
      <alignment horizontal="left" wrapText="1"/>
    </xf>
    <xf numFmtId="49" fontId="4" fillId="0" borderId="0" xfId="0" quotePrefix="1" applyNumberFormat="1" applyFont="1" applyAlignment="1">
      <alignment horizontal="left" wrapText="1"/>
    </xf>
    <xf numFmtId="0" fontId="4" fillId="0" borderId="0" xfId="0" quotePrefix="1" applyNumberFormat="1" applyFont="1" applyAlignment="1">
      <alignment horizontal="left" wrapText="1"/>
    </xf>
    <xf numFmtId="37" fontId="3" fillId="0" borderId="1" xfId="0" applyFont="1" applyBorder="1" applyAlignment="1">
      <alignment horizontal="center" wrapText="1"/>
    </xf>
    <xf numFmtId="0" fontId="4" fillId="0" borderId="0" xfId="0" quotePrefix="1" applyNumberFormat="1" applyFont="1" applyBorder="1" applyAlignment="1">
      <alignment horizontal="left" vertical="center" wrapText="1"/>
    </xf>
    <xf numFmtId="37" fontId="3" fillId="3" borderId="15" xfId="0" quotePrefix="1" applyFont="1" applyFill="1" applyBorder="1" applyAlignment="1">
      <alignment horizontal="center" vertical="center"/>
    </xf>
    <xf numFmtId="37" fontId="3" fillId="3" borderId="15" xfId="0" applyFont="1" applyFill="1" applyBorder="1" applyAlignment="1">
      <alignment horizontal="center" vertical="center"/>
    </xf>
    <xf numFmtId="37" fontId="3" fillId="6" borderId="30" xfId="6" quotePrefix="1" applyNumberFormat="1" applyFont="1" applyFill="1" applyBorder="1" applyAlignment="1">
      <alignment horizontal="center" vertical="center"/>
    </xf>
    <xf numFmtId="37" fontId="3" fillId="6" borderId="27" xfId="6" applyNumberFormat="1" applyFont="1" applyFill="1" applyBorder="1" applyAlignment="1">
      <alignment horizontal="center" vertical="center"/>
    </xf>
    <xf numFmtId="37" fontId="3" fillId="6" borderId="29" xfId="6" applyNumberFormat="1" applyFont="1" applyFill="1" applyBorder="1" applyAlignment="1">
      <alignment horizontal="center" vertical="center"/>
    </xf>
    <xf numFmtId="37" fontId="3" fillId="3" borderId="30" xfId="0" quotePrefix="1" applyFont="1" applyFill="1" applyBorder="1" applyAlignment="1">
      <alignment horizontal="center" vertical="center"/>
    </xf>
    <xf numFmtId="37" fontId="3" fillId="3" borderId="27" xfId="0" quotePrefix="1" applyFont="1" applyFill="1" applyBorder="1" applyAlignment="1">
      <alignment horizontal="center" vertical="center"/>
    </xf>
    <xf numFmtId="37" fontId="3" fillId="3" borderId="29" xfId="0" quotePrefix="1" applyFont="1" applyFill="1" applyBorder="1" applyAlignment="1">
      <alignment horizontal="center" vertical="center"/>
    </xf>
    <xf numFmtId="37" fontId="4" fillId="0" borderId="2" xfId="7" quotePrefix="1" applyFont="1" applyBorder="1" applyAlignment="1">
      <alignment horizontal="left" vertical="center" wrapText="1"/>
    </xf>
    <xf numFmtId="37" fontId="4" fillId="0" borderId="0" xfId="7" quotePrefix="1" applyFont="1" applyAlignment="1">
      <alignment horizontal="left" vertical="center" wrapText="1"/>
    </xf>
    <xf numFmtId="37" fontId="3" fillId="7" borderId="46" xfId="0" applyFont="1" applyFill="1" applyBorder="1" applyAlignment="1">
      <alignment horizontal="center" vertical="center" wrapText="1"/>
    </xf>
    <xf numFmtId="37" fontId="3" fillId="7" borderId="47" xfId="0" applyFont="1" applyFill="1" applyBorder="1" applyAlignment="1">
      <alignment horizontal="center" vertical="center" wrapText="1"/>
    </xf>
    <xf numFmtId="37" fontId="3" fillId="7" borderId="4" xfId="0" applyFont="1" applyFill="1" applyBorder="1" applyAlignment="1">
      <alignment horizontal="center" wrapText="1"/>
    </xf>
    <xf numFmtId="37" fontId="3" fillId="7" borderId="9" xfId="0" applyFont="1" applyFill="1" applyBorder="1" applyAlignment="1">
      <alignment horizontal="center" wrapText="1"/>
    </xf>
    <xf numFmtId="49" fontId="3" fillId="0" borderId="0" xfId="5" applyNumberFormat="1" applyFont="1" applyFill="1" applyBorder="1" applyAlignment="1" applyProtection="1">
      <alignment horizontal="center"/>
    </xf>
    <xf numFmtId="39" fontId="3" fillId="0" borderId="2" xfId="5" quotePrefix="1" applyFont="1" applyBorder="1" applyAlignment="1">
      <alignment horizontal="center" vertical="center"/>
    </xf>
    <xf numFmtId="39" fontId="3" fillId="0" borderId="2" xfId="5" applyFont="1" applyBorder="1" applyAlignment="1">
      <alignment horizontal="center" vertical="center"/>
    </xf>
    <xf numFmtId="0" fontId="3" fillId="0" borderId="3" xfId="5" quotePrefix="1" applyNumberFormat="1" applyFont="1" applyBorder="1" applyAlignment="1">
      <alignment horizontal="center" vertical="center"/>
    </xf>
    <xf numFmtId="0" fontId="3" fillId="0" borderId="3" xfId="5" applyNumberFormat="1" applyFont="1" applyBorder="1" applyAlignment="1">
      <alignment horizontal="center" vertical="center"/>
    </xf>
    <xf numFmtId="37" fontId="3" fillId="7" borderId="16" xfId="0" quotePrefix="1" applyFont="1" applyFill="1" applyBorder="1" applyAlignment="1">
      <alignment horizontal="center" wrapText="1"/>
    </xf>
    <xf numFmtId="37" fontId="3" fillId="7" borderId="5" xfId="0" applyFont="1" applyFill="1" applyBorder="1" applyAlignment="1">
      <alignment horizontal="center" wrapText="1"/>
    </xf>
    <xf numFmtId="0" fontId="4" fillId="0" borderId="24" xfId="4" quotePrefix="1" applyFont="1" applyBorder="1" applyAlignment="1">
      <alignment horizontal="left" vertical="center" wrapText="1"/>
    </xf>
    <xf numFmtId="0" fontId="4" fillId="0" borderId="0" xfId="4" quotePrefix="1" applyFont="1" applyAlignment="1">
      <alignment horizontal="left" vertical="center" wrapText="1"/>
    </xf>
    <xf numFmtId="0" fontId="3" fillId="7" borderId="33" xfId="4" quotePrefix="1" applyFont="1" applyFill="1" applyBorder="1" applyAlignment="1">
      <alignment horizontal="center" wrapText="1"/>
    </xf>
    <xf numFmtId="0" fontId="3" fillId="7" borderId="38" xfId="4" quotePrefix="1" applyFont="1" applyFill="1" applyBorder="1" applyAlignment="1">
      <alignment horizontal="center" wrapText="1"/>
    </xf>
    <xf numFmtId="0" fontId="3" fillId="7" borderId="34" xfId="4" quotePrefix="1" applyFont="1" applyFill="1" applyBorder="1" applyAlignment="1">
      <alignment horizontal="center" wrapText="1"/>
    </xf>
    <xf numFmtId="0" fontId="3" fillId="7" borderId="39" xfId="4" quotePrefix="1" applyFont="1" applyFill="1" applyBorder="1" applyAlignment="1">
      <alignment horizontal="center" wrapText="1"/>
    </xf>
    <xf numFmtId="0" fontId="3" fillId="7" borderId="24" xfId="4" quotePrefix="1" applyFont="1" applyFill="1" applyBorder="1" applyAlignment="1">
      <alignment horizontal="center" wrapText="1"/>
    </xf>
    <xf numFmtId="0" fontId="3" fillId="7" borderId="24" xfId="4" applyFont="1" applyFill="1" applyBorder="1" applyAlignment="1">
      <alignment horizontal="center" wrapText="1"/>
    </xf>
    <xf numFmtId="0" fontId="3" fillId="7" borderId="38" xfId="4" applyFont="1" applyFill="1" applyBorder="1" applyAlignment="1">
      <alignment horizontal="center" wrapText="1"/>
    </xf>
    <xf numFmtId="0" fontId="3" fillId="7" borderId="11" xfId="4" applyFont="1" applyFill="1" applyBorder="1" applyAlignment="1">
      <alignment horizontal="center" wrapText="1"/>
    </xf>
    <xf numFmtId="0" fontId="3" fillId="7" borderId="39" xfId="4" applyFont="1" applyFill="1" applyBorder="1" applyAlignment="1">
      <alignment horizontal="center" wrapText="1"/>
    </xf>
    <xf numFmtId="37" fontId="3" fillId="7" borderId="13" xfId="0" quotePrefix="1" applyFont="1" applyFill="1" applyBorder="1" applyAlignment="1">
      <alignment horizontal="center" wrapText="1"/>
    </xf>
    <xf numFmtId="37" fontId="3" fillId="7" borderId="6" xfId="0" applyFont="1" applyFill="1" applyBorder="1" applyAlignment="1">
      <alignment horizontal="center" wrapText="1"/>
    </xf>
    <xf numFmtId="37" fontId="3" fillId="7" borderId="12" xfId="0" applyFont="1" applyFill="1" applyBorder="1" applyAlignment="1">
      <alignment horizontal="center" wrapText="1"/>
    </xf>
    <xf numFmtId="37" fontId="3" fillId="7" borderId="10" xfId="0" applyFont="1" applyFill="1" applyBorder="1" applyAlignment="1">
      <alignment horizontal="center" wrapText="1"/>
    </xf>
    <xf numFmtId="37" fontId="3" fillId="7" borderId="13" xfId="0" applyFont="1" applyFill="1" applyBorder="1" applyAlignment="1">
      <alignment horizontal="center" wrapText="1"/>
    </xf>
    <xf numFmtId="37" fontId="3" fillId="7" borderId="0" xfId="0" quotePrefix="1" applyFont="1" applyFill="1" applyBorder="1" applyAlignment="1">
      <alignment horizontal="center" wrapText="1"/>
    </xf>
    <xf numFmtId="37" fontId="3" fillId="7" borderId="3" xfId="0" applyFont="1" applyFill="1" applyBorder="1" applyAlignment="1">
      <alignment horizontal="center" wrapText="1"/>
    </xf>
    <xf numFmtId="37" fontId="3" fillId="7" borderId="33" xfId="0" quotePrefix="1" applyFont="1" applyFill="1" applyBorder="1" applyAlignment="1">
      <alignment horizontal="center" wrapText="1"/>
    </xf>
    <xf numFmtId="37" fontId="3" fillId="7" borderId="38" xfId="0" applyFont="1" applyFill="1" applyBorder="1" applyAlignment="1">
      <alignment horizontal="center" wrapText="1"/>
    </xf>
    <xf numFmtId="37" fontId="3" fillId="7" borderId="17" xfId="0" applyFont="1" applyFill="1" applyBorder="1" applyAlignment="1">
      <alignment horizontal="center" wrapText="1"/>
    </xf>
    <xf numFmtId="37" fontId="3" fillId="7" borderId="31" xfId="0" applyFont="1" applyFill="1" applyBorder="1" applyAlignment="1">
      <alignment horizontal="center" wrapText="1"/>
    </xf>
    <xf numFmtId="37" fontId="3" fillId="7" borderId="34" xfId="0" applyFont="1" applyFill="1" applyBorder="1" applyAlignment="1">
      <alignment horizontal="center" wrapText="1"/>
    </xf>
    <xf numFmtId="37" fontId="3" fillId="7" borderId="39" xfId="0" applyFont="1" applyFill="1" applyBorder="1" applyAlignment="1">
      <alignment horizontal="center" wrapText="1"/>
    </xf>
    <xf numFmtId="37" fontId="4" fillId="0" borderId="0" xfId="0" applyFont="1" applyAlignment="1">
      <alignment horizontal="center" wrapText="1"/>
    </xf>
    <xf numFmtId="37" fontId="29" fillId="14" borderId="34" xfId="0" quotePrefix="1" applyFont="1" applyFill="1" applyBorder="1" applyAlignment="1">
      <alignment horizontal="center"/>
    </xf>
    <xf numFmtId="37" fontId="29" fillId="14" borderId="11" xfId="0" applyFont="1" applyFill="1" applyBorder="1" applyAlignment="1">
      <alignment horizontal="center"/>
    </xf>
    <xf numFmtId="37" fontId="29" fillId="14" borderId="39" xfId="0" applyFont="1" applyFill="1" applyBorder="1" applyAlignment="1">
      <alignment horizontal="center"/>
    </xf>
  </cellXfs>
  <cellStyles count="9">
    <cellStyle name="BODY" xfId="1"/>
    <cellStyle name="Comma" xfId="2" builtinId="3"/>
    <cellStyle name="Comma_Direct Support" xfId="3"/>
    <cellStyle name="Hyperlink" xfId="8" builtinId="8"/>
    <cellStyle name="Normal" xfId="0" builtinId="0"/>
    <cellStyle name="Normal 2" xfId="7"/>
    <cellStyle name="Normal_Direct Support" xfId="4"/>
    <cellStyle name="Normal_Draft Personnel_ 10B" xfId="5"/>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3.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5.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Drop" dropStyle="combo" dx="16" fmlaLink="$Y$4" fmlaRange="$Y$2:$Y$3"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19050</xdr:colOff>
          <xdr:row>2</xdr:row>
          <xdr:rowOff>9525</xdr:rowOff>
        </xdr:from>
        <xdr:to>
          <xdr:col>21</xdr:col>
          <xdr:colOff>885825</xdr:colOff>
          <xdr:row>3</xdr:row>
          <xdr:rowOff>133350</xdr:rowOff>
        </xdr:to>
        <xdr:sp macro="" textlink="">
          <xdr:nvSpPr>
            <xdr:cNvPr id="240641" name="Button 1" hidden="1">
              <a:extLst>
                <a:ext uri="{63B3BB69-23CF-44E3-9099-C40C66FF867C}">
                  <a14:compatExt spid="_x0000_s2406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900" b="0" i="0" u="none" strike="noStrike" baseline="0">
                  <a:solidFill>
                    <a:srgbClr val="000000"/>
                  </a:solidFill>
                  <a:latin typeface="Times New Roman"/>
                  <a:cs typeface="Times New Roman"/>
                </a:rPr>
                <a:t>Replace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xdr:row>
          <xdr:rowOff>9525</xdr:rowOff>
        </xdr:from>
        <xdr:to>
          <xdr:col>1</xdr:col>
          <xdr:colOff>1343025</xdr:colOff>
          <xdr:row>3</xdr:row>
          <xdr:rowOff>85725</xdr:rowOff>
        </xdr:to>
        <xdr:sp macro="" textlink="">
          <xdr:nvSpPr>
            <xdr:cNvPr id="240646" name="Drop Down 6" hidden="1">
              <a:extLst>
                <a:ext uri="{63B3BB69-23CF-44E3-9099-C40C66FF867C}">
                  <a14:compatExt spid="_x0000_s2406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5-16%20FRAME%20Budg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dusfb/Age%20and%20Area/Age%20and%20Area%202006-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dusfb/Internet%20Projects/Forms/_Web%20Site/FB115A_F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08-09%20FRAME%20Budge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onzalo\financial%20report%20French%20Dept\13-14-257%20-%202013-14%20FRAME%20Budget_FR(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 3 -"/>
      <sheetName val="- 4 -"/>
      <sheetName val="- 6 -"/>
      <sheetName val="- 7 -"/>
      <sheetName val="- 8 -"/>
      <sheetName val="- 9 -"/>
      <sheetName val="- 10 -"/>
      <sheetName val="- 12 -"/>
      <sheetName val="- 13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40 -"/>
      <sheetName val="- 41 -"/>
      <sheetName val="- 42 -"/>
      <sheetName val="- 43 -"/>
      <sheetName val="- 44 -"/>
      <sheetName val="- 45 -"/>
      <sheetName val="- 47 -"/>
      <sheetName val="- 48 - "/>
      <sheetName val="- 50 -"/>
      <sheetName val="- 51 -"/>
      <sheetName val="- 52 -"/>
      <sheetName val="- 53 -"/>
      <sheetName val="- 54 -"/>
      <sheetName val="- 55 -"/>
      <sheetName val="- 56 -"/>
      <sheetName val="- 57 -"/>
      <sheetName val="- 58 -"/>
      <sheetName val="- 59 -"/>
      <sheetName val="- 60 -"/>
      <sheetName val="Data"/>
    </sheetNames>
    <sheetDataSet>
      <sheetData sheetId="0"/>
      <sheetData sheetId="1"/>
      <sheetData sheetId="2"/>
      <sheetData sheetId="3"/>
      <sheetData sheetId="4"/>
      <sheetData sheetId="5"/>
      <sheetData sheetId="6"/>
      <sheetData sheetId="7"/>
      <sheetData sheetId="8"/>
      <sheetData sheetId="9"/>
      <sheetData sheetId="10">
        <row r="2">
          <cell r="B2" t="str">
            <v>ANALYSIS OF EXPENSE BY FUNCTION</v>
          </cell>
        </row>
      </sheetData>
      <sheetData sheetId="11"/>
      <sheetData sheetId="12"/>
      <sheetData sheetId="13">
        <row r="2">
          <cell r="B2" t="str">
            <v>ANALYSIS OF EXPENSE BY PROGRAM</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4">
          <cell r="V4">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D"/>
      <sheetName val="Data"/>
      <sheetName val="Form"/>
      <sheetName val="WI"/>
      <sheetName val="List"/>
      <sheetName val="Decades"/>
      <sheetName val="TU's"/>
      <sheetName val="Summary"/>
      <sheetName val="Summary (2)"/>
      <sheetName val="Colony Form"/>
      <sheetName val="Rented Space"/>
    </sheetNames>
    <sheetDataSet>
      <sheetData sheetId="0"/>
      <sheetData sheetId="1">
        <row r="9">
          <cell r="A9" t="str">
            <v>BE</v>
          </cell>
        </row>
        <row r="10">
          <cell r="A10" t="str">
            <v>BE</v>
          </cell>
        </row>
        <row r="11">
          <cell r="A11" t="str">
            <v>BE</v>
          </cell>
        </row>
        <row r="12">
          <cell r="A12" t="str">
            <v>BE</v>
          </cell>
        </row>
        <row r="13">
          <cell r="A13" t="str">
            <v>BE</v>
          </cell>
        </row>
        <row r="14">
          <cell r="A14" t="str">
            <v>BE</v>
          </cell>
        </row>
        <row r="15">
          <cell r="A15" t="str">
            <v>BE</v>
          </cell>
        </row>
        <row r="16">
          <cell r="A16" t="str">
            <v>BE</v>
          </cell>
        </row>
        <row r="17">
          <cell r="A17" t="str">
            <v>BE</v>
          </cell>
        </row>
        <row r="18">
          <cell r="A18" t="str">
            <v>BE</v>
          </cell>
        </row>
        <row r="19">
          <cell r="A19" t="str">
            <v>BE</v>
          </cell>
        </row>
        <row r="20">
          <cell r="A20" t="str">
            <v>BE</v>
          </cell>
        </row>
        <row r="21">
          <cell r="A21" t="str">
            <v>BE</v>
          </cell>
        </row>
        <row r="22">
          <cell r="A22" t="str">
            <v>BE</v>
          </cell>
        </row>
        <row r="23">
          <cell r="A23" t="str">
            <v>BO</v>
          </cell>
        </row>
        <row r="24">
          <cell r="A24" t="str">
            <v>BO</v>
          </cell>
        </row>
        <row r="25">
          <cell r="A25" t="str">
            <v>BO</v>
          </cell>
        </row>
        <row r="26">
          <cell r="A26" t="str">
            <v>BO</v>
          </cell>
        </row>
        <row r="27">
          <cell r="A27" t="str">
            <v>BO</v>
          </cell>
        </row>
        <row r="28">
          <cell r="A28" t="str">
            <v>BO</v>
          </cell>
        </row>
        <row r="29">
          <cell r="A29" t="str">
            <v>BO</v>
          </cell>
        </row>
        <row r="30">
          <cell r="A30" t="str">
            <v>BO</v>
          </cell>
        </row>
        <row r="31">
          <cell r="A31" t="str">
            <v>BO</v>
          </cell>
        </row>
        <row r="32">
          <cell r="A32" t="str">
            <v>BO</v>
          </cell>
        </row>
        <row r="33">
          <cell r="A33" t="str">
            <v>BO</v>
          </cell>
        </row>
        <row r="34">
          <cell r="A34" t="str">
            <v>BO</v>
          </cell>
        </row>
        <row r="35">
          <cell r="A35" t="str">
            <v>BO</v>
          </cell>
        </row>
        <row r="36">
          <cell r="A36" t="str">
            <v>BO</v>
          </cell>
        </row>
        <row r="37">
          <cell r="A37" t="str">
            <v>BO</v>
          </cell>
        </row>
        <row r="38">
          <cell r="A38" t="str">
            <v>BR</v>
          </cell>
        </row>
        <row r="39">
          <cell r="A39" t="str">
            <v>BR</v>
          </cell>
        </row>
        <row r="40">
          <cell r="A40" t="str">
            <v>BR</v>
          </cell>
        </row>
        <row r="41">
          <cell r="A41" t="str">
            <v>BR</v>
          </cell>
        </row>
        <row r="42">
          <cell r="A42" t="str">
            <v>BR</v>
          </cell>
        </row>
        <row r="43">
          <cell r="A43" t="str">
            <v>BR</v>
          </cell>
        </row>
        <row r="44">
          <cell r="A44" t="str">
            <v>BR</v>
          </cell>
        </row>
        <row r="45">
          <cell r="A45" t="str">
            <v>BR</v>
          </cell>
        </row>
        <row r="46">
          <cell r="A46" t="str">
            <v>BR</v>
          </cell>
        </row>
        <row r="47">
          <cell r="A47" t="str">
            <v>BR</v>
          </cell>
        </row>
        <row r="48">
          <cell r="A48" t="str">
            <v>BR</v>
          </cell>
        </row>
        <row r="49">
          <cell r="A49" t="str">
            <v>BR</v>
          </cell>
        </row>
        <row r="50">
          <cell r="A50" t="str">
            <v>BR</v>
          </cell>
        </row>
        <row r="51">
          <cell r="A51" t="str">
            <v>BR</v>
          </cell>
        </row>
        <row r="52">
          <cell r="A52" t="str">
            <v>BR</v>
          </cell>
        </row>
        <row r="53">
          <cell r="A53" t="str">
            <v>BR</v>
          </cell>
        </row>
        <row r="54">
          <cell r="A54" t="str">
            <v>BR</v>
          </cell>
        </row>
        <row r="55">
          <cell r="A55" t="str">
            <v>BR</v>
          </cell>
        </row>
        <row r="56">
          <cell r="A56" t="str">
            <v>BR</v>
          </cell>
        </row>
        <row r="57">
          <cell r="A57" t="str">
            <v>BR</v>
          </cell>
        </row>
        <row r="58">
          <cell r="A58" t="str">
            <v>BR</v>
          </cell>
        </row>
        <row r="59">
          <cell r="A59" t="str">
            <v>BR</v>
          </cell>
        </row>
        <row r="60">
          <cell r="A60" t="str">
            <v>DI</v>
          </cell>
        </row>
        <row r="61">
          <cell r="A61" t="str">
            <v>DI</v>
          </cell>
        </row>
        <row r="62">
          <cell r="A62" t="str">
            <v>DI</v>
          </cell>
        </row>
        <row r="63">
          <cell r="A63" t="str">
            <v>DI</v>
          </cell>
        </row>
        <row r="64">
          <cell r="A64" t="str">
            <v>DI</v>
          </cell>
        </row>
        <row r="65">
          <cell r="A65" t="str">
            <v>DI</v>
          </cell>
        </row>
        <row r="66">
          <cell r="A66" t="str">
            <v>DI</v>
          </cell>
        </row>
        <row r="67">
          <cell r="A67" t="str">
            <v>DI</v>
          </cell>
        </row>
        <row r="68">
          <cell r="A68" t="str">
            <v>DI</v>
          </cell>
        </row>
        <row r="69">
          <cell r="A69" t="str">
            <v>DI</v>
          </cell>
        </row>
        <row r="70">
          <cell r="A70" t="str">
            <v>DI</v>
          </cell>
        </row>
        <row r="71">
          <cell r="A71" t="str">
            <v>DI</v>
          </cell>
        </row>
        <row r="72">
          <cell r="A72" t="str">
            <v>DI</v>
          </cell>
        </row>
        <row r="73">
          <cell r="A73" t="str">
            <v>DI</v>
          </cell>
        </row>
        <row r="74">
          <cell r="A74" t="str">
            <v>DI</v>
          </cell>
        </row>
        <row r="75">
          <cell r="A75" t="str">
            <v>DI</v>
          </cell>
        </row>
        <row r="76">
          <cell r="A76" t="str">
            <v>DI</v>
          </cell>
        </row>
        <row r="77">
          <cell r="A77" t="str">
            <v>DI</v>
          </cell>
        </row>
        <row r="78">
          <cell r="A78" t="str">
            <v>DI</v>
          </cell>
        </row>
        <row r="79">
          <cell r="A79" t="str">
            <v>DI</v>
          </cell>
        </row>
        <row r="80">
          <cell r="A80" t="str">
            <v>DI</v>
          </cell>
        </row>
        <row r="81">
          <cell r="A81" t="str">
            <v>DI</v>
          </cell>
        </row>
        <row r="82">
          <cell r="A82" t="str">
            <v>EV</v>
          </cell>
        </row>
        <row r="83">
          <cell r="A83" t="str">
            <v>EV</v>
          </cell>
        </row>
        <row r="84">
          <cell r="A84" t="str">
            <v>EV</v>
          </cell>
        </row>
        <row r="85">
          <cell r="A85" t="str">
            <v>EV</v>
          </cell>
        </row>
        <row r="86">
          <cell r="A86" t="str">
            <v>EV</v>
          </cell>
        </row>
        <row r="87">
          <cell r="A87" t="str">
            <v>EV</v>
          </cell>
        </row>
        <row r="88">
          <cell r="A88" t="str">
            <v>EV</v>
          </cell>
        </row>
        <row r="89">
          <cell r="A89" t="str">
            <v>EV</v>
          </cell>
        </row>
        <row r="90">
          <cell r="A90" t="str">
            <v>FL</v>
          </cell>
        </row>
        <row r="91">
          <cell r="A91" t="str">
            <v>FL</v>
          </cell>
        </row>
        <row r="92">
          <cell r="A92" t="str">
            <v>FL</v>
          </cell>
        </row>
        <row r="93">
          <cell r="A93" t="str">
            <v>FL</v>
          </cell>
        </row>
        <row r="94">
          <cell r="A94" t="str">
            <v>FO</v>
          </cell>
        </row>
        <row r="95">
          <cell r="A95" t="str">
            <v>FO</v>
          </cell>
        </row>
        <row r="96">
          <cell r="A96" t="str">
            <v>FO</v>
          </cell>
        </row>
        <row r="97">
          <cell r="A97" t="str">
            <v>FO</v>
          </cell>
        </row>
        <row r="98">
          <cell r="A98" t="str">
            <v>FO</v>
          </cell>
        </row>
        <row r="99">
          <cell r="A99" t="str">
            <v>FO</v>
          </cell>
        </row>
        <row r="100">
          <cell r="A100" t="str">
            <v>FO</v>
          </cell>
        </row>
        <row r="101">
          <cell r="A101" t="str">
            <v>FO</v>
          </cell>
        </row>
        <row r="102">
          <cell r="A102" t="str">
            <v>FO</v>
          </cell>
        </row>
        <row r="103">
          <cell r="A103" t="str">
            <v>FO</v>
          </cell>
        </row>
        <row r="104">
          <cell r="A104" t="str">
            <v>FO</v>
          </cell>
        </row>
        <row r="105">
          <cell r="A105" t="str">
            <v>FR</v>
          </cell>
        </row>
        <row r="106">
          <cell r="A106" t="str">
            <v>FR</v>
          </cell>
        </row>
        <row r="107">
          <cell r="A107" t="str">
            <v>FR</v>
          </cell>
        </row>
        <row r="108">
          <cell r="A108" t="str">
            <v>FR</v>
          </cell>
        </row>
        <row r="109">
          <cell r="A109" t="str">
            <v>FR</v>
          </cell>
        </row>
        <row r="110">
          <cell r="A110" t="str">
            <v>FR</v>
          </cell>
        </row>
        <row r="111">
          <cell r="A111" t="str">
            <v>FR</v>
          </cell>
        </row>
        <row r="112">
          <cell r="A112" t="str">
            <v>FR</v>
          </cell>
        </row>
        <row r="113">
          <cell r="A113" t="str">
            <v>FR</v>
          </cell>
        </row>
        <row r="114">
          <cell r="A114" t="str">
            <v>FR</v>
          </cell>
        </row>
        <row r="115">
          <cell r="A115" t="str">
            <v>FR</v>
          </cell>
        </row>
        <row r="116">
          <cell r="A116" t="str">
            <v>FR</v>
          </cell>
        </row>
        <row r="117">
          <cell r="A117" t="str">
            <v>FR</v>
          </cell>
        </row>
        <row r="118">
          <cell r="A118" t="str">
            <v>FR</v>
          </cell>
        </row>
        <row r="119">
          <cell r="A119" t="str">
            <v>FR</v>
          </cell>
        </row>
        <row r="120">
          <cell r="A120" t="str">
            <v>FR</v>
          </cell>
        </row>
        <row r="121">
          <cell r="A121" t="str">
            <v>FR</v>
          </cell>
        </row>
        <row r="122">
          <cell r="A122" t="str">
            <v>FR</v>
          </cell>
        </row>
        <row r="123">
          <cell r="A123" t="str">
            <v>FR</v>
          </cell>
        </row>
        <row r="124">
          <cell r="A124" t="str">
            <v>FR</v>
          </cell>
        </row>
        <row r="125">
          <cell r="A125" t="str">
            <v>FR</v>
          </cell>
        </row>
        <row r="126">
          <cell r="A126" t="str">
            <v>FR</v>
          </cell>
        </row>
        <row r="127">
          <cell r="A127" t="str">
            <v>FR</v>
          </cell>
        </row>
        <row r="128">
          <cell r="A128" t="str">
            <v>FR</v>
          </cell>
        </row>
        <row r="129">
          <cell r="A129" t="str">
            <v>FR</v>
          </cell>
        </row>
        <row r="130">
          <cell r="A130" t="str">
            <v>FR</v>
          </cell>
        </row>
        <row r="131">
          <cell r="A131" t="str">
            <v>FR</v>
          </cell>
        </row>
        <row r="132">
          <cell r="A132" t="str">
            <v>FR</v>
          </cell>
        </row>
        <row r="133">
          <cell r="A133" t="str">
            <v>FR</v>
          </cell>
        </row>
        <row r="134">
          <cell r="A134" t="str">
            <v>FR</v>
          </cell>
        </row>
        <row r="135">
          <cell r="A135" t="str">
            <v>FR</v>
          </cell>
        </row>
        <row r="136">
          <cell r="A136" t="str">
            <v>FR</v>
          </cell>
        </row>
        <row r="137">
          <cell r="A137" t="str">
            <v>FR</v>
          </cell>
        </row>
        <row r="138">
          <cell r="A138" t="str">
            <v>FR</v>
          </cell>
        </row>
        <row r="139">
          <cell r="A139" t="str">
            <v>FR</v>
          </cell>
        </row>
        <row r="140">
          <cell r="A140" t="str">
            <v>FR</v>
          </cell>
        </row>
        <row r="141">
          <cell r="A141" t="str">
            <v>FR</v>
          </cell>
        </row>
        <row r="142">
          <cell r="A142" t="str">
            <v>FR</v>
          </cell>
        </row>
        <row r="143">
          <cell r="A143" t="str">
            <v>FR</v>
          </cell>
        </row>
        <row r="144">
          <cell r="A144" t="str">
            <v>GA</v>
          </cell>
        </row>
        <row r="145">
          <cell r="A145" t="str">
            <v>GA</v>
          </cell>
        </row>
        <row r="146">
          <cell r="A146" t="str">
            <v>GA</v>
          </cell>
        </row>
        <row r="147">
          <cell r="A147" t="str">
            <v>GA</v>
          </cell>
        </row>
        <row r="148">
          <cell r="A148" t="str">
            <v>GA</v>
          </cell>
        </row>
        <row r="149">
          <cell r="A149" t="str">
            <v>GA</v>
          </cell>
        </row>
        <row r="150">
          <cell r="A150" t="str">
            <v>GA</v>
          </cell>
        </row>
        <row r="151">
          <cell r="A151" t="str">
            <v>GA</v>
          </cell>
        </row>
        <row r="152">
          <cell r="A152" t="str">
            <v>GA</v>
          </cell>
        </row>
        <row r="153">
          <cell r="A153" t="str">
            <v>GA</v>
          </cell>
        </row>
        <row r="154">
          <cell r="A154" t="str">
            <v>HA</v>
          </cell>
        </row>
        <row r="155">
          <cell r="A155" t="str">
            <v>HA</v>
          </cell>
        </row>
        <row r="156">
          <cell r="A156" t="str">
            <v>HA</v>
          </cell>
        </row>
        <row r="157">
          <cell r="A157" t="str">
            <v>HA</v>
          </cell>
        </row>
        <row r="158">
          <cell r="A158" t="str">
            <v>HA</v>
          </cell>
        </row>
        <row r="159">
          <cell r="A159" t="str">
            <v>HA</v>
          </cell>
        </row>
        <row r="160">
          <cell r="A160" t="str">
            <v>HA</v>
          </cell>
        </row>
        <row r="161">
          <cell r="A161" t="str">
            <v>HA</v>
          </cell>
        </row>
        <row r="162">
          <cell r="A162" t="str">
            <v>HA</v>
          </cell>
        </row>
        <row r="163">
          <cell r="A163" t="str">
            <v>HA</v>
          </cell>
        </row>
        <row r="164">
          <cell r="A164" t="str">
            <v>HA</v>
          </cell>
        </row>
        <row r="165">
          <cell r="A165" t="str">
            <v>HA</v>
          </cell>
        </row>
        <row r="166">
          <cell r="A166" t="str">
            <v>HA</v>
          </cell>
        </row>
        <row r="167">
          <cell r="A167" t="str">
            <v>HA</v>
          </cell>
        </row>
        <row r="168">
          <cell r="A168" t="str">
            <v>HA</v>
          </cell>
        </row>
        <row r="169">
          <cell r="A169" t="str">
            <v>HA</v>
          </cell>
        </row>
        <row r="170">
          <cell r="A170" t="str">
            <v>HA</v>
          </cell>
        </row>
        <row r="171">
          <cell r="A171" t="str">
            <v>IN</v>
          </cell>
        </row>
        <row r="172">
          <cell r="A172" t="str">
            <v>IN</v>
          </cell>
        </row>
        <row r="173">
          <cell r="A173" t="str">
            <v>IN</v>
          </cell>
        </row>
        <row r="174">
          <cell r="A174" t="str">
            <v>IN</v>
          </cell>
        </row>
        <row r="175">
          <cell r="A175" t="str">
            <v>IN</v>
          </cell>
        </row>
        <row r="176">
          <cell r="A176" t="str">
            <v>IN</v>
          </cell>
        </row>
        <row r="177">
          <cell r="A177" t="str">
            <v>IN</v>
          </cell>
        </row>
        <row r="178">
          <cell r="A178" t="str">
            <v>IN</v>
          </cell>
        </row>
        <row r="179">
          <cell r="A179" t="str">
            <v>IN</v>
          </cell>
        </row>
        <row r="180">
          <cell r="A180" t="str">
            <v>IN</v>
          </cell>
        </row>
        <row r="181">
          <cell r="A181" t="str">
            <v>IN</v>
          </cell>
        </row>
        <row r="182">
          <cell r="A182" t="str">
            <v>IN</v>
          </cell>
        </row>
        <row r="183">
          <cell r="A183" t="str">
            <v>IN</v>
          </cell>
        </row>
        <row r="184">
          <cell r="A184" t="str">
            <v>IN</v>
          </cell>
        </row>
        <row r="185">
          <cell r="A185" t="str">
            <v>IN</v>
          </cell>
        </row>
        <row r="186">
          <cell r="A186" t="str">
            <v>IN</v>
          </cell>
        </row>
        <row r="187">
          <cell r="A187" t="str">
            <v>IN</v>
          </cell>
        </row>
        <row r="188">
          <cell r="A188" t="str">
            <v>IN</v>
          </cell>
        </row>
        <row r="189">
          <cell r="A189" t="str">
            <v>IN</v>
          </cell>
        </row>
        <row r="190">
          <cell r="A190" t="str">
            <v>IN</v>
          </cell>
        </row>
        <row r="191">
          <cell r="A191" t="str">
            <v>IN</v>
          </cell>
        </row>
        <row r="192">
          <cell r="A192" t="str">
            <v>KE</v>
          </cell>
        </row>
        <row r="193">
          <cell r="A193" t="str">
            <v>KE</v>
          </cell>
        </row>
        <row r="194">
          <cell r="A194" t="str">
            <v>KE</v>
          </cell>
        </row>
        <row r="195">
          <cell r="A195" t="str">
            <v>KE</v>
          </cell>
        </row>
        <row r="196">
          <cell r="A196" t="str">
            <v>KE</v>
          </cell>
        </row>
        <row r="197">
          <cell r="A197" t="str">
            <v>LA</v>
          </cell>
        </row>
        <row r="198">
          <cell r="A198" t="str">
            <v>LA</v>
          </cell>
        </row>
        <row r="199">
          <cell r="A199" t="str">
            <v>LA</v>
          </cell>
        </row>
        <row r="200">
          <cell r="A200" t="str">
            <v>LA</v>
          </cell>
        </row>
        <row r="201">
          <cell r="A201" t="str">
            <v>LA</v>
          </cell>
        </row>
        <row r="202">
          <cell r="A202" t="str">
            <v>LA</v>
          </cell>
        </row>
        <row r="203">
          <cell r="A203" t="str">
            <v>LA</v>
          </cell>
        </row>
        <row r="204">
          <cell r="A204" t="str">
            <v>LA</v>
          </cell>
        </row>
        <row r="205">
          <cell r="A205" t="str">
            <v>LA</v>
          </cell>
        </row>
        <row r="206">
          <cell r="A206" t="str">
            <v>LA</v>
          </cell>
        </row>
        <row r="207">
          <cell r="A207" t="str">
            <v>LO</v>
          </cell>
        </row>
        <row r="208">
          <cell r="A208" t="str">
            <v>LO</v>
          </cell>
        </row>
        <row r="209">
          <cell r="A209" t="str">
            <v>LO</v>
          </cell>
        </row>
        <row r="210">
          <cell r="A210" t="str">
            <v>LO</v>
          </cell>
        </row>
        <row r="211">
          <cell r="A211" t="str">
            <v>LO</v>
          </cell>
        </row>
        <row r="212">
          <cell r="A212" t="str">
            <v>LO</v>
          </cell>
        </row>
        <row r="213">
          <cell r="A213" t="str">
            <v>LO</v>
          </cell>
        </row>
        <row r="214">
          <cell r="A214" t="str">
            <v>LO</v>
          </cell>
        </row>
        <row r="215">
          <cell r="A215" t="str">
            <v>LO</v>
          </cell>
        </row>
        <row r="216">
          <cell r="A216" t="str">
            <v>LO</v>
          </cell>
        </row>
        <row r="217">
          <cell r="A217" t="str">
            <v>LO</v>
          </cell>
        </row>
        <row r="218">
          <cell r="A218" t="str">
            <v>LO</v>
          </cell>
        </row>
        <row r="219">
          <cell r="A219" t="str">
            <v>LO</v>
          </cell>
        </row>
        <row r="220">
          <cell r="A220" t="str">
            <v>LO</v>
          </cell>
        </row>
        <row r="221">
          <cell r="A221" t="str">
            <v>LR</v>
          </cell>
        </row>
        <row r="222">
          <cell r="A222" t="str">
            <v>LR</v>
          </cell>
        </row>
        <row r="223">
          <cell r="A223" t="str">
            <v>LR</v>
          </cell>
        </row>
        <row r="224">
          <cell r="A224" t="str">
            <v>LR</v>
          </cell>
        </row>
        <row r="225">
          <cell r="A225" t="str">
            <v>LR</v>
          </cell>
        </row>
        <row r="226">
          <cell r="A226" t="str">
            <v>LR</v>
          </cell>
        </row>
        <row r="227">
          <cell r="A227" t="str">
            <v>LR</v>
          </cell>
        </row>
        <row r="228">
          <cell r="A228" t="str">
            <v>LR</v>
          </cell>
        </row>
        <row r="229">
          <cell r="A229" t="str">
            <v>LR</v>
          </cell>
        </row>
        <row r="230">
          <cell r="A230" t="str">
            <v>LR</v>
          </cell>
        </row>
        <row r="231">
          <cell r="A231" t="str">
            <v>LR</v>
          </cell>
        </row>
        <row r="232">
          <cell r="A232" t="str">
            <v>LR</v>
          </cell>
        </row>
        <row r="233">
          <cell r="A233" t="str">
            <v>LR</v>
          </cell>
        </row>
        <row r="234">
          <cell r="A234" t="str">
            <v>LR</v>
          </cell>
        </row>
        <row r="235">
          <cell r="A235" t="str">
            <v>LR</v>
          </cell>
        </row>
        <row r="236">
          <cell r="A236" t="str">
            <v>LR</v>
          </cell>
        </row>
        <row r="237">
          <cell r="A237" t="str">
            <v>LR</v>
          </cell>
        </row>
        <row r="238">
          <cell r="A238" t="str">
            <v>LR</v>
          </cell>
        </row>
        <row r="239">
          <cell r="A239" t="str">
            <v>LR</v>
          </cell>
        </row>
        <row r="240">
          <cell r="A240" t="str">
            <v>LR</v>
          </cell>
        </row>
        <row r="241">
          <cell r="A241" t="str">
            <v>LR</v>
          </cell>
        </row>
        <row r="242">
          <cell r="A242" t="str">
            <v>LR</v>
          </cell>
        </row>
        <row r="243">
          <cell r="A243" t="str">
            <v>LR</v>
          </cell>
        </row>
        <row r="244">
          <cell r="A244" t="str">
            <v>LR</v>
          </cell>
        </row>
        <row r="245">
          <cell r="A245" t="str">
            <v>LR</v>
          </cell>
        </row>
        <row r="246">
          <cell r="A246" t="str">
            <v>LR</v>
          </cell>
        </row>
        <row r="247">
          <cell r="A247" t="str">
            <v>LR</v>
          </cell>
        </row>
        <row r="248">
          <cell r="A248" t="str">
            <v>LR</v>
          </cell>
        </row>
        <row r="249">
          <cell r="A249" t="str">
            <v>LR</v>
          </cell>
        </row>
        <row r="250">
          <cell r="A250" t="str">
            <v>LR</v>
          </cell>
        </row>
        <row r="251">
          <cell r="A251" t="str">
            <v>LR</v>
          </cell>
        </row>
        <row r="252">
          <cell r="A252" t="str">
            <v>LR</v>
          </cell>
        </row>
        <row r="253">
          <cell r="A253" t="str">
            <v>LR</v>
          </cell>
        </row>
        <row r="254">
          <cell r="A254" t="str">
            <v>LR</v>
          </cell>
        </row>
        <row r="255">
          <cell r="A255" t="str">
            <v>LR</v>
          </cell>
        </row>
        <row r="256">
          <cell r="A256" t="str">
            <v>LR</v>
          </cell>
        </row>
        <row r="257">
          <cell r="A257" t="str">
            <v>LR</v>
          </cell>
        </row>
        <row r="258">
          <cell r="A258" t="str">
            <v>LR</v>
          </cell>
        </row>
        <row r="259">
          <cell r="A259" t="str">
            <v>LR</v>
          </cell>
        </row>
        <row r="260">
          <cell r="A260" t="str">
            <v>MO</v>
          </cell>
        </row>
        <row r="261">
          <cell r="A261" t="str">
            <v>MO</v>
          </cell>
        </row>
        <row r="262">
          <cell r="A262" t="str">
            <v>MO</v>
          </cell>
        </row>
        <row r="263">
          <cell r="A263" t="str">
            <v>MO</v>
          </cell>
        </row>
        <row r="264">
          <cell r="A264" t="str">
            <v>MO</v>
          </cell>
        </row>
        <row r="265">
          <cell r="A265" t="str">
            <v>MO</v>
          </cell>
        </row>
        <row r="266">
          <cell r="A266" t="str">
            <v>MO</v>
          </cell>
        </row>
        <row r="267">
          <cell r="A267" t="str">
            <v>MO</v>
          </cell>
        </row>
        <row r="268">
          <cell r="A268" t="str">
            <v>MO</v>
          </cell>
        </row>
        <row r="269">
          <cell r="A269" t="str">
            <v>MO</v>
          </cell>
        </row>
        <row r="270">
          <cell r="A270" t="str">
            <v>MO</v>
          </cell>
        </row>
        <row r="271">
          <cell r="A271" t="str">
            <v>MO</v>
          </cell>
        </row>
        <row r="272">
          <cell r="A272" t="str">
            <v>MO</v>
          </cell>
        </row>
        <row r="273">
          <cell r="A273" t="str">
            <v>MO</v>
          </cell>
        </row>
        <row r="274">
          <cell r="A274" t="str">
            <v>MO</v>
          </cell>
        </row>
        <row r="275">
          <cell r="A275" t="str">
            <v>MO</v>
          </cell>
        </row>
        <row r="276">
          <cell r="A276" t="str">
            <v>MY</v>
          </cell>
        </row>
        <row r="277">
          <cell r="A277" t="str">
            <v>MY</v>
          </cell>
        </row>
        <row r="278">
          <cell r="A278" t="str">
            <v>MY</v>
          </cell>
        </row>
        <row r="279">
          <cell r="A279" t="str">
            <v>MY</v>
          </cell>
        </row>
        <row r="280">
          <cell r="A280" t="str">
            <v>MY</v>
          </cell>
        </row>
        <row r="281">
          <cell r="A281" t="str">
            <v>MY</v>
          </cell>
        </row>
        <row r="282">
          <cell r="A282" t="str">
            <v>MY</v>
          </cell>
        </row>
        <row r="283">
          <cell r="A283" t="str">
            <v>PA</v>
          </cell>
        </row>
        <row r="284">
          <cell r="A284" t="str">
            <v>PA</v>
          </cell>
        </row>
        <row r="285">
          <cell r="A285" t="str">
            <v>PA</v>
          </cell>
        </row>
        <row r="286">
          <cell r="A286" t="str">
            <v>PA</v>
          </cell>
        </row>
        <row r="287">
          <cell r="A287" t="str">
            <v>PA</v>
          </cell>
        </row>
        <row r="288">
          <cell r="A288" t="str">
            <v>PA</v>
          </cell>
        </row>
        <row r="289">
          <cell r="A289" t="str">
            <v>PA</v>
          </cell>
        </row>
        <row r="290">
          <cell r="A290" t="str">
            <v>PA</v>
          </cell>
        </row>
        <row r="291">
          <cell r="A291" t="str">
            <v>PA</v>
          </cell>
        </row>
        <row r="292">
          <cell r="A292" t="str">
            <v>PA</v>
          </cell>
        </row>
        <row r="293">
          <cell r="A293" t="str">
            <v>PA</v>
          </cell>
        </row>
        <row r="294">
          <cell r="A294" t="str">
            <v>PA</v>
          </cell>
        </row>
        <row r="295">
          <cell r="A295" t="str">
            <v>PA</v>
          </cell>
        </row>
        <row r="296">
          <cell r="A296" t="str">
            <v>PA</v>
          </cell>
        </row>
        <row r="297">
          <cell r="A297" t="str">
            <v>PE</v>
          </cell>
        </row>
        <row r="298">
          <cell r="A298" t="str">
            <v>PE</v>
          </cell>
        </row>
        <row r="299">
          <cell r="A299" t="str">
            <v>PE</v>
          </cell>
        </row>
        <row r="300">
          <cell r="A300" t="str">
            <v>PE</v>
          </cell>
        </row>
        <row r="301">
          <cell r="A301" t="str">
            <v>PE</v>
          </cell>
        </row>
        <row r="302">
          <cell r="A302" t="str">
            <v>PE</v>
          </cell>
        </row>
        <row r="303">
          <cell r="A303" t="str">
            <v>PE</v>
          </cell>
        </row>
        <row r="304">
          <cell r="A304" t="str">
            <v>PE</v>
          </cell>
        </row>
        <row r="305">
          <cell r="A305" t="str">
            <v>PE</v>
          </cell>
        </row>
        <row r="306">
          <cell r="A306" t="str">
            <v>PE</v>
          </cell>
        </row>
        <row r="307">
          <cell r="A307" t="str">
            <v>PE</v>
          </cell>
        </row>
        <row r="308">
          <cell r="A308" t="str">
            <v>PE</v>
          </cell>
        </row>
        <row r="309">
          <cell r="A309" t="str">
            <v>PE</v>
          </cell>
        </row>
        <row r="310">
          <cell r="A310" t="str">
            <v>PE</v>
          </cell>
        </row>
        <row r="311">
          <cell r="A311" t="str">
            <v>PE</v>
          </cell>
        </row>
        <row r="312">
          <cell r="A312" t="str">
            <v>PE</v>
          </cell>
        </row>
        <row r="313">
          <cell r="A313" t="str">
            <v>PE</v>
          </cell>
        </row>
        <row r="314">
          <cell r="A314" t="str">
            <v>PE</v>
          </cell>
        </row>
        <row r="315">
          <cell r="A315" t="str">
            <v>PE</v>
          </cell>
        </row>
        <row r="316">
          <cell r="A316" t="str">
            <v>PE</v>
          </cell>
        </row>
        <row r="317">
          <cell r="A317" t="str">
            <v>PE</v>
          </cell>
        </row>
        <row r="318">
          <cell r="A318" t="str">
            <v>PE</v>
          </cell>
        </row>
        <row r="319">
          <cell r="A319" t="str">
            <v>PE</v>
          </cell>
        </row>
        <row r="320">
          <cell r="A320" t="str">
            <v>PE</v>
          </cell>
        </row>
        <row r="321">
          <cell r="A321" t="str">
            <v>PE</v>
          </cell>
        </row>
        <row r="322">
          <cell r="A322" t="str">
            <v>PE</v>
          </cell>
        </row>
        <row r="323">
          <cell r="A323" t="str">
            <v>PE</v>
          </cell>
        </row>
        <row r="324">
          <cell r="A324" t="str">
            <v>PE</v>
          </cell>
        </row>
        <row r="325">
          <cell r="A325" t="str">
            <v>PE</v>
          </cell>
        </row>
        <row r="326">
          <cell r="A326" t="str">
            <v>PE</v>
          </cell>
        </row>
        <row r="327">
          <cell r="A327" t="str">
            <v>PE</v>
          </cell>
        </row>
        <row r="328">
          <cell r="A328" t="str">
            <v>PE</v>
          </cell>
        </row>
        <row r="329">
          <cell r="A329" t="str">
            <v>PE</v>
          </cell>
        </row>
        <row r="330">
          <cell r="A330" t="str">
            <v>PI</v>
          </cell>
        </row>
        <row r="331">
          <cell r="A331" t="str">
            <v>PI</v>
          </cell>
        </row>
        <row r="332">
          <cell r="A332" t="str">
            <v>PI</v>
          </cell>
        </row>
        <row r="333">
          <cell r="A333" t="str">
            <v>PI</v>
          </cell>
        </row>
        <row r="334">
          <cell r="A334" t="str">
            <v>PI</v>
          </cell>
        </row>
        <row r="335">
          <cell r="A335" t="str">
            <v>PI</v>
          </cell>
        </row>
        <row r="336">
          <cell r="A336" t="str">
            <v>PI</v>
          </cell>
        </row>
        <row r="337">
          <cell r="A337" t="str">
            <v>PI</v>
          </cell>
        </row>
        <row r="338">
          <cell r="A338" t="str">
            <v>PI</v>
          </cell>
        </row>
        <row r="339">
          <cell r="A339" t="str">
            <v>PI</v>
          </cell>
        </row>
        <row r="340">
          <cell r="A340" t="str">
            <v>PI</v>
          </cell>
        </row>
        <row r="341">
          <cell r="A341" t="str">
            <v>PI</v>
          </cell>
        </row>
        <row r="342">
          <cell r="A342" t="str">
            <v>PI</v>
          </cell>
        </row>
        <row r="343">
          <cell r="A343" t="str">
            <v>PO</v>
          </cell>
        </row>
        <row r="344">
          <cell r="A344" t="str">
            <v>PO</v>
          </cell>
        </row>
        <row r="345">
          <cell r="A345" t="str">
            <v>PO</v>
          </cell>
        </row>
        <row r="346">
          <cell r="A346" t="str">
            <v>PO</v>
          </cell>
        </row>
        <row r="347">
          <cell r="A347" t="str">
            <v>PO</v>
          </cell>
        </row>
        <row r="348">
          <cell r="A348" t="str">
            <v>PO</v>
          </cell>
        </row>
        <row r="349">
          <cell r="A349" t="str">
            <v>PO</v>
          </cell>
        </row>
        <row r="350">
          <cell r="A350" t="str">
            <v>PO</v>
          </cell>
        </row>
        <row r="351">
          <cell r="A351" t="str">
            <v>PO</v>
          </cell>
        </row>
        <row r="352">
          <cell r="A352" t="str">
            <v>PO</v>
          </cell>
        </row>
        <row r="353">
          <cell r="A353" t="str">
            <v>PO</v>
          </cell>
        </row>
        <row r="354">
          <cell r="A354" t="str">
            <v>PO</v>
          </cell>
        </row>
        <row r="355">
          <cell r="A355" t="str">
            <v>PO</v>
          </cell>
        </row>
        <row r="356">
          <cell r="A356" t="str">
            <v>PO</v>
          </cell>
        </row>
        <row r="357">
          <cell r="A357" t="str">
            <v>PO</v>
          </cell>
        </row>
        <row r="358">
          <cell r="A358" t="str">
            <v>PO</v>
          </cell>
        </row>
        <row r="359">
          <cell r="A359" t="str">
            <v>PO</v>
          </cell>
        </row>
        <row r="360">
          <cell r="A360" t="str">
            <v>PO</v>
          </cell>
        </row>
        <row r="361">
          <cell r="A361" t="str">
            <v>PO</v>
          </cell>
        </row>
        <row r="362">
          <cell r="A362" t="str">
            <v>PO</v>
          </cell>
        </row>
        <row r="363">
          <cell r="A363" t="str">
            <v>PR</v>
          </cell>
        </row>
        <row r="364">
          <cell r="A364" t="str">
            <v>PR</v>
          </cell>
        </row>
        <row r="365">
          <cell r="A365" t="str">
            <v>PR</v>
          </cell>
        </row>
        <row r="366">
          <cell r="A366" t="str">
            <v>PR</v>
          </cell>
        </row>
        <row r="367">
          <cell r="A367" t="str">
            <v>PR</v>
          </cell>
        </row>
        <row r="368">
          <cell r="A368" t="str">
            <v>PR</v>
          </cell>
        </row>
        <row r="369">
          <cell r="A369" t="str">
            <v>PR</v>
          </cell>
        </row>
        <row r="370">
          <cell r="A370" t="str">
            <v>PR</v>
          </cell>
        </row>
        <row r="371">
          <cell r="A371" t="str">
            <v>PR</v>
          </cell>
        </row>
        <row r="372">
          <cell r="A372" t="str">
            <v>PR</v>
          </cell>
        </row>
        <row r="373">
          <cell r="A373" t="str">
            <v>PR</v>
          </cell>
        </row>
        <row r="374">
          <cell r="A374" t="str">
            <v>PR</v>
          </cell>
        </row>
        <row r="375">
          <cell r="A375" t="str">
            <v>PR</v>
          </cell>
        </row>
        <row r="376">
          <cell r="A376" t="str">
            <v>PR</v>
          </cell>
        </row>
        <row r="377">
          <cell r="A377" t="str">
            <v>PR</v>
          </cell>
        </row>
        <row r="378">
          <cell r="A378" t="str">
            <v>PR</v>
          </cell>
        </row>
        <row r="379">
          <cell r="A379" t="str">
            <v>PR</v>
          </cell>
        </row>
        <row r="380">
          <cell r="A380" t="str">
            <v>PR</v>
          </cell>
        </row>
        <row r="381">
          <cell r="A381" t="str">
            <v>PR</v>
          </cell>
        </row>
        <row r="382">
          <cell r="A382" t="str">
            <v>PR</v>
          </cell>
        </row>
        <row r="383">
          <cell r="A383" t="str">
            <v>PR</v>
          </cell>
        </row>
        <row r="384">
          <cell r="A384" t="str">
            <v>PR</v>
          </cell>
        </row>
        <row r="385">
          <cell r="A385" t="str">
            <v>PR</v>
          </cell>
        </row>
        <row r="386">
          <cell r="A386" t="str">
            <v>PR</v>
          </cell>
        </row>
        <row r="387">
          <cell r="A387" t="str">
            <v>PR</v>
          </cell>
        </row>
        <row r="388">
          <cell r="A388" t="str">
            <v>PS</v>
          </cell>
        </row>
        <row r="389">
          <cell r="A389" t="str">
            <v>PS</v>
          </cell>
        </row>
        <row r="390">
          <cell r="A390" t="str">
            <v>PS</v>
          </cell>
        </row>
        <row r="391">
          <cell r="A391" t="str">
            <v>PS</v>
          </cell>
        </row>
        <row r="392">
          <cell r="A392" t="str">
            <v>PS</v>
          </cell>
        </row>
        <row r="393">
          <cell r="A393" t="str">
            <v>PS</v>
          </cell>
        </row>
        <row r="394">
          <cell r="A394" t="str">
            <v>PS</v>
          </cell>
        </row>
        <row r="395">
          <cell r="A395" t="str">
            <v>PS</v>
          </cell>
        </row>
        <row r="396">
          <cell r="A396" t="str">
            <v>PS</v>
          </cell>
        </row>
        <row r="397">
          <cell r="A397" t="str">
            <v>PS</v>
          </cell>
        </row>
        <row r="398">
          <cell r="A398" t="str">
            <v>PS</v>
          </cell>
        </row>
        <row r="399">
          <cell r="A399" t="str">
            <v>PS</v>
          </cell>
        </row>
        <row r="400">
          <cell r="A400" t="str">
            <v>PS</v>
          </cell>
        </row>
        <row r="401">
          <cell r="A401" t="str">
            <v>PS</v>
          </cell>
        </row>
        <row r="402">
          <cell r="A402" t="str">
            <v>PS</v>
          </cell>
        </row>
        <row r="403">
          <cell r="A403" t="str">
            <v>PS</v>
          </cell>
        </row>
        <row r="404">
          <cell r="A404" t="str">
            <v>PS</v>
          </cell>
        </row>
        <row r="405">
          <cell r="A405" t="str">
            <v>PS</v>
          </cell>
        </row>
        <row r="406">
          <cell r="A406" t="str">
            <v>PS</v>
          </cell>
        </row>
        <row r="407">
          <cell r="A407" t="str">
            <v>PS</v>
          </cell>
        </row>
        <row r="408">
          <cell r="A408" t="str">
            <v>PS</v>
          </cell>
        </row>
        <row r="409">
          <cell r="A409" t="str">
            <v>PS</v>
          </cell>
        </row>
        <row r="410">
          <cell r="A410" t="str">
            <v>PS</v>
          </cell>
        </row>
        <row r="411">
          <cell r="A411" t="str">
            <v>PS</v>
          </cell>
        </row>
        <row r="412">
          <cell r="A412" t="str">
            <v>PS</v>
          </cell>
        </row>
        <row r="413">
          <cell r="A413" t="str">
            <v>PS</v>
          </cell>
        </row>
        <row r="414">
          <cell r="A414" t="str">
            <v>PS</v>
          </cell>
        </row>
        <row r="415">
          <cell r="A415" t="str">
            <v>PS</v>
          </cell>
        </row>
        <row r="416">
          <cell r="A416" t="str">
            <v>PS</v>
          </cell>
        </row>
        <row r="417">
          <cell r="A417" t="str">
            <v>RE</v>
          </cell>
        </row>
        <row r="418">
          <cell r="A418" t="str">
            <v>RE</v>
          </cell>
        </row>
        <row r="419">
          <cell r="A419" t="str">
            <v>RE</v>
          </cell>
        </row>
        <row r="420">
          <cell r="A420" t="str">
            <v>RE</v>
          </cell>
        </row>
        <row r="421">
          <cell r="A421" t="str">
            <v>RE</v>
          </cell>
        </row>
        <row r="422">
          <cell r="A422" t="str">
            <v>RE</v>
          </cell>
        </row>
        <row r="423">
          <cell r="A423" t="str">
            <v>RE</v>
          </cell>
        </row>
        <row r="424">
          <cell r="A424" t="str">
            <v>RE</v>
          </cell>
        </row>
        <row r="425">
          <cell r="A425" t="str">
            <v>RE</v>
          </cell>
        </row>
        <row r="426">
          <cell r="A426" t="str">
            <v>RE</v>
          </cell>
        </row>
        <row r="427">
          <cell r="A427" t="str">
            <v>RE</v>
          </cell>
        </row>
        <row r="428">
          <cell r="A428" t="str">
            <v>RE</v>
          </cell>
        </row>
        <row r="429">
          <cell r="A429" t="str">
            <v>RE</v>
          </cell>
        </row>
        <row r="430">
          <cell r="A430" t="str">
            <v>RE</v>
          </cell>
        </row>
        <row r="431">
          <cell r="A431" t="str">
            <v>RE</v>
          </cell>
        </row>
        <row r="432">
          <cell r="A432" t="str">
            <v>RI</v>
          </cell>
        </row>
        <row r="433">
          <cell r="A433" t="str">
            <v>RI</v>
          </cell>
        </row>
        <row r="434">
          <cell r="A434" t="str">
            <v>RI</v>
          </cell>
        </row>
        <row r="435">
          <cell r="A435" t="str">
            <v>RI</v>
          </cell>
        </row>
        <row r="436">
          <cell r="A436" t="str">
            <v>RI</v>
          </cell>
        </row>
        <row r="437">
          <cell r="A437" t="str">
            <v>RI</v>
          </cell>
        </row>
        <row r="438">
          <cell r="A438" t="str">
            <v>RI</v>
          </cell>
        </row>
        <row r="439">
          <cell r="A439" t="str">
            <v>RI</v>
          </cell>
        </row>
        <row r="440">
          <cell r="A440" t="str">
            <v>RI</v>
          </cell>
        </row>
        <row r="441">
          <cell r="A441" t="str">
            <v>RI</v>
          </cell>
        </row>
        <row r="442">
          <cell r="A442" t="str">
            <v>RI</v>
          </cell>
        </row>
        <row r="443">
          <cell r="A443" t="str">
            <v>RI</v>
          </cell>
        </row>
        <row r="444">
          <cell r="A444" t="str">
            <v>RI</v>
          </cell>
        </row>
        <row r="445">
          <cell r="A445" t="str">
            <v>RI</v>
          </cell>
        </row>
        <row r="446">
          <cell r="A446" t="str">
            <v>RI</v>
          </cell>
        </row>
        <row r="447">
          <cell r="A447" t="str">
            <v>RI</v>
          </cell>
        </row>
        <row r="448">
          <cell r="A448" t="str">
            <v>RI</v>
          </cell>
        </row>
        <row r="449">
          <cell r="A449" t="str">
            <v>RI</v>
          </cell>
        </row>
        <row r="450">
          <cell r="A450" t="str">
            <v>RI</v>
          </cell>
        </row>
        <row r="451">
          <cell r="A451" t="str">
            <v>RI</v>
          </cell>
        </row>
        <row r="452">
          <cell r="A452" t="str">
            <v>RI</v>
          </cell>
        </row>
        <row r="453">
          <cell r="A453" t="str">
            <v>RI</v>
          </cell>
        </row>
        <row r="454">
          <cell r="A454" t="str">
            <v>RI</v>
          </cell>
        </row>
        <row r="455">
          <cell r="A455" t="str">
            <v>RI</v>
          </cell>
        </row>
        <row r="456">
          <cell r="A456" t="str">
            <v>RI</v>
          </cell>
        </row>
        <row r="457">
          <cell r="A457" t="str">
            <v>RI</v>
          </cell>
        </row>
        <row r="458">
          <cell r="A458" t="str">
            <v>RI</v>
          </cell>
        </row>
        <row r="459">
          <cell r="A459" t="str">
            <v>RI</v>
          </cell>
        </row>
        <row r="460">
          <cell r="A460" t="str">
            <v>RI</v>
          </cell>
        </row>
        <row r="461">
          <cell r="A461" t="str">
            <v>RI</v>
          </cell>
        </row>
        <row r="462">
          <cell r="A462" t="str">
            <v>RI</v>
          </cell>
        </row>
        <row r="463">
          <cell r="A463" t="str">
            <v>RI</v>
          </cell>
        </row>
        <row r="464">
          <cell r="A464" t="str">
            <v>RI</v>
          </cell>
        </row>
        <row r="465">
          <cell r="A465" t="str">
            <v>RI</v>
          </cell>
        </row>
        <row r="466">
          <cell r="A466" t="str">
            <v>RI</v>
          </cell>
        </row>
        <row r="467">
          <cell r="A467" t="str">
            <v>RI</v>
          </cell>
        </row>
        <row r="468">
          <cell r="A468" t="str">
            <v>RI</v>
          </cell>
        </row>
        <row r="469">
          <cell r="A469" t="str">
            <v>RI</v>
          </cell>
        </row>
        <row r="470">
          <cell r="A470" t="str">
            <v>RI</v>
          </cell>
        </row>
        <row r="471">
          <cell r="A471" t="str">
            <v>RI</v>
          </cell>
        </row>
        <row r="472">
          <cell r="A472" t="str">
            <v>RI</v>
          </cell>
        </row>
        <row r="473">
          <cell r="A473" t="str">
            <v>RI</v>
          </cell>
        </row>
        <row r="474">
          <cell r="A474" t="str">
            <v>RO</v>
          </cell>
        </row>
        <row r="475">
          <cell r="A475" t="str">
            <v>RO</v>
          </cell>
        </row>
        <row r="476">
          <cell r="A476" t="str">
            <v>RO</v>
          </cell>
        </row>
        <row r="477">
          <cell r="A477" t="str">
            <v>RO</v>
          </cell>
        </row>
        <row r="478">
          <cell r="A478" t="str">
            <v>RO</v>
          </cell>
        </row>
        <row r="479">
          <cell r="A479" t="str">
            <v>RO</v>
          </cell>
        </row>
        <row r="480">
          <cell r="A480" t="str">
            <v>RO</v>
          </cell>
        </row>
        <row r="481">
          <cell r="A481" t="str">
            <v>RO</v>
          </cell>
        </row>
        <row r="482">
          <cell r="A482" t="str">
            <v>RO</v>
          </cell>
        </row>
        <row r="483">
          <cell r="A483" t="str">
            <v>RO</v>
          </cell>
        </row>
        <row r="484">
          <cell r="A484" t="str">
            <v>RO</v>
          </cell>
        </row>
        <row r="485">
          <cell r="A485" t="str">
            <v>RO</v>
          </cell>
        </row>
        <row r="486">
          <cell r="A486" t="str">
            <v>RO</v>
          </cell>
        </row>
        <row r="487">
          <cell r="A487" t="str">
            <v>RO</v>
          </cell>
        </row>
        <row r="488">
          <cell r="A488" t="str">
            <v>RO</v>
          </cell>
        </row>
        <row r="489">
          <cell r="A489" t="str">
            <v>RO</v>
          </cell>
        </row>
        <row r="490">
          <cell r="A490" t="str">
            <v>SE</v>
          </cell>
        </row>
        <row r="491">
          <cell r="A491" t="str">
            <v>SE</v>
          </cell>
        </row>
        <row r="492">
          <cell r="A492" t="str">
            <v>SE</v>
          </cell>
        </row>
        <row r="493">
          <cell r="A493" t="str">
            <v>SE</v>
          </cell>
        </row>
        <row r="494">
          <cell r="A494" t="str">
            <v>SE</v>
          </cell>
        </row>
        <row r="495">
          <cell r="A495" t="str">
            <v>SE</v>
          </cell>
        </row>
        <row r="496">
          <cell r="A496" t="str">
            <v>SE</v>
          </cell>
        </row>
        <row r="497">
          <cell r="A497" t="str">
            <v>SE</v>
          </cell>
        </row>
        <row r="498">
          <cell r="A498" t="str">
            <v>SE</v>
          </cell>
        </row>
        <row r="499">
          <cell r="A499" t="str">
            <v>SE</v>
          </cell>
        </row>
        <row r="500">
          <cell r="A500" t="str">
            <v>SE</v>
          </cell>
        </row>
        <row r="501">
          <cell r="A501" t="str">
            <v>SE</v>
          </cell>
        </row>
        <row r="502">
          <cell r="A502" t="str">
            <v>SE</v>
          </cell>
        </row>
        <row r="503">
          <cell r="A503" t="str">
            <v>SE</v>
          </cell>
        </row>
        <row r="504">
          <cell r="A504" t="str">
            <v>SE</v>
          </cell>
        </row>
        <row r="505">
          <cell r="A505" t="str">
            <v>SO</v>
          </cell>
        </row>
        <row r="506">
          <cell r="A506" t="str">
            <v>SO</v>
          </cell>
        </row>
        <row r="507">
          <cell r="A507" t="str">
            <v>SO</v>
          </cell>
        </row>
        <row r="508">
          <cell r="A508" t="str">
            <v>SO</v>
          </cell>
        </row>
        <row r="509">
          <cell r="A509" t="str">
            <v>SO</v>
          </cell>
        </row>
        <row r="510">
          <cell r="A510" t="str">
            <v>SO</v>
          </cell>
        </row>
        <row r="511">
          <cell r="A511" t="str">
            <v>SO</v>
          </cell>
        </row>
        <row r="512">
          <cell r="A512" t="str">
            <v>SO</v>
          </cell>
        </row>
        <row r="513">
          <cell r="A513" t="str">
            <v>SO</v>
          </cell>
        </row>
        <row r="514">
          <cell r="A514" t="str">
            <v>SO</v>
          </cell>
        </row>
        <row r="515">
          <cell r="A515" t="str">
            <v>SO</v>
          </cell>
        </row>
        <row r="516">
          <cell r="A516" t="str">
            <v>SO</v>
          </cell>
        </row>
        <row r="517">
          <cell r="A517" t="str">
            <v>SO</v>
          </cell>
        </row>
        <row r="518">
          <cell r="A518" t="str">
            <v>SO</v>
          </cell>
        </row>
        <row r="519">
          <cell r="A519" t="str">
            <v>SO</v>
          </cell>
        </row>
        <row r="520">
          <cell r="A520" t="str">
            <v>SO</v>
          </cell>
        </row>
        <row r="521">
          <cell r="A521" t="str">
            <v>SO</v>
          </cell>
        </row>
        <row r="522">
          <cell r="A522" t="str">
            <v>SO</v>
          </cell>
        </row>
        <row r="523">
          <cell r="A523" t="str">
            <v>SO</v>
          </cell>
        </row>
        <row r="524">
          <cell r="A524" t="str">
            <v>SO</v>
          </cell>
        </row>
        <row r="525">
          <cell r="A525" t="str">
            <v>SR</v>
          </cell>
        </row>
        <row r="526">
          <cell r="A526" t="str">
            <v>SR</v>
          </cell>
        </row>
        <row r="527">
          <cell r="A527" t="str">
            <v>SR</v>
          </cell>
        </row>
        <row r="528">
          <cell r="A528" t="str">
            <v>SR</v>
          </cell>
        </row>
        <row r="529">
          <cell r="A529" t="str">
            <v>SR</v>
          </cell>
        </row>
        <row r="530">
          <cell r="A530" t="str">
            <v>SR</v>
          </cell>
        </row>
        <row r="531">
          <cell r="A531" t="str">
            <v>SR</v>
          </cell>
        </row>
        <row r="532">
          <cell r="A532" t="str">
            <v>SR</v>
          </cell>
        </row>
        <row r="533">
          <cell r="A533" t="str">
            <v>SR</v>
          </cell>
        </row>
        <row r="534">
          <cell r="A534" t="str">
            <v>SR</v>
          </cell>
        </row>
        <row r="535">
          <cell r="A535" t="str">
            <v>SR</v>
          </cell>
        </row>
        <row r="536">
          <cell r="A536" t="str">
            <v>SR</v>
          </cell>
        </row>
        <row r="537">
          <cell r="A537" t="str">
            <v>SR</v>
          </cell>
        </row>
        <row r="538">
          <cell r="A538" t="str">
            <v>ST</v>
          </cell>
        </row>
        <row r="539">
          <cell r="A539" t="str">
            <v>ST</v>
          </cell>
        </row>
        <row r="540">
          <cell r="A540" t="str">
            <v>ST</v>
          </cell>
        </row>
        <row r="541">
          <cell r="A541" t="str">
            <v>ST</v>
          </cell>
        </row>
        <row r="542">
          <cell r="A542" t="str">
            <v>ST</v>
          </cell>
        </row>
        <row r="543">
          <cell r="A543" t="str">
            <v>ST</v>
          </cell>
        </row>
        <row r="544">
          <cell r="A544" t="str">
            <v>ST</v>
          </cell>
        </row>
        <row r="545">
          <cell r="A545" t="str">
            <v>ST</v>
          </cell>
        </row>
        <row r="546">
          <cell r="A546" t="str">
            <v>ST</v>
          </cell>
        </row>
        <row r="547">
          <cell r="A547" t="str">
            <v>ST</v>
          </cell>
        </row>
        <row r="548">
          <cell r="A548" t="str">
            <v>ST</v>
          </cell>
        </row>
        <row r="549">
          <cell r="A549" t="str">
            <v>ST</v>
          </cell>
        </row>
        <row r="550">
          <cell r="A550" t="str">
            <v>ST</v>
          </cell>
        </row>
        <row r="551">
          <cell r="A551" t="str">
            <v>ST</v>
          </cell>
        </row>
        <row r="552">
          <cell r="A552" t="str">
            <v>ST</v>
          </cell>
        </row>
        <row r="553">
          <cell r="A553" t="str">
            <v>ST</v>
          </cell>
        </row>
        <row r="554">
          <cell r="A554" t="str">
            <v>ST</v>
          </cell>
        </row>
        <row r="555">
          <cell r="A555" t="str">
            <v>ST</v>
          </cell>
        </row>
        <row r="556">
          <cell r="A556" t="str">
            <v>ST</v>
          </cell>
        </row>
        <row r="557">
          <cell r="A557" t="str">
            <v>ST</v>
          </cell>
        </row>
        <row r="558">
          <cell r="A558" t="str">
            <v>ST</v>
          </cell>
        </row>
        <row r="559">
          <cell r="A559" t="str">
            <v>ST</v>
          </cell>
        </row>
        <row r="560">
          <cell r="A560" t="str">
            <v>ST</v>
          </cell>
        </row>
        <row r="561">
          <cell r="A561" t="str">
            <v>ST</v>
          </cell>
        </row>
        <row r="562">
          <cell r="A562" t="str">
            <v>ST</v>
          </cell>
        </row>
        <row r="563">
          <cell r="A563" t="str">
            <v>ST</v>
          </cell>
        </row>
        <row r="564">
          <cell r="A564" t="str">
            <v>SU</v>
          </cell>
        </row>
        <row r="565">
          <cell r="A565" t="str">
            <v>SU</v>
          </cell>
        </row>
        <row r="566">
          <cell r="A566" t="str">
            <v>SU</v>
          </cell>
        </row>
        <row r="567">
          <cell r="A567" t="str">
            <v>SU</v>
          </cell>
        </row>
        <row r="568">
          <cell r="A568" t="str">
            <v>SU</v>
          </cell>
        </row>
        <row r="569">
          <cell r="A569" t="str">
            <v>SU</v>
          </cell>
        </row>
        <row r="570">
          <cell r="A570" t="str">
            <v>SU</v>
          </cell>
        </row>
        <row r="571">
          <cell r="A571" t="str">
            <v>SU</v>
          </cell>
        </row>
        <row r="572">
          <cell r="A572" t="str">
            <v>SU</v>
          </cell>
        </row>
        <row r="573">
          <cell r="A573" t="str">
            <v>SU</v>
          </cell>
        </row>
        <row r="574">
          <cell r="A574" t="str">
            <v>SU</v>
          </cell>
        </row>
        <row r="575">
          <cell r="A575" t="str">
            <v>SU</v>
          </cell>
        </row>
        <row r="576">
          <cell r="A576" t="str">
            <v>SU</v>
          </cell>
        </row>
        <row r="577">
          <cell r="A577" t="str">
            <v>SU</v>
          </cell>
        </row>
        <row r="578">
          <cell r="A578" t="str">
            <v>SU</v>
          </cell>
        </row>
        <row r="579">
          <cell r="A579" t="str">
            <v>SU</v>
          </cell>
        </row>
        <row r="580">
          <cell r="A580" t="str">
            <v>SU</v>
          </cell>
        </row>
        <row r="581">
          <cell r="A581" t="str">
            <v>SU</v>
          </cell>
        </row>
        <row r="582">
          <cell r="A582" t="str">
            <v>SU</v>
          </cell>
        </row>
        <row r="583">
          <cell r="A583" t="str">
            <v>SU</v>
          </cell>
        </row>
        <row r="584">
          <cell r="A584" t="str">
            <v>SU</v>
          </cell>
        </row>
        <row r="585">
          <cell r="A585" t="str">
            <v>SW</v>
          </cell>
        </row>
        <row r="586">
          <cell r="A586" t="str">
            <v>SW</v>
          </cell>
        </row>
        <row r="587">
          <cell r="A587" t="str">
            <v>SW</v>
          </cell>
        </row>
        <row r="588">
          <cell r="A588" t="str">
            <v>SW</v>
          </cell>
        </row>
        <row r="589">
          <cell r="A589" t="str">
            <v>SW</v>
          </cell>
        </row>
        <row r="590">
          <cell r="A590" t="str">
            <v>SW</v>
          </cell>
        </row>
        <row r="591">
          <cell r="A591" t="str">
            <v>SW</v>
          </cell>
        </row>
        <row r="592">
          <cell r="A592" t="str">
            <v>SW</v>
          </cell>
        </row>
        <row r="593">
          <cell r="A593" t="str">
            <v>SW</v>
          </cell>
        </row>
        <row r="594">
          <cell r="A594" t="str">
            <v>TM</v>
          </cell>
        </row>
        <row r="595">
          <cell r="A595" t="str">
            <v>TM</v>
          </cell>
        </row>
        <row r="596">
          <cell r="A596" t="str">
            <v>TM</v>
          </cell>
        </row>
        <row r="597">
          <cell r="A597" t="str">
            <v>TM</v>
          </cell>
        </row>
        <row r="598">
          <cell r="A598" t="str">
            <v>TM</v>
          </cell>
        </row>
        <row r="599">
          <cell r="A599" t="str">
            <v>TM</v>
          </cell>
        </row>
        <row r="600">
          <cell r="A600" t="str">
            <v>TM</v>
          </cell>
        </row>
        <row r="601">
          <cell r="A601" t="str">
            <v>TM</v>
          </cell>
        </row>
        <row r="602">
          <cell r="A602" t="str">
            <v>TR</v>
          </cell>
        </row>
        <row r="603">
          <cell r="A603" t="str">
            <v>TR</v>
          </cell>
        </row>
        <row r="604">
          <cell r="A604" t="str">
            <v>TR</v>
          </cell>
        </row>
        <row r="605">
          <cell r="A605" t="str">
            <v>TR</v>
          </cell>
        </row>
        <row r="606">
          <cell r="A606" t="str">
            <v>TR</v>
          </cell>
        </row>
        <row r="607">
          <cell r="A607" t="str">
            <v>TR</v>
          </cell>
        </row>
        <row r="608">
          <cell r="A608" t="str">
            <v>TR</v>
          </cell>
        </row>
        <row r="609">
          <cell r="A609" t="str">
            <v>WE</v>
          </cell>
        </row>
        <row r="610">
          <cell r="A610" t="str">
            <v>WE</v>
          </cell>
        </row>
        <row r="611">
          <cell r="A611" t="str">
            <v>WE</v>
          </cell>
        </row>
        <row r="612">
          <cell r="A612" t="str">
            <v>WE</v>
          </cell>
        </row>
        <row r="613">
          <cell r="A613" t="str">
            <v>WI</v>
          </cell>
        </row>
        <row r="614">
          <cell r="A614" t="str">
            <v>WI</v>
          </cell>
        </row>
        <row r="615">
          <cell r="A615" t="str">
            <v>WI</v>
          </cell>
        </row>
        <row r="616">
          <cell r="A616" t="str">
            <v>WI</v>
          </cell>
        </row>
        <row r="617">
          <cell r="A617" t="str">
            <v>WI</v>
          </cell>
        </row>
        <row r="618">
          <cell r="A618" t="str">
            <v>WI</v>
          </cell>
        </row>
        <row r="619">
          <cell r="A619" t="str">
            <v>WI</v>
          </cell>
        </row>
        <row r="620">
          <cell r="A620" t="str">
            <v>WI</v>
          </cell>
        </row>
        <row r="621">
          <cell r="A621" t="str">
            <v>WI</v>
          </cell>
        </row>
        <row r="622">
          <cell r="A622" t="str">
            <v>WI</v>
          </cell>
        </row>
        <row r="623">
          <cell r="A623" t="str">
            <v>WI</v>
          </cell>
        </row>
        <row r="624">
          <cell r="A624" t="str">
            <v>WI</v>
          </cell>
        </row>
        <row r="625">
          <cell r="A625" t="str">
            <v>WI</v>
          </cell>
        </row>
        <row r="626">
          <cell r="A626" t="str">
            <v>WI</v>
          </cell>
        </row>
        <row r="627">
          <cell r="A627" t="str">
            <v>WI</v>
          </cell>
        </row>
        <row r="628">
          <cell r="A628" t="str">
            <v>WI</v>
          </cell>
        </row>
        <row r="629">
          <cell r="A629" t="str">
            <v>WI</v>
          </cell>
        </row>
        <row r="630">
          <cell r="A630" t="str">
            <v>WI</v>
          </cell>
        </row>
        <row r="631">
          <cell r="A631" t="str">
            <v>WI</v>
          </cell>
        </row>
        <row r="632">
          <cell r="A632" t="str">
            <v>WI</v>
          </cell>
        </row>
        <row r="633">
          <cell r="A633" t="str">
            <v>WI</v>
          </cell>
        </row>
        <row r="634">
          <cell r="A634" t="str">
            <v>WI</v>
          </cell>
        </row>
        <row r="635">
          <cell r="A635" t="str">
            <v>WI</v>
          </cell>
        </row>
        <row r="636">
          <cell r="A636" t="str">
            <v>WI</v>
          </cell>
        </row>
        <row r="637">
          <cell r="A637" t="str">
            <v>WI</v>
          </cell>
        </row>
        <row r="638">
          <cell r="A638" t="str">
            <v>WI</v>
          </cell>
        </row>
        <row r="639">
          <cell r="A639" t="str">
            <v>WI</v>
          </cell>
        </row>
        <row r="640">
          <cell r="A640" t="str">
            <v>WI</v>
          </cell>
        </row>
        <row r="641">
          <cell r="A641" t="str">
            <v>WI</v>
          </cell>
        </row>
        <row r="642">
          <cell r="A642" t="str">
            <v>WI</v>
          </cell>
        </row>
        <row r="643">
          <cell r="A643" t="str">
            <v>WI</v>
          </cell>
        </row>
        <row r="644">
          <cell r="A644" t="str">
            <v>WI</v>
          </cell>
        </row>
        <row r="645">
          <cell r="A645" t="str">
            <v>WI</v>
          </cell>
        </row>
        <row r="646">
          <cell r="A646" t="str">
            <v>WI</v>
          </cell>
        </row>
        <row r="647">
          <cell r="A647" t="str">
            <v>WI</v>
          </cell>
        </row>
        <row r="648">
          <cell r="A648" t="str">
            <v>WI</v>
          </cell>
        </row>
        <row r="649">
          <cell r="A649" t="str">
            <v>WI</v>
          </cell>
        </row>
        <row r="650">
          <cell r="A650" t="str">
            <v>WI</v>
          </cell>
        </row>
        <row r="651">
          <cell r="A651" t="str">
            <v>WI</v>
          </cell>
        </row>
        <row r="652">
          <cell r="A652" t="str">
            <v>WI</v>
          </cell>
        </row>
        <row r="653">
          <cell r="A653" t="str">
            <v>WI</v>
          </cell>
        </row>
        <row r="654">
          <cell r="A654" t="str">
            <v>WI</v>
          </cell>
        </row>
        <row r="655">
          <cell r="A655" t="str">
            <v>WI</v>
          </cell>
        </row>
        <row r="656">
          <cell r="A656" t="str">
            <v>WI</v>
          </cell>
        </row>
        <row r="657">
          <cell r="A657" t="str">
            <v>WI</v>
          </cell>
        </row>
        <row r="658">
          <cell r="A658" t="str">
            <v>WI</v>
          </cell>
        </row>
        <row r="659">
          <cell r="A659" t="str">
            <v>WI</v>
          </cell>
        </row>
        <row r="660">
          <cell r="A660" t="str">
            <v>WI</v>
          </cell>
        </row>
        <row r="661">
          <cell r="A661" t="str">
            <v>WI</v>
          </cell>
        </row>
        <row r="662">
          <cell r="A662" t="str">
            <v>WI</v>
          </cell>
        </row>
        <row r="663">
          <cell r="A663" t="str">
            <v>WI</v>
          </cell>
        </row>
        <row r="664">
          <cell r="A664" t="str">
            <v>WI</v>
          </cell>
        </row>
        <row r="665">
          <cell r="A665" t="str">
            <v>WI</v>
          </cell>
        </row>
        <row r="666">
          <cell r="A666" t="str">
            <v>WI</v>
          </cell>
        </row>
        <row r="667">
          <cell r="A667" t="str">
            <v>WI</v>
          </cell>
        </row>
        <row r="668">
          <cell r="A668" t="str">
            <v>WI</v>
          </cell>
        </row>
        <row r="669">
          <cell r="A669" t="str">
            <v>WI</v>
          </cell>
        </row>
        <row r="670">
          <cell r="A670" t="str">
            <v>WI</v>
          </cell>
        </row>
        <row r="671">
          <cell r="A671" t="str">
            <v>WI</v>
          </cell>
        </row>
        <row r="672">
          <cell r="A672" t="str">
            <v>WI</v>
          </cell>
        </row>
        <row r="673">
          <cell r="A673" t="str">
            <v>WI</v>
          </cell>
        </row>
        <row r="674">
          <cell r="A674" t="str">
            <v>WI</v>
          </cell>
        </row>
        <row r="675">
          <cell r="A675" t="str">
            <v>WI</v>
          </cell>
        </row>
        <row r="676">
          <cell r="A676" t="str">
            <v>WI</v>
          </cell>
        </row>
        <row r="677">
          <cell r="A677" t="str">
            <v>WI</v>
          </cell>
        </row>
        <row r="678">
          <cell r="A678" t="str">
            <v>WI</v>
          </cell>
        </row>
        <row r="679">
          <cell r="A679" t="str">
            <v>WI</v>
          </cell>
        </row>
        <row r="680">
          <cell r="A680" t="str">
            <v>WI</v>
          </cell>
        </row>
        <row r="681">
          <cell r="A681" t="str">
            <v>WI</v>
          </cell>
        </row>
        <row r="682">
          <cell r="A682" t="str">
            <v>WI</v>
          </cell>
        </row>
        <row r="683">
          <cell r="A683" t="str">
            <v>WI</v>
          </cell>
        </row>
        <row r="684">
          <cell r="A684" t="str">
            <v>WI</v>
          </cell>
        </row>
        <row r="685">
          <cell r="A685" t="str">
            <v>WI</v>
          </cell>
        </row>
        <row r="686">
          <cell r="A686" t="str">
            <v>WI</v>
          </cell>
        </row>
        <row r="687">
          <cell r="A687" t="str">
            <v>WI</v>
          </cell>
        </row>
        <row r="688">
          <cell r="A688" t="str">
            <v>WI</v>
          </cell>
        </row>
        <row r="689">
          <cell r="A689" t="str">
            <v>WI</v>
          </cell>
        </row>
        <row r="690">
          <cell r="A690" t="str">
            <v>WI</v>
          </cell>
        </row>
        <row r="691">
          <cell r="A691" t="str">
            <v>WI</v>
          </cell>
        </row>
        <row r="692">
          <cell r="A692" t="str">
            <v>XW</v>
          </cell>
        </row>
        <row r="693">
          <cell r="A693" t="str">
            <v>XW</v>
          </cell>
        </row>
        <row r="694">
          <cell r="A694" t="str">
            <v>FR</v>
          </cell>
        </row>
        <row r="695">
          <cell r="A695" t="str">
            <v>WI</v>
          </cell>
        </row>
        <row r="696">
          <cell r="A696" t="str">
            <v>PS</v>
          </cell>
        </row>
      </sheetData>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115A 2nd Semester"/>
      <sheetName val="DATA"/>
      <sheetName val="FB115A_Feb"/>
    </sheetNames>
    <sheetDataSet>
      <sheetData sheetId="0" refreshError="1"/>
      <sheetData sheetId="1" refreshError="1"/>
      <sheetData sheetId="2">
        <row r="1">
          <cell r="B1">
            <v>1</v>
          </cell>
          <cell r="D1" t="str">
            <v>Press arrow for your School Division Name -&gt;</v>
          </cell>
        </row>
        <row r="2">
          <cell r="D2" t="str">
            <v>BEAUTIFUL PLAINS</v>
          </cell>
        </row>
        <row r="3">
          <cell r="D3" t="str">
            <v>BORDER LAND</v>
          </cell>
        </row>
        <row r="4">
          <cell r="D4" t="str">
            <v>BRANDON</v>
          </cell>
        </row>
        <row r="5">
          <cell r="D5" t="str">
            <v>EVERGREEN</v>
          </cell>
        </row>
        <row r="6">
          <cell r="D6" t="str">
            <v>FLIN FLON</v>
          </cell>
        </row>
        <row r="7">
          <cell r="D7" t="str">
            <v>FORT LA BOSSE</v>
          </cell>
        </row>
        <row r="8">
          <cell r="D8" t="str">
            <v>FRONTIER</v>
          </cell>
        </row>
        <row r="9">
          <cell r="D9" t="str">
            <v>GARDEN VALLEY</v>
          </cell>
        </row>
        <row r="10">
          <cell r="D10" t="str">
            <v>HANOVER</v>
          </cell>
        </row>
        <row r="11">
          <cell r="D11" t="str">
            <v>INTERLAKE</v>
          </cell>
        </row>
        <row r="12">
          <cell r="D12" t="str">
            <v>KELSEY</v>
          </cell>
        </row>
        <row r="13">
          <cell r="D13" t="str">
            <v>LAKESHORE</v>
          </cell>
        </row>
        <row r="14">
          <cell r="D14" t="str">
            <v>LORD SELKIRK</v>
          </cell>
        </row>
        <row r="15">
          <cell r="D15" t="str">
            <v>LOUIS RIEL</v>
          </cell>
        </row>
        <row r="16">
          <cell r="D16" t="str">
            <v>MOUNTAIN VIEW</v>
          </cell>
        </row>
        <row r="17">
          <cell r="D17" t="str">
            <v>MYSTERY LAKE</v>
          </cell>
        </row>
        <row r="18">
          <cell r="D18" t="str">
            <v>PARK WEST</v>
          </cell>
        </row>
        <row r="19">
          <cell r="D19" t="str">
            <v>PEMBINA TRAILS</v>
          </cell>
        </row>
        <row r="20">
          <cell r="D20" t="str">
            <v>PINE CREEK</v>
          </cell>
        </row>
        <row r="21">
          <cell r="D21" t="str">
            <v>PINE FALLS</v>
          </cell>
        </row>
        <row r="22">
          <cell r="D22" t="str">
            <v>PORTAGE LA PRAIRIE</v>
          </cell>
        </row>
        <row r="23">
          <cell r="D23" t="str">
            <v>PRAIRIE ROSE</v>
          </cell>
        </row>
        <row r="24">
          <cell r="D24" t="str">
            <v>PRAIRIE SPIRIT</v>
          </cell>
        </row>
        <row r="25">
          <cell r="D25" t="str">
            <v>RED RIVER VALLEY</v>
          </cell>
        </row>
        <row r="26">
          <cell r="D26" t="str">
            <v>RIVER EAST TRANSCONA</v>
          </cell>
        </row>
        <row r="27">
          <cell r="D27" t="str">
            <v>ROLLING RIVER</v>
          </cell>
        </row>
        <row r="28">
          <cell r="D28" t="str">
            <v>SEINE RIVER</v>
          </cell>
        </row>
        <row r="29">
          <cell r="D29" t="str">
            <v>SEVEN OAKS</v>
          </cell>
        </row>
        <row r="30">
          <cell r="D30" t="str">
            <v>SOUTHWEST HORIZON</v>
          </cell>
        </row>
        <row r="31">
          <cell r="D31" t="str">
            <v>ST. JAMES-ASSINIBOIA</v>
          </cell>
        </row>
        <row r="32">
          <cell r="D32" t="str">
            <v>SUNRISE</v>
          </cell>
        </row>
        <row r="33">
          <cell r="D33" t="str">
            <v>SWAN VALLEY</v>
          </cell>
        </row>
        <row r="34">
          <cell r="D34" t="str">
            <v>TURTLE MOUNTAIN</v>
          </cell>
        </row>
        <row r="35">
          <cell r="D35" t="str">
            <v>TURTLE RIVER</v>
          </cell>
        </row>
        <row r="36">
          <cell r="D36" t="str">
            <v>WESTERN</v>
          </cell>
        </row>
        <row r="37">
          <cell r="D37" t="str">
            <v>WHITESHELL</v>
          </cell>
        </row>
        <row r="38">
          <cell r="D38" t="str">
            <v>WINNIPEG</v>
          </cell>
        </row>
        <row r="39">
          <cell r="D39" t="str">
            <v>WINNIPEG TECHNICAL COLLEGE</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 3 -"/>
      <sheetName val="- 4 -"/>
      <sheetName val="- 6 -"/>
      <sheetName val="- 7 -"/>
      <sheetName val="- 8 -"/>
      <sheetName val="- 9 -"/>
      <sheetName val="- 10 -"/>
      <sheetName val="- 12 -"/>
      <sheetName val="- 13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1 -"/>
      <sheetName val="- 42 -"/>
      <sheetName val="- 43 -"/>
      <sheetName val="- 44 -"/>
      <sheetName val="- 45 -"/>
      <sheetName val="- 46 -"/>
      <sheetName val="- 48 -"/>
      <sheetName val="- 50 - "/>
      <sheetName val="- 51 -"/>
      <sheetName val="- 52 -"/>
      <sheetName val="- 53 -"/>
      <sheetName val="- 54 -"/>
      <sheetName val="- 55 -"/>
      <sheetName val="- 56 -"/>
      <sheetName val="- 57 -"/>
      <sheetName val="- 58 -"/>
      <sheetName val="- 59 -"/>
      <sheetName val="i"/>
      <sheetName val="- 1 -"/>
      <sheetName val="- 2 -"/>
      <sheetName val="- 5 -"/>
      <sheetName val="- 11 -"/>
      <sheetName val="- 14 -"/>
      <sheetName val="- 40 -"/>
      <sheetName val="- 47 -"/>
      <sheetName val="- 49 -"/>
      <sheetName val="Data"/>
    </sheetNames>
    <sheetDataSet>
      <sheetData sheetId="0"/>
      <sheetData sheetId="1">
        <row r="3">
          <cell r="A3" t="str">
            <v>OPERATING FUND 2008/2009 BUDGET</v>
          </cell>
        </row>
      </sheetData>
      <sheetData sheetId="2"/>
      <sheetData sheetId="3">
        <row r="3">
          <cell r="B3" t="str">
            <v>ESTIMATE SEPTEMBER 30,2008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B1" t="str">
            <v xml:space="preserve"> ANALYSIS OF OPERATING FUND REVENUE: 2008/2009 BUDGET</v>
          </cell>
        </row>
      </sheetData>
      <sheetData sheetId="37"/>
      <sheetData sheetId="38"/>
      <sheetData sheetId="39"/>
      <sheetData sheetId="40">
        <row r="3">
          <cell r="B3" t="str">
            <v>FOR THE 2008 TAXATION YEAR</v>
          </cell>
        </row>
      </sheetData>
      <sheetData sheetId="41"/>
      <sheetData sheetId="42"/>
      <sheetData sheetId="43"/>
      <sheetData sheetId="44"/>
      <sheetData sheetId="45"/>
      <sheetData sheetId="46">
        <row r="3">
          <cell r="B3" t="str">
            <v>FOR THE 2008 TAXATION YEAR</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 1 -"/>
      <sheetName val="- 2 -"/>
      <sheetName val="- 3 -"/>
      <sheetName val="- 4 -"/>
      <sheetName val="- 5 -"/>
      <sheetName val="- 6 -"/>
      <sheetName val="- 7 -"/>
      <sheetName val="- 8 -"/>
      <sheetName val="- 9 -"/>
      <sheetName val="- 10 -"/>
      <sheetName val="- 11 -"/>
      <sheetName val="- 12 -"/>
      <sheetName val="- 13 -"/>
      <sheetName val="- 14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0 -"/>
      <sheetName val="- 41 -"/>
      <sheetName val="- 42 -"/>
      <sheetName val="- 43 -"/>
      <sheetName val="- 44 -"/>
      <sheetName val="- 45 -"/>
      <sheetName val="- 46 -"/>
      <sheetName val="- 47 -"/>
      <sheetName val="- 48 -"/>
      <sheetName val="- 49 - "/>
      <sheetName val="- 50 -"/>
      <sheetName val="- 51 -"/>
      <sheetName val="- 52 -"/>
      <sheetName val="- 53 -"/>
      <sheetName val="- 54 -"/>
      <sheetName val="- 55 -"/>
      <sheetName val="- 56 -"/>
      <sheetName val="- 57 -"/>
      <sheetName val="- 58 -"/>
      <sheetName val="- 59 -"/>
      <sheetName val="- 60 -"/>
      <sheetName val="- 61 -"/>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1">
          <cell r="B1" t="str">
            <v>ANALYSE DES RECETTES DU FONDS DE FONCTIONNEMENT : BUDGET 2013 - 2014</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du.gov.mb.ca/k12/finance/frame_report/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3.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25"/>
  <sheetViews>
    <sheetView showGridLines="0" showRowColHeaders="0" tabSelected="1" workbookViewId="0"/>
  </sheetViews>
  <sheetFormatPr defaultColWidth="0" defaultRowHeight="14.25" customHeight="1" zeroHeight="1" x14ac:dyDescent="0.2"/>
  <cols>
    <col min="1" max="1" width="15.83203125" style="529" customWidth="1"/>
    <col min="2" max="2" width="120.83203125" style="529" customWidth="1"/>
    <col min="3" max="3" width="80.83203125" style="529" customWidth="1"/>
    <col min="4" max="16384" width="9.33203125" style="529" hidden="1"/>
  </cols>
  <sheetData>
    <row r="1" spans="1:3" ht="0.95" customHeight="1" x14ac:dyDescent="0.2">
      <c r="A1" s="528"/>
      <c r="B1" s="528"/>
      <c r="C1" s="528"/>
    </row>
    <row r="2" spans="1:3" ht="24.95" customHeight="1" thickBot="1" x14ac:dyDescent="0.25">
      <c r="A2" s="528"/>
      <c r="B2" s="528"/>
      <c r="C2" s="528"/>
    </row>
    <row r="3" spans="1:3" ht="17.25" thickTop="1" thickBot="1" x14ac:dyDescent="0.3">
      <c r="A3" s="528"/>
      <c r="B3" s="530" t="s">
        <v>610</v>
      </c>
      <c r="C3" s="528"/>
    </row>
    <row r="4" spans="1:3" ht="15.75" thickTop="1" x14ac:dyDescent="0.2">
      <c r="A4" s="528"/>
      <c r="B4" s="531"/>
      <c r="C4" s="528"/>
    </row>
    <row r="5" spans="1:3" ht="15" x14ac:dyDescent="0.2">
      <c r="A5" s="528"/>
      <c r="B5" s="532" t="s">
        <v>604</v>
      </c>
      <c r="C5" s="533"/>
    </row>
    <row r="6" spans="1:3" ht="15" x14ac:dyDescent="0.2">
      <c r="A6" s="528"/>
      <c r="B6" s="531"/>
      <c r="C6" s="528"/>
    </row>
    <row r="7" spans="1:3" x14ac:dyDescent="0.2">
      <c r="A7" s="528"/>
      <c r="B7" s="536" t="s">
        <v>605</v>
      </c>
      <c r="C7" s="528"/>
    </row>
    <row r="8" spans="1:3" x14ac:dyDescent="0.2">
      <c r="A8" s="528"/>
      <c r="B8" s="536"/>
      <c r="C8" s="528"/>
    </row>
    <row r="9" spans="1:3" ht="15" x14ac:dyDescent="0.2">
      <c r="A9" s="528"/>
      <c r="B9" s="531"/>
      <c r="C9" s="528"/>
    </row>
    <row r="10" spans="1:3" x14ac:dyDescent="0.2">
      <c r="A10" s="528"/>
      <c r="B10" s="536" t="s">
        <v>606</v>
      </c>
      <c r="C10" s="528"/>
    </row>
    <row r="11" spans="1:3" x14ac:dyDescent="0.2">
      <c r="A11" s="528"/>
      <c r="B11" s="536"/>
      <c r="C11" s="528"/>
    </row>
    <row r="12" spans="1:3" ht="15" x14ac:dyDescent="0.2">
      <c r="A12" s="528"/>
      <c r="B12" s="531"/>
      <c r="C12" s="528"/>
    </row>
    <row r="13" spans="1:3" ht="14.25" customHeight="1" x14ac:dyDescent="0.2">
      <c r="A13" s="528"/>
      <c r="B13" s="537" t="s">
        <v>607</v>
      </c>
      <c r="C13" s="528"/>
    </row>
    <row r="14" spans="1:3" x14ac:dyDescent="0.2">
      <c r="A14" s="528"/>
      <c r="B14" s="536"/>
      <c r="C14" s="528"/>
    </row>
    <row r="15" spans="1:3" x14ac:dyDescent="0.2">
      <c r="A15" s="528"/>
      <c r="B15" s="536"/>
      <c r="C15" s="528"/>
    </row>
    <row r="16" spans="1:3" ht="15" x14ac:dyDescent="0.2">
      <c r="A16" s="528"/>
      <c r="B16" s="534"/>
      <c r="C16" s="528"/>
    </row>
    <row r="17" spans="1:3" x14ac:dyDescent="0.2">
      <c r="A17" s="528"/>
      <c r="B17" s="536" t="s">
        <v>608</v>
      </c>
      <c r="C17" s="528"/>
    </row>
    <row r="18" spans="1:3" x14ac:dyDescent="0.2">
      <c r="A18" s="528"/>
      <c r="B18" s="536"/>
      <c r="C18" s="528"/>
    </row>
    <row r="19" spans="1:3" ht="15" x14ac:dyDescent="0.2">
      <c r="A19" s="528"/>
      <c r="B19" s="534"/>
      <c r="C19" s="528"/>
    </row>
    <row r="20" spans="1:3" ht="15" x14ac:dyDescent="0.2">
      <c r="A20" s="528"/>
      <c r="B20" s="535" t="s">
        <v>609</v>
      </c>
      <c r="C20" s="528"/>
    </row>
    <row r="21" spans="1:3" ht="15" x14ac:dyDescent="0.2">
      <c r="A21" s="528"/>
      <c r="B21" s="534"/>
      <c r="C21" s="528"/>
    </row>
    <row r="22" spans="1:3" ht="15" x14ac:dyDescent="0.2">
      <c r="A22" s="528"/>
      <c r="B22" s="534"/>
      <c r="C22" s="528"/>
    </row>
    <row r="23" spans="1:3" ht="15" x14ac:dyDescent="0.2">
      <c r="A23" s="528"/>
      <c r="B23" s="534"/>
      <c r="C23" s="528"/>
    </row>
    <row r="24" spans="1:3" x14ac:dyDescent="0.2">
      <c r="A24" s="528"/>
      <c r="B24" s="533"/>
      <c r="C24" s="528"/>
    </row>
    <row r="25" spans="1:3" ht="200.1" customHeight="1" x14ac:dyDescent="0.2">
      <c r="A25" s="528"/>
      <c r="B25" s="533"/>
      <c r="C25" s="528"/>
    </row>
  </sheetData>
  <mergeCells count="4">
    <mergeCell ref="B7:B8"/>
    <mergeCell ref="B10:B11"/>
    <mergeCell ref="B13:B15"/>
    <mergeCell ref="B17:B18"/>
  </mergeCells>
  <hyperlinks>
    <hyperlink ref="B20" r:id="rId1"/>
  </hyperlinks>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N55"/>
  <sheetViews>
    <sheetView showGridLines="0" showZeros="0" workbookViewId="0"/>
  </sheetViews>
  <sheetFormatPr defaultColWidth="14.83203125" defaultRowHeight="12" x14ac:dyDescent="0.2"/>
  <cols>
    <col min="1" max="1" width="46.1640625" style="1" customWidth="1"/>
    <col min="2" max="2" width="21.83203125" style="1" customWidth="1"/>
    <col min="3" max="3" width="7.83203125" style="1" customWidth="1"/>
    <col min="4" max="4" width="16.83203125" style="1" customWidth="1"/>
    <col min="5" max="5" width="7.83203125" style="1" customWidth="1"/>
    <col min="6" max="6" width="16.83203125" style="1" customWidth="1"/>
    <col min="7" max="7" width="7.83203125" style="1" customWidth="1"/>
    <col min="8" max="8" width="12.83203125" style="1" customWidth="1"/>
    <col min="9" max="9" width="7.83203125" style="1" customWidth="1"/>
    <col min="10" max="10" width="16.83203125" style="1" customWidth="1"/>
    <col min="11" max="11" width="8.83203125" style="1" customWidth="1"/>
    <col min="12" max="12" width="5.83203125" style="1" customWidth="1"/>
    <col min="13" max="13" width="45.6640625" style="1" hidden="1" customWidth="1"/>
    <col min="14" max="14" width="0" style="1" hidden="1" customWidth="1"/>
    <col min="15" max="16384" width="14.83203125" style="1"/>
  </cols>
  <sheetData>
    <row r="2" spans="1:14" x14ac:dyDescent="0.2">
      <c r="A2" s="52"/>
      <c r="B2" s="52"/>
      <c r="C2" s="100" t="str">
        <f>OPYEAR</f>
        <v>OPERATING FUND 2017/2018 BUDGET</v>
      </c>
      <c r="D2" s="100"/>
      <c r="E2" s="100"/>
      <c r="F2" s="101"/>
      <c r="G2" s="101"/>
      <c r="H2" s="101"/>
      <c r="I2" s="101"/>
      <c r="J2" s="102"/>
      <c r="K2" s="103" t="s">
        <v>66</v>
      </c>
    </row>
    <row r="3" spans="1:14" ht="9.9499999999999993" customHeight="1" x14ac:dyDescent="0.2">
      <c r="J3" s="90"/>
      <c r="K3" s="90"/>
    </row>
    <row r="4" spans="1:14" ht="15.75" x14ac:dyDescent="0.25">
      <c r="B4" s="257" t="str">
        <f>+'- 12 -'!B4</f>
        <v>EXPENSE BY 2ND LEVEL OBJECT</v>
      </c>
      <c r="C4" s="90"/>
      <c r="D4" s="90"/>
      <c r="E4" s="90"/>
      <c r="F4" s="90"/>
      <c r="G4" s="90"/>
      <c r="H4" s="90"/>
      <c r="I4" s="90"/>
      <c r="J4" s="90"/>
      <c r="K4" s="90"/>
    </row>
    <row r="5" spans="1:14" ht="15.75" x14ac:dyDescent="0.25">
      <c r="B5" s="257" t="str">
        <f>+'- 12 -'!B5</f>
        <v>AS A PERCENTAGE OF TOTAL OPERATING FUND EXPENSES</v>
      </c>
      <c r="C5" s="90"/>
      <c r="D5" s="90"/>
      <c r="E5" s="90"/>
      <c r="F5" s="90"/>
      <c r="G5" s="90"/>
      <c r="H5" s="90"/>
      <c r="I5" s="90"/>
      <c r="J5" s="90"/>
      <c r="K5" s="90"/>
    </row>
    <row r="6" spans="1:14" ht="9.9499999999999993" customHeight="1" x14ac:dyDescent="0.2"/>
    <row r="7" spans="1:14" x14ac:dyDescent="0.2">
      <c r="B7" s="105" t="s">
        <v>67</v>
      </c>
      <c r="C7" s="101"/>
      <c r="D7" s="101"/>
      <c r="E7" s="101"/>
      <c r="F7" s="101"/>
      <c r="G7" s="101"/>
      <c r="H7" s="101"/>
      <c r="I7" s="106"/>
    </row>
    <row r="8" spans="1:14" ht="6" customHeight="1" x14ac:dyDescent="0.2">
      <c r="B8" s="104"/>
    </row>
    <row r="9" spans="1:14" x14ac:dyDescent="0.2">
      <c r="A9" s="4"/>
      <c r="B9" s="624" t="s">
        <v>395</v>
      </c>
      <c r="C9" s="621"/>
      <c r="D9" s="624" t="s">
        <v>64</v>
      </c>
      <c r="E9" s="621"/>
      <c r="F9" s="624" t="s">
        <v>65</v>
      </c>
      <c r="G9" s="621"/>
      <c r="H9" s="626" t="s">
        <v>24</v>
      </c>
      <c r="I9" s="613"/>
      <c r="J9" s="626" t="s">
        <v>25</v>
      </c>
      <c r="K9" s="613"/>
    </row>
    <row r="10" spans="1:14" x14ac:dyDescent="0.2">
      <c r="A10" s="4"/>
      <c r="B10" s="622"/>
      <c r="C10" s="623"/>
      <c r="D10" s="622"/>
      <c r="E10" s="623"/>
      <c r="F10" s="622"/>
      <c r="G10" s="623"/>
      <c r="H10" s="627"/>
      <c r="I10" s="615"/>
      <c r="J10" s="627"/>
      <c r="K10" s="615"/>
    </row>
    <row r="11" spans="1:14" x14ac:dyDescent="0.2">
      <c r="A11" s="107" t="s">
        <v>60</v>
      </c>
      <c r="B11" s="108" t="s">
        <v>38</v>
      </c>
      <c r="C11" s="108" t="s">
        <v>39</v>
      </c>
      <c r="D11" s="108" t="s">
        <v>38</v>
      </c>
      <c r="E11" s="108" t="s">
        <v>39</v>
      </c>
      <c r="F11" s="108" t="s">
        <v>38</v>
      </c>
      <c r="G11" s="108" t="s">
        <v>39</v>
      </c>
      <c r="H11" s="108" t="s">
        <v>38</v>
      </c>
      <c r="I11" s="109" t="s">
        <v>39</v>
      </c>
      <c r="J11" s="108" t="s">
        <v>38</v>
      </c>
      <c r="K11" s="109" t="s">
        <v>39</v>
      </c>
    </row>
    <row r="12" spans="1:14" ht="5.0999999999999996" customHeight="1" x14ac:dyDescent="0.2"/>
    <row r="13" spans="1:14" x14ac:dyDescent="0.2">
      <c r="A13" s="281" t="s">
        <v>61</v>
      </c>
      <c r="B13" s="111"/>
      <c r="C13" s="262"/>
      <c r="D13" s="111"/>
      <c r="E13" s="262"/>
      <c r="F13" s="111"/>
      <c r="G13" s="262"/>
      <c r="H13" s="111"/>
      <c r="I13" s="262"/>
      <c r="J13" s="111"/>
      <c r="K13" s="262"/>
      <c r="M13" s="1" t="s">
        <v>61</v>
      </c>
      <c r="N13" s="450">
        <f>K22</f>
        <v>76.700702164048423</v>
      </c>
    </row>
    <row r="14" spans="1:14" x14ac:dyDescent="0.2">
      <c r="A14" s="112" t="s">
        <v>188</v>
      </c>
      <c r="B14" s="113"/>
      <c r="C14" s="259"/>
      <c r="D14" s="113"/>
      <c r="E14" s="259"/>
      <c r="F14" s="113"/>
      <c r="G14" s="259"/>
      <c r="H14" s="113"/>
      <c r="I14" s="259"/>
      <c r="J14" s="113">
        <f>SUM(F14,D14,B14,'- 12 -'!J14,'- 12 -'!H14,'- 12 -'!F14,'- 12 -'!D14,'- 12 -'!B14)</f>
        <v>4242531</v>
      </c>
      <c r="K14" s="259">
        <f t="shared" ref="K14:K23" si="0">J14/$J$54*100</f>
        <v>0.17883641518621643</v>
      </c>
      <c r="M14" s="1" t="s">
        <v>78</v>
      </c>
      <c r="N14" s="450">
        <f>K23</f>
        <v>6.461443943734384</v>
      </c>
    </row>
    <row r="15" spans="1:14" x14ac:dyDescent="0.2">
      <c r="A15" s="112" t="s">
        <v>189</v>
      </c>
      <c r="B15" s="113">
        <v>4268617</v>
      </c>
      <c r="C15" s="259">
        <f>B15/$J$54*100</f>
        <v>0.17993602452944754</v>
      </c>
      <c r="D15" s="113">
        <v>3088045</v>
      </c>
      <c r="E15" s="259">
        <f>D15/$J$54*100</f>
        <v>0.13017109308894143</v>
      </c>
      <c r="F15" s="113">
        <v>5213138</v>
      </c>
      <c r="G15" s="259">
        <f>F15/$J$54*100</f>
        <v>0.21975064219708515</v>
      </c>
      <c r="H15" s="113"/>
      <c r="I15" s="259"/>
      <c r="J15" s="113">
        <f>SUM(F15,D15,B15,'- 12 -'!J15,'- 12 -'!H15,'- 12 -'!F15,'- 12 -'!D15,'- 12 -'!B15)</f>
        <v>138806957</v>
      </c>
      <c r="K15" s="259">
        <f t="shared" si="0"/>
        <v>5.8511625708303105</v>
      </c>
      <c r="M15" s="1" t="s">
        <v>56</v>
      </c>
      <c r="N15" s="450">
        <f>K40</f>
        <v>9.0266276346069851</v>
      </c>
    </row>
    <row r="16" spans="1:14" x14ac:dyDescent="0.2">
      <c r="A16" s="112" t="s">
        <v>190</v>
      </c>
      <c r="B16" s="113">
        <v>26797775</v>
      </c>
      <c r="C16" s="259">
        <f>B16/$J$54*100</f>
        <v>1.1296129635745291</v>
      </c>
      <c r="D16" s="113"/>
      <c r="E16" s="259">
        <f>D16/$J$54*100</f>
        <v>0</v>
      </c>
      <c r="F16" s="113"/>
      <c r="G16" s="259">
        <f>F16/$J$54*100</f>
        <v>0</v>
      </c>
      <c r="H16" s="113"/>
      <c r="I16" s="259"/>
      <c r="J16" s="113">
        <f>SUM(F16,D16,B16,'- 12 -'!J16,'- 12 -'!H16,'- 12 -'!F16,'- 12 -'!D16,'- 12 -'!B16)</f>
        <v>1161948393</v>
      </c>
      <c r="K16" s="259">
        <f t="shared" si="0"/>
        <v>48.979886118806192</v>
      </c>
      <c r="M16" s="1" t="s">
        <v>79</v>
      </c>
      <c r="N16" s="450">
        <f>K46</f>
        <v>6.1111772263558555</v>
      </c>
    </row>
    <row r="17" spans="1:14" x14ac:dyDescent="0.2">
      <c r="A17" s="112" t="s">
        <v>191</v>
      </c>
      <c r="B17" s="113">
        <v>15262316</v>
      </c>
      <c r="C17" s="259">
        <f>B17/$J$54*100</f>
        <v>0.64335602518384283</v>
      </c>
      <c r="D17" s="113">
        <v>353943</v>
      </c>
      <c r="E17" s="259">
        <f>D17/$J$54*100</f>
        <v>1.491984320214867E-2</v>
      </c>
      <c r="F17" s="113"/>
      <c r="G17" s="259">
        <f>F17/$J$54*100</f>
        <v>0</v>
      </c>
      <c r="H17" s="113"/>
      <c r="I17" s="259"/>
      <c r="J17" s="113">
        <f>SUM(F17,D17,B17,'- 12 -'!J17,'- 12 -'!H17,'- 12 -'!F17,'- 12 -'!D17,'- 12 -'!B17)</f>
        <v>214005204</v>
      </c>
      <c r="K17" s="259">
        <f t="shared" si="0"/>
        <v>9.0210121068190059</v>
      </c>
      <c r="M17" s="1" t="s">
        <v>32</v>
      </c>
      <c r="N17" s="450">
        <f>K49</f>
        <v>0.10400645235553721</v>
      </c>
    </row>
    <row r="18" spans="1:14" x14ac:dyDescent="0.2">
      <c r="A18" s="112" t="s">
        <v>192</v>
      </c>
      <c r="B18" s="113">
        <v>4259895</v>
      </c>
      <c r="C18" s="259">
        <f>B18/$J$54*100</f>
        <v>0.1795683639953809</v>
      </c>
      <c r="D18" s="113">
        <v>43173724</v>
      </c>
      <c r="E18" s="259">
        <f>D18/$J$54*100</f>
        <v>1.8199122246600241</v>
      </c>
      <c r="F18" s="113">
        <v>112865903</v>
      </c>
      <c r="G18" s="259">
        <f>F18/$J$54*100</f>
        <v>4.7576631707052304</v>
      </c>
      <c r="H18" s="113"/>
      <c r="I18" s="259"/>
      <c r="J18" s="113">
        <f>SUM(F18,D18,B18,'- 12 -'!J18,'- 12 -'!H18,'- 12 -'!F18,'- 12 -'!D18,'- 12 -'!B18)</f>
        <v>177213848</v>
      </c>
      <c r="K18" s="259">
        <f t="shared" si="0"/>
        <v>7.4701373537812792</v>
      </c>
      <c r="M18" s="1" t="s">
        <v>42</v>
      </c>
      <c r="N18" s="450">
        <f>K52-N17</f>
        <v>1.5960425788988115</v>
      </c>
    </row>
    <row r="19" spans="1:14" x14ac:dyDescent="0.2">
      <c r="A19" s="114" t="s">
        <v>193</v>
      </c>
      <c r="B19" s="115">
        <v>2342281</v>
      </c>
      <c r="C19" s="260">
        <f>B19/$J$54*100</f>
        <v>9.873472636942103E-2</v>
      </c>
      <c r="D19" s="115">
        <v>1835983</v>
      </c>
      <c r="E19" s="260">
        <f>D19/$J$54*100</f>
        <v>7.7392626727497138E-2</v>
      </c>
      <c r="F19" s="115">
        <v>1821548</v>
      </c>
      <c r="G19" s="260">
        <f>F19/$J$54*100</f>
        <v>7.6784144749825547E-2</v>
      </c>
      <c r="H19" s="115"/>
      <c r="I19" s="260"/>
      <c r="J19" s="115">
        <f>SUM(F19,D19,B19,'- 12 -'!J19,'- 12 -'!H19,'- 12 -'!F19,'- 12 -'!D19,'- 12 -'!B19)</f>
        <v>68249369</v>
      </c>
      <c r="K19" s="260">
        <f t="shared" si="0"/>
        <v>2.8769318340116521</v>
      </c>
      <c r="N19" s="450"/>
    </row>
    <row r="20" spans="1:14" x14ac:dyDescent="0.2">
      <c r="A20" s="114" t="s">
        <v>194</v>
      </c>
      <c r="B20" s="116"/>
      <c r="C20" s="260"/>
      <c r="D20" s="116"/>
      <c r="E20" s="260"/>
      <c r="F20" s="116"/>
      <c r="G20" s="260"/>
      <c r="H20" s="116"/>
      <c r="I20" s="260"/>
      <c r="J20" s="116">
        <f>SUM(F20,D20,B20,'- 12 -'!J20,'- 12 -'!H20,'- 12 -'!F20,'- 12 -'!D20,'- 12 -'!B20)</f>
        <v>38923442</v>
      </c>
      <c r="K20" s="260">
        <f t="shared" si="0"/>
        <v>1.640749079732974</v>
      </c>
      <c r="N20" s="450">
        <f>SUM(N13:N18)</f>
        <v>99.999999999999986</v>
      </c>
    </row>
    <row r="21" spans="1:14" x14ac:dyDescent="0.2">
      <c r="A21" s="117" t="s">
        <v>195</v>
      </c>
      <c r="B21" s="118">
        <v>294614</v>
      </c>
      <c r="C21" s="261">
        <f>B21/'- 13 -'!$J$54*100</f>
        <v>1.2418933797695753E-2</v>
      </c>
      <c r="D21" s="118">
        <v>0</v>
      </c>
      <c r="E21" s="261">
        <f>D21/'- 13 -'!$J$54*100</f>
        <v>0</v>
      </c>
      <c r="F21" s="118">
        <v>0</v>
      </c>
      <c r="G21" s="261">
        <f>F21/'- 13 -'!$J$54*100</f>
        <v>0</v>
      </c>
      <c r="H21" s="118"/>
      <c r="I21" s="261"/>
      <c r="J21" s="118">
        <f>SUM(F21,D21,B21,'- 12 -'!J21,'- 12 -'!H21,'- 12 -'!F21,'- 12 -'!D21,'- 12 -'!B21)</f>
        <v>16178750</v>
      </c>
      <c r="K21" s="261">
        <f t="shared" si="0"/>
        <v>0.68198668488079384</v>
      </c>
      <c r="N21" s="450"/>
    </row>
    <row r="22" spans="1:14" x14ac:dyDescent="0.2">
      <c r="A22" s="119" t="s">
        <v>196</v>
      </c>
      <c r="B22" s="125">
        <f>SUM(B14:B21)</f>
        <v>53225498</v>
      </c>
      <c r="C22" s="263">
        <f>B22/$J$54*100</f>
        <v>2.2436270374503171</v>
      </c>
      <c r="D22" s="125">
        <f>SUM(D14:D21)</f>
        <v>48451695</v>
      </c>
      <c r="E22" s="263">
        <f>D22/$J$54*100</f>
        <v>2.0423957876786112</v>
      </c>
      <c r="F22" s="125">
        <f>SUM(F14:F21)</f>
        <v>119900589</v>
      </c>
      <c r="G22" s="263">
        <f>F22/$J$54*100</f>
        <v>5.054197957652141</v>
      </c>
      <c r="H22" s="125"/>
      <c r="I22" s="263"/>
      <c r="J22" s="125">
        <f>SUM(F22,D22,B22,'- 12 -'!J22,'- 12 -'!H22,'- 12 -'!F22,'- 12 -'!D22,'- 12 -'!B22)</f>
        <v>1819568494</v>
      </c>
      <c r="K22" s="263">
        <f t="shared" si="0"/>
        <v>76.700702164048423</v>
      </c>
      <c r="N22" s="450"/>
    </row>
    <row r="23" spans="1:14" x14ac:dyDescent="0.2">
      <c r="A23" s="281" t="s">
        <v>69</v>
      </c>
      <c r="B23" s="125">
        <v>5081128</v>
      </c>
      <c r="C23" s="263">
        <f>B23/$J$54*100</f>
        <v>0.21418599336629701</v>
      </c>
      <c r="D23" s="125">
        <v>7359658</v>
      </c>
      <c r="E23" s="263">
        <f>D23/$J$54*100</f>
        <v>0.31023340871676813</v>
      </c>
      <c r="F23" s="125">
        <v>20595553</v>
      </c>
      <c r="G23" s="263">
        <f>F23/$J$54*100</f>
        <v>0.8681692290045081</v>
      </c>
      <c r="H23" s="125"/>
      <c r="I23" s="263"/>
      <c r="J23" s="125">
        <f>SUM(F23,D23,B23,'- 12 -'!J23,'- 12 -'!H23,'- 12 -'!F23,'- 12 -'!D23,'- 12 -'!B23)</f>
        <v>153284644</v>
      </c>
      <c r="K23" s="263">
        <f t="shared" si="0"/>
        <v>6.461443943734384</v>
      </c>
      <c r="N23" s="451"/>
    </row>
    <row r="24" spans="1:14" x14ac:dyDescent="0.2">
      <c r="A24" s="281" t="s">
        <v>56</v>
      </c>
      <c r="B24" s="113"/>
      <c r="C24" s="259"/>
      <c r="D24" s="113"/>
      <c r="E24" s="259"/>
      <c r="F24" s="113"/>
      <c r="G24" s="259"/>
      <c r="H24" s="113"/>
      <c r="I24" s="259"/>
      <c r="J24" s="113"/>
      <c r="K24" s="259"/>
      <c r="M24" s="1" t="s">
        <v>21</v>
      </c>
      <c r="N24" s="450">
        <f>'- 12 -'!C51</f>
        <v>55.777061669312054</v>
      </c>
    </row>
    <row r="25" spans="1:14" x14ac:dyDescent="0.2">
      <c r="A25" s="114" t="s">
        <v>197</v>
      </c>
      <c r="B25" s="115">
        <v>1822306</v>
      </c>
      <c r="C25" s="260">
        <f t="shared" ref="C25:C35" si="1">B25/$J$54*100</f>
        <v>7.6816096903554343E-2</v>
      </c>
      <c r="D25" s="115">
        <v>491899</v>
      </c>
      <c r="E25" s="260">
        <f t="shared" ref="E25:E35" si="2">D25/$J$54*100</f>
        <v>2.073513518078823E-2</v>
      </c>
      <c r="F25" s="115">
        <v>6893090</v>
      </c>
      <c r="G25" s="260">
        <f t="shared" ref="G25:G35" si="3">F25/$J$54*100</f>
        <v>0.29056605718519363</v>
      </c>
      <c r="H25" s="115"/>
      <c r="I25" s="260"/>
      <c r="J25" s="115">
        <f>SUM(F25,D25,B25,'- 12 -'!J25,'- 12 -'!H25,'- 12 -'!F25,'- 12 -'!D25,'- 12 -'!B25)</f>
        <v>29532038</v>
      </c>
      <c r="K25" s="260">
        <f t="shared" ref="K25:K40" si="4">J25/$J$54*100</f>
        <v>1.2448710001324965</v>
      </c>
      <c r="L25" s="619" t="s">
        <v>98</v>
      </c>
      <c r="M25" s="1" t="s">
        <v>241</v>
      </c>
      <c r="N25" s="450">
        <f>'- 12 -'!E51</f>
        <v>18.439861617852564</v>
      </c>
    </row>
    <row r="26" spans="1:14" x14ac:dyDescent="0.2">
      <c r="A26" s="114" t="s">
        <v>198</v>
      </c>
      <c r="B26" s="115">
        <v>138942</v>
      </c>
      <c r="C26" s="260">
        <f t="shared" si="1"/>
        <v>5.8568550704292512E-3</v>
      </c>
      <c r="D26" s="115">
        <v>304820</v>
      </c>
      <c r="E26" s="260">
        <f t="shared" si="2"/>
        <v>1.2849149735632453E-2</v>
      </c>
      <c r="F26" s="115">
        <v>766347</v>
      </c>
      <c r="G26" s="260">
        <f t="shared" si="3"/>
        <v>3.2304006798939452E-2</v>
      </c>
      <c r="H26" s="115"/>
      <c r="I26" s="260"/>
      <c r="J26" s="115">
        <f>SUM(F26,D26,B26,'- 12 -'!J26,'- 12 -'!H26,'- 12 -'!F26,'- 12 -'!D26,'- 12 -'!B26)</f>
        <v>7213207</v>
      </c>
      <c r="K26" s="260">
        <f t="shared" si="4"/>
        <v>0.30406002498888579</v>
      </c>
      <c r="L26" s="625"/>
      <c r="M26" s="1" t="s">
        <v>97</v>
      </c>
      <c r="N26" s="450">
        <f>'- 12 -'!G51</f>
        <v>0.3700340563885261</v>
      </c>
    </row>
    <row r="27" spans="1:14" x14ac:dyDescent="0.2">
      <c r="A27" s="114" t="s">
        <v>199</v>
      </c>
      <c r="B27" s="115"/>
      <c r="C27" s="260">
        <f t="shared" si="1"/>
        <v>0</v>
      </c>
      <c r="D27" s="115"/>
      <c r="E27" s="260">
        <f t="shared" si="2"/>
        <v>0</v>
      </c>
      <c r="F27" s="115">
        <v>46773579</v>
      </c>
      <c r="G27" s="260">
        <f t="shared" si="3"/>
        <v>1.9716577660338352</v>
      </c>
      <c r="H27" s="115"/>
      <c r="I27" s="260"/>
      <c r="J27" s="115">
        <f>SUM(F27,D27,B27,'- 12 -'!J27,'- 12 -'!H27,'- 12 -'!F27,'- 12 -'!D27,'- 12 -'!B27)</f>
        <v>46828924</v>
      </c>
      <c r="K27" s="260">
        <f t="shared" si="4"/>
        <v>1.973990736941645</v>
      </c>
      <c r="L27" s="625"/>
      <c r="M27" s="1" t="s">
        <v>22</v>
      </c>
      <c r="N27" s="450">
        <f>'- 12 -'!I51</f>
        <v>0.99216643252672199</v>
      </c>
    </row>
    <row r="28" spans="1:14" ht="12.75" customHeight="1" x14ac:dyDescent="0.2">
      <c r="A28" s="114" t="s">
        <v>238</v>
      </c>
      <c r="B28" s="115">
        <v>1077833</v>
      </c>
      <c r="C28" s="260">
        <f t="shared" si="1"/>
        <v>4.5434150013141966E-2</v>
      </c>
      <c r="D28" s="115">
        <v>1431843</v>
      </c>
      <c r="E28" s="260">
        <f t="shared" si="2"/>
        <v>6.0356817482176958E-2</v>
      </c>
      <c r="F28" s="115">
        <v>883864</v>
      </c>
      <c r="G28" s="260">
        <f t="shared" si="3"/>
        <v>3.7257728764303666E-2</v>
      </c>
      <c r="H28" s="115"/>
      <c r="I28" s="260"/>
      <c r="J28" s="115">
        <f>SUM(F28,D28,B28,'- 12 -'!J28,'- 12 -'!H28,'- 12 -'!F28,'- 12 -'!D28,'- 12 -'!B28)</f>
        <v>11626441</v>
      </c>
      <c r="K28" s="260">
        <f t="shared" si="4"/>
        <v>0.49009212420935744</v>
      </c>
      <c r="L28" s="625"/>
      <c r="M28" s="1" t="s">
        <v>82</v>
      </c>
      <c r="N28" s="450">
        <f>'- 12 -'!K51</f>
        <v>3.5108681703713569</v>
      </c>
    </row>
    <row r="29" spans="1:14" ht="12.75" customHeight="1" x14ac:dyDescent="0.2">
      <c r="A29" s="114" t="s">
        <v>200</v>
      </c>
      <c r="B29" s="115"/>
      <c r="C29" s="260">
        <f t="shared" si="1"/>
        <v>0</v>
      </c>
      <c r="D29" s="115">
        <v>20107324</v>
      </c>
      <c r="E29" s="260">
        <f t="shared" si="2"/>
        <v>0.84758879620391081</v>
      </c>
      <c r="F29" s="115"/>
      <c r="G29" s="260">
        <f t="shared" si="3"/>
        <v>0</v>
      </c>
      <c r="H29" s="115"/>
      <c r="I29" s="260"/>
      <c r="J29" s="115">
        <f>SUM(F29,D29,B29,'- 12 -'!J29,'- 12 -'!H29,'- 12 -'!F29,'- 12 -'!D29,'- 12 -'!B29)</f>
        <v>20107324</v>
      </c>
      <c r="K29" s="260">
        <f t="shared" si="4"/>
        <v>0.84758879620391081</v>
      </c>
      <c r="L29" s="625"/>
      <c r="M29" s="1" t="s">
        <v>81</v>
      </c>
      <c r="N29" s="450">
        <f>C54</f>
        <v>3.4087346706470569</v>
      </c>
    </row>
    <row r="30" spans="1:14" ht="12.75" customHeight="1" x14ac:dyDescent="0.2">
      <c r="A30" s="114" t="s">
        <v>201</v>
      </c>
      <c r="B30" s="115">
        <v>3600</v>
      </c>
      <c r="C30" s="260">
        <f t="shared" si="1"/>
        <v>1.5175165359319215E-4</v>
      </c>
      <c r="D30" s="115"/>
      <c r="E30" s="260">
        <f t="shared" si="2"/>
        <v>0</v>
      </c>
      <c r="F30" s="115"/>
      <c r="G30" s="260">
        <f t="shared" si="3"/>
        <v>0</v>
      </c>
      <c r="H30" s="115"/>
      <c r="I30" s="260"/>
      <c r="J30" s="115">
        <f>SUM(F30,D30,B30,'- 12 -'!J30,'- 12 -'!H30,'- 12 -'!F30,'- 12 -'!D30,'- 12 -'!B30)</f>
        <v>2001465</v>
      </c>
      <c r="K30" s="260">
        <f t="shared" si="4"/>
        <v>8.4368228710805099E-2</v>
      </c>
      <c r="M30" s="1" t="s">
        <v>64</v>
      </c>
      <c r="N30" s="450">
        <f>E54</f>
        <v>4.3549208158206492</v>
      </c>
    </row>
    <row r="31" spans="1:14" ht="12.75" customHeight="1" x14ac:dyDescent="0.2">
      <c r="A31" s="114" t="s">
        <v>202</v>
      </c>
      <c r="B31" s="115">
        <v>39080</v>
      </c>
      <c r="C31" s="260">
        <f t="shared" si="1"/>
        <v>1.6473485062283193E-3</v>
      </c>
      <c r="D31" s="115">
        <v>20400</v>
      </c>
      <c r="E31" s="260">
        <f t="shared" si="2"/>
        <v>8.5992603702808893E-4</v>
      </c>
      <c r="F31" s="115">
        <v>4100</v>
      </c>
      <c r="G31" s="260">
        <f t="shared" si="3"/>
        <v>1.7282827214780216E-4</v>
      </c>
      <c r="H31" s="115"/>
      <c r="I31" s="260"/>
      <c r="J31" s="115">
        <f>SUM(F31,D31,B31,'- 12 -'!J31,'- 12 -'!H31,'- 12 -'!F31,'- 12 -'!D31,'- 12 -'!B31)</f>
        <v>911834</v>
      </c>
      <c r="K31" s="260">
        <f t="shared" si="4"/>
        <v>3.8436754806248544E-2</v>
      </c>
      <c r="M31" s="1" t="s">
        <v>80</v>
      </c>
      <c r="N31" s="450">
        <f>G54</f>
        <v>11.446303535826722</v>
      </c>
    </row>
    <row r="32" spans="1:14" ht="12.75" customHeight="1" x14ac:dyDescent="0.2">
      <c r="A32" s="114" t="s">
        <v>203</v>
      </c>
      <c r="B32" s="115">
        <v>94935</v>
      </c>
      <c r="C32" s="260">
        <f t="shared" si="1"/>
        <v>4.0018175649638044E-3</v>
      </c>
      <c r="D32" s="115">
        <v>1238859</v>
      </c>
      <c r="E32" s="260">
        <f t="shared" si="2"/>
        <v>5.222191717189123E-2</v>
      </c>
      <c r="F32" s="115">
        <v>9242352</v>
      </c>
      <c r="G32" s="260">
        <f t="shared" si="3"/>
        <v>0.38959505530287408</v>
      </c>
      <c r="H32" s="115"/>
      <c r="I32" s="260"/>
      <c r="J32" s="115">
        <f>SUM(F32,D32,B32,'- 12 -'!J32,'- 12 -'!H32,'- 12 -'!F32,'- 12 -'!D32,'- 12 -'!B32)</f>
        <v>12503275</v>
      </c>
      <c r="K32" s="260">
        <f t="shared" si="4"/>
        <v>0.52705351571678327</v>
      </c>
      <c r="M32" s="1" t="s">
        <v>24</v>
      </c>
      <c r="N32" s="450">
        <f>I54</f>
        <v>1.7000490312543488</v>
      </c>
    </row>
    <row r="33" spans="1:14" x14ac:dyDescent="0.2">
      <c r="A33" s="114" t="s">
        <v>204</v>
      </c>
      <c r="B33" s="115">
        <v>66125</v>
      </c>
      <c r="C33" s="260">
        <f t="shared" si="1"/>
        <v>2.7873828038471752E-3</v>
      </c>
      <c r="D33" s="115">
        <v>2925087</v>
      </c>
      <c r="E33" s="260">
        <f t="shared" si="2"/>
        <v>0.12330188587609713</v>
      </c>
      <c r="F33" s="115">
        <v>29957239</v>
      </c>
      <c r="G33" s="260">
        <f t="shared" si="3"/>
        <v>1.2627945987045741</v>
      </c>
      <c r="H33" s="115"/>
      <c r="I33" s="260"/>
      <c r="J33" s="115">
        <f>SUM(F33,D33,B33,'- 12 -'!J33,'- 12 -'!H33,'- 12 -'!F33,'- 12 -'!D33,'- 12 -'!B33)</f>
        <v>36192470</v>
      </c>
      <c r="K33" s="260">
        <f t="shared" si="4"/>
        <v>1.5256297694783332</v>
      </c>
      <c r="N33" s="450"/>
    </row>
    <row r="34" spans="1:14" x14ac:dyDescent="0.2">
      <c r="A34" s="114" t="s">
        <v>205</v>
      </c>
      <c r="B34" s="115">
        <v>146050</v>
      </c>
      <c r="C34" s="260">
        <f t="shared" si="1"/>
        <v>6.156480279801587E-3</v>
      </c>
      <c r="D34" s="115">
        <v>1030707</v>
      </c>
      <c r="E34" s="260">
        <f t="shared" si="2"/>
        <v>4.3447636561132867E-2</v>
      </c>
      <c r="F34" s="115">
        <v>2684377</v>
      </c>
      <c r="G34" s="260">
        <f t="shared" si="3"/>
        <v>0.11315518017153676</v>
      </c>
      <c r="H34" s="115"/>
      <c r="I34" s="260"/>
      <c r="J34" s="115">
        <f>SUM(F34,D34,B34,'- 12 -'!J34,'- 12 -'!H34,'- 12 -'!F34,'- 12 -'!D34,'- 12 -'!B34)</f>
        <v>7909229</v>
      </c>
      <c r="K34" s="260">
        <f t="shared" si="4"/>
        <v>0.33339960538811936</v>
      </c>
      <c r="N34" s="450">
        <f>SUM(N24:N32)</f>
        <v>99.999999999999986</v>
      </c>
    </row>
    <row r="35" spans="1:14" x14ac:dyDescent="0.2">
      <c r="A35" s="362" t="s">
        <v>244</v>
      </c>
      <c r="B35" s="115"/>
      <c r="C35" s="260">
        <f t="shared" si="1"/>
        <v>0</v>
      </c>
      <c r="D35" s="115"/>
      <c r="E35" s="260">
        <f t="shared" si="2"/>
        <v>0</v>
      </c>
      <c r="F35" s="115">
        <v>5928119</v>
      </c>
      <c r="G35" s="260">
        <f t="shared" si="3"/>
        <v>0.24988940581867242</v>
      </c>
      <c r="H35" s="115"/>
      <c r="I35" s="260"/>
      <c r="J35" s="115">
        <f>SUM(F35,D35,B35,'- 12 -'!J35,'- 12 -'!H35,'- 12 -'!F35,'- 12 -'!D35,'- 12 -'!B35)</f>
        <v>5961234</v>
      </c>
      <c r="K35" s="260">
        <f t="shared" si="4"/>
        <v>0.25128531026554424</v>
      </c>
    </row>
    <row r="36" spans="1:14" x14ac:dyDescent="0.2">
      <c r="A36" s="114" t="s">
        <v>206</v>
      </c>
      <c r="B36" s="115">
        <v>17750</v>
      </c>
      <c r="C36" s="260">
        <f>B36/J54</f>
        <v>7.4821995868865581E-6</v>
      </c>
      <c r="D36" s="115">
        <v>39500</v>
      </c>
      <c r="E36" s="260">
        <f>D36/J54</f>
        <v>1.6650528658141916E-5</v>
      </c>
      <c r="F36" s="115">
        <v>89550</v>
      </c>
      <c r="G36" s="260">
        <f>F36/J54</f>
        <v>3.7748223831306549E-5</v>
      </c>
      <c r="H36" s="115"/>
      <c r="I36" s="260"/>
      <c r="J36" s="115">
        <f>SUM(F36,D36,B36,'- 12 -'!J36,'- 12 -'!H36,'- 12 -'!F36,'- 12 -'!D36,'- 12 -'!B36)</f>
        <v>1367452</v>
      </c>
      <c r="K36" s="260">
        <f t="shared" si="4"/>
        <v>5.7642528391477169E-2</v>
      </c>
    </row>
    <row r="37" spans="1:14" x14ac:dyDescent="0.2">
      <c r="A37" s="114" t="s">
        <v>207</v>
      </c>
      <c r="B37" s="115">
        <v>215361</v>
      </c>
      <c r="C37" s="260">
        <f>B37/$J$54*100</f>
        <v>9.0781632970787386E-3</v>
      </c>
      <c r="D37" s="115">
        <v>64700</v>
      </c>
      <c r="E37" s="260">
        <f>D37/$J$54*100</f>
        <v>2.7273144409665369E-3</v>
      </c>
      <c r="F37" s="115">
        <v>87550</v>
      </c>
      <c r="G37" s="260">
        <f>F37/$J$54*100</f>
        <v>3.6905159089122147E-3</v>
      </c>
      <c r="H37" s="115"/>
      <c r="I37" s="260"/>
      <c r="J37" s="115">
        <f>SUM(F37,D37,B37,'- 12 -'!J37,'- 12 -'!H37,'- 12 -'!F37,'- 12 -'!D37,'- 12 -'!B37)</f>
        <v>4212935</v>
      </c>
      <c r="K37" s="260">
        <f t="shared" si="4"/>
        <v>0.17758884798073196</v>
      </c>
    </row>
    <row r="38" spans="1:14" x14ac:dyDescent="0.2">
      <c r="A38" s="121" t="s">
        <v>208</v>
      </c>
      <c r="B38" s="115">
        <v>10136260</v>
      </c>
      <c r="C38" s="260">
        <f>B38/'- 13 -'!$J$54*100</f>
        <v>0.42727617118070271</v>
      </c>
      <c r="D38" s="115">
        <v>281839</v>
      </c>
      <c r="E38" s="260">
        <f>D38/'- 13 -'!$J$54*100</f>
        <v>1.1880426193625468E-2</v>
      </c>
      <c r="F38" s="115">
        <v>461695</v>
      </c>
      <c r="G38" s="260">
        <f>F38/'- 13 -'!$J$54*100</f>
        <v>1.9461938807141348E-2</v>
      </c>
      <c r="H38" s="115"/>
      <c r="I38" s="260"/>
      <c r="J38" s="115">
        <f>SUM(F38,D38,B38,'- 12 -'!J38,'- 12 -'!H38,'- 12 -'!F38,'- 12 -'!D38,'- 12 -'!B38)</f>
        <v>13483530</v>
      </c>
      <c r="K38" s="260">
        <f t="shared" si="4"/>
        <v>0.56837443715928171</v>
      </c>
    </row>
    <row r="39" spans="1:14" x14ac:dyDescent="0.2">
      <c r="A39" s="122" t="s">
        <v>209</v>
      </c>
      <c r="B39" s="118">
        <v>739668</v>
      </c>
      <c r="C39" s="261">
        <f>B39/$J$54*100</f>
        <v>3.1179400586102569E-2</v>
      </c>
      <c r="D39" s="118">
        <v>368362</v>
      </c>
      <c r="E39" s="261">
        <f>D39/$J$54*100</f>
        <v>1.5527650728026515E-2</v>
      </c>
      <c r="F39" s="118">
        <v>202720</v>
      </c>
      <c r="G39" s="261">
        <f>F39/$J$54*100</f>
        <v>8.5453042267810871E-3</v>
      </c>
      <c r="H39" s="118"/>
      <c r="I39" s="261"/>
      <c r="J39" s="118">
        <f>SUM(F39,D39,B39,'- 12 -'!J39,'- 12 -'!H39,'- 12 -'!F39,'- 12 -'!D39,'- 12 -'!B39)</f>
        <v>14287063</v>
      </c>
      <c r="K39" s="261">
        <f t="shared" si="4"/>
        <v>0.60224595423336469</v>
      </c>
    </row>
    <row r="40" spans="1:14" x14ac:dyDescent="0.2">
      <c r="A40" s="119" t="s">
        <v>210</v>
      </c>
      <c r="B40" s="125">
        <f>SUM(B25:B39)</f>
        <v>14497910</v>
      </c>
      <c r="C40" s="263">
        <f>B40/$J$54*100</f>
        <v>0.61113383781813235</v>
      </c>
      <c r="D40" s="125">
        <f>SUM(D25:D39)</f>
        <v>28305340</v>
      </c>
      <c r="E40" s="263">
        <f>D40/$J$54*100</f>
        <v>1.1931617084770905</v>
      </c>
      <c r="F40" s="125">
        <f>SUM(F25:F39)</f>
        <v>103974582</v>
      </c>
      <c r="G40" s="263">
        <f>F40/$J$54*100</f>
        <v>4.3828652083780426</v>
      </c>
      <c r="H40" s="125"/>
      <c r="I40" s="263"/>
      <c r="J40" s="125">
        <f>SUM(F40,D40,B40,'- 12 -'!J40,'- 12 -'!H40,'- 12 -'!F40,'- 12 -'!D40,'- 12 -'!B40)</f>
        <v>214138421</v>
      </c>
      <c r="K40" s="263">
        <f t="shared" si="4"/>
        <v>9.0266276346069851</v>
      </c>
    </row>
    <row r="41" spans="1:14" x14ac:dyDescent="0.2">
      <c r="A41" s="281" t="s">
        <v>211</v>
      </c>
      <c r="B41" s="123"/>
      <c r="C41" s="264"/>
      <c r="D41" s="123"/>
      <c r="E41" s="264"/>
      <c r="F41" s="123"/>
      <c r="G41" s="264"/>
      <c r="H41" s="123"/>
      <c r="I41" s="264"/>
      <c r="J41" s="123"/>
      <c r="K41" s="264"/>
    </row>
    <row r="42" spans="1:14" x14ac:dyDescent="0.2">
      <c r="A42" s="114" t="s">
        <v>212</v>
      </c>
      <c r="B42" s="115">
        <v>4314945</v>
      </c>
      <c r="C42" s="260">
        <f>B42/$J$54*100</f>
        <v>0.18188889969824348</v>
      </c>
      <c r="D42" s="115">
        <v>18496998</v>
      </c>
      <c r="E42" s="260">
        <f>D42/$J$54*100</f>
        <v>0.77970834250276888</v>
      </c>
      <c r="F42" s="115">
        <v>23224397</v>
      </c>
      <c r="G42" s="260">
        <f>F42/$J$54*100</f>
        <v>0.97898351345965862</v>
      </c>
      <c r="H42" s="115"/>
      <c r="I42" s="260"/>
      <c r="J42" s="115">
        <f>SUM(F42,D42,B42,'- 12 -'!J42,'- 12 -'!H42,'- 12 -'!F42,'- 12 -'!D42,'- 12 -'!B42)</f>
        <v>89906041</v>
      </c>
      <c r="K42" s="260">
        <f>J42/$J$54*100</f>
        <v>3.7898306638242589</v>
      </c>
    </row>
    <row r="43" spans="1:14" x14ac:dyDescent="0.2">
      <c r="A43" s="114" t="s">
        <v>213</v>
      </c>
      <c r="B43" s="115">
        <v>3234267</v>
      </c>
      <c r="C43" s="260">
        <f>B43/$J$54*100</f>
        <v>0.1363348237255258</v>
      </c>
      <c r="D43" s="115">
        <v>5850</v>
      </c>
      <c r="E43" s="260">
        <f>D43/$J$54*100</f>
        <v>2.4659643708893728E-4</v>
      </c>
      <c r="F43" s="115">
        <v>143740</v>
      </c>
      <c r="G43" s="260">
        <f>F43/$J$54*100</f>
        <v>6.0591063020792894E-3</v>
      </c>
      <c r="H43" s="115"/>
      <c r="I43" s="260"/>
      <c r="J43" s="115">
        <f>SUM(F43,D43,B43,'- 12 -'!J43,'- 12 -'!H43,'- 12 -'!F43,'- 12 -'!D43,'- 12 -'!B43)</f>
        <v>16435758</v>
      </c>
      <c r="K43" s="260">
        <f>J43/$J$54*100</f>
        <v>0.69282040404376022</v>
      </c>
    </row>
    <row r="44" spans="1:14" x14ac:dyDescent="0.2">
      <c r="A44" s="114" t="s">
        <v>214</v>
      </c>
      <c r="B44" s="115">
        <v>177942</v>
      </c>
      <c r="C44" s="260">
        <f>B44/$J$54*100</f>
        <v>7.5008313176888322E-3</v>
      </c>
      <c r="D44" s="115">
        <v>524547</v>
      </c>
      <c r="E44" s="260">
        <f>D44/$J$54*100</f>
        <v>2.2111354065930046E-2</v>
      </c>
      <c r="F44" s="115">
        <v>3530460</v>
      </c>
      <c r="G44" s="260">
        <f>F44/$J$54*100</f>
        <v>0.14882031748461699</v>
      </c>
      <c r="H44" s="115"/>
      <c r="I44" s="260"/>
      <c r="J44" s="115">
        <f>SUM(F44,D44,B44,'- 12 -'!J44,'- 12 -'!H44,'- 12 -'!F44,'- 12 -'!D44,'- 12 -'!B44)</f>
        <v>15522428</v>
      </c>
      <c r="K44" s="260">
        <f>J44/$J$54*100</f>
        <v>0.6543205879947962</v>
      </c>
    </row>
    <row r="45" spans="1:14" x14ac:dyDescent="0.2">
      <c r="A45" s="122" t="s">
        <v>215</v>
      </c>
      <c r="B45" s="118">
        <v>333622</v>
      </c>
      <c r="C45" s="261">
        <f>B45/$J$54*100</f>
        <v>1.4063247270852208E-2</v>
      </c>
      <c r="D45" s="118">
        <v>167570</v>
      </c>
      <c r="E45" s="261">
        <f>D45/$J$54*100</f>
        <v>7.0636179423920024E-3</v>
      </c>
      <c r="F45" s="118">
        <v>171000</v>
      </c>
      <c r="G45" s="261">
        <f>F45/$J$54*100</f>
        <v>7.208203545676627E-3</v>
      </c>
      <c r="H45" s="118"/>
      <c r="I45" s="261"/>
      <c r="J45" s="118">
        <f>SUM(F45,D45,B45,'- 12 -'!J45,'- 12 -'!H45,'- 12 -'!F45,'- 12 -'!D45,'- 12 -'!B45)</f>
        <v>23111050</v>
      </c>
      <c r="K45" s="261">
        <f>J45/$J$54*100</f>
        <v>0.9742055704930398</v>
      </c>
    </row>
    <row r="46" spans="1:14" x14ac:dyDescent="0.2">
      <c r="A46" s="119" t="s">
        <v>216</v>
      </c>
      <c r="B46" s="125">
        <f>SUM(B42:B45)</f>
        <v>8060776</v>
      </c>
      <c r="C46" s="263">
        <f>B46/$J$54*100</f>
        <v>0.33978780201231029</v>
      </c>
      <c r="D46" s="125">
        <f>SUM(D42:D45)</f>
        <v>19194965</v>
      </c>
      <c r="E46" s="263">
        <f>D46/$J$54*100</f>
        <v>0.80912991094817988</v>
      </c>
      <c r="F46" s="125">
        <f>SUM(F42:F45)</f>
        <v>27069597</v>
      </c>
      <c r="G46" s="263">
        <f>F46/$J$54*100</f>
        <v>1.1410711407920315</v>
      </c>
      <c r="H46" s="125"/>
      <c r="I46" s="263"/>
      <c r="J46" s="125">
        <f>SUM(F46,D46,B46,'- 12 -'!J46,'- 12 -'!H46,'- 12 -'!F46,'- 12 -'!D46,'- 12 -'!B46)</f>
        <v>144975277</v>
      </c>
      <c r="K46" s="263">
        <f>J46/$J$54*100</f>
        <v>6.1111772263558555</v>
      </c>
    </row>
    <row r="47" spans="1:14" x14ac:dyDescent="0.2">
      <c r="A47" s="281" t="s">
        <v>42</v>
      </c>
      <c r="B47" s="123"/>
      <c r="C47" s="264"/>
      <c r="D47" s="123"/>
      <c r="E47" s="264"/>
      <c r="F47" s="123"/>
      <c r="G47" s="264"/>
      <c r="H47" s="123"/>
      <c r="I47" s="264"/>
      <c r="J47" s="123"/>
      <c r="K47" s="264"/>
    </row>
    <row r="48" spans="1:14" hidden="1" x14ac:dyDescent="0.2">
      <c r="A48" s="225" t="s">
        <v>293</v>
      </c>
      <c r="B48" s="354"/>
      <c r="C48" s="355"/>
      <c r="D48" s="354"/>
      <c r="E48" s="355"/>
      <c r="F48" s="115">
        <v>0</v>
      </c>
      <c r="G48" s="355"/>
      <c r="H48" s="354"/>
      <c r="I48" s="355"/>
      <c r="J48" s="354">
        <f>'- 12 -'!F48+'- 12 -'!J48+'- 13 -'!F48</f>
        <v>0</v>
      </c>
      <c r="K48" s="355"/>
    </row>
    <row r="49" spans="1:11" x14ac:dyDescent="0.2">
      <c r="A49" s="114" t="s">
        <v>217</v>
      </c>
      <c r="B49" s="120"/>
      <c r="C49" s="260"/>
      <c r="D49" s="120"/>
      <c r="E49" s="260"/>
      <c r="F49" s="120"/>
      <c r="G49" s="260"/>
      <c r="H49" s="115">
        <f>'- 10 -'!G24</f>
        <v>2467342</v>
      </c>
      <c r="I49" s="260">
        <f>H49/$J$54*100</f>
        <v>0.10400645235553721</v>
      </c>
      <c r="J49" s="115">
        <f>H49</f>
        <v>2467342</v>
      </c>
      <c r="K49" s="260">
        <f>J49/$J$54*100</f>
        <v>0.10400645235553721</v>
      </c>
    </row>
    <row r="50" spans="1:11" x14ac:dyDescent="0.2">
      <c r="A50" s="114" t="s">
        <v>252</v>
      </c>
      <c r="B50" s="120"/>
      <c r="C50" s="260"/>
      <c r="D50" s="120"/>
      <c r="E50" s="260"/>
      <c r="F50" s="120"/>
      <c r="G50" s="260"/>
      <c r="H50" s="115">
        <f>'- 10 -'!H24</f>
        <v>13000</v>
      </c>
      <c r="I50" s="260"/>
      <c r="J50" s="115">
        <f>H50</f>
        <v>13000</v>
      </c>
      <c r="K50" s="260"/>
    </row>
    <row r="51" spans="1:11" x14ac:dyDescent="0.2">
      <c r="A51" s="114" t="s">
        <v>218</v>
      </c>
      <c r="B51" s="120"/>
      <c r="C51" s="260"/>
      <c r="D51" s="120"/>
      <c r="E51" s="260"/>
      <c r="F51" s="120"/>
      <c r="G51" s="260"/>
      <c r="H51" s="118">
        <f>'- 10 -'!I24</f>
        <v>37849871</v>
      </c>
      <c r="I51" s="261">
        <f>H51/$J$54*100</f>
        <v>1.5954945868163914</v>
      </c>
      <c r="J51" s="118">
        <f>H51</f>
        <v>37849871</v>
      </c>
      <c r="K51" s="261">
        <f>J51/$J$54*100</f>
        <v>1.5954945868163914</v>
      </c>
    </row>
    <row r="52" spans="1:11" x14ac:dyDescent="0.2">
      <c r="A52" s="119" t="s">
        <v>219</v>
      </c>
      <c r="B52" s="119"/>
      <c r="C52" s="263"/>
      <c r="D52" s="119"/>
      <c r="E52" s="263"/>
      <c r="F52" s="125">
        <f>F48</f>
        <v>0</v>
      </c>
      <c r="G52" s="263"/>
      <c r="H52" s="125">
        <f>SUM(H49:H51)</f>
        <v>40330213</v>
      </c>
      <c r="I52" s="263">
        <f>H52/$J$54*100</f>
        <v>1.7000490312543488</v>
      </c>
      <c r="J52" s="125">
        <f>SUM(J48:J51)</f>
        <v>40330213</v>
      </c>
      <c r="K52" s="263">
        <f>J52/$J$54*100</f>
        <v>1.7000490312543488</v>
      </c>
    </row>
    <row r="53" spans="1:11" ht="5.0999999999999996" customHeight="1" x14ac:dyDescent="0.2">
      <c r="A53" s="19"/>
      <c r="B53" s="23"/>
      <c r="C53" s="265"/>
      <c r="D53" s="72"/>
      <c r="E53" s="265"/>
      <c r="F53" s="72"/>
      <c r="G53" s="265"/>
      <c r="H53" s="72"/>
      <c r="I53" s="265"/>
      <c r="J53" s="72"/>
      <c r="K53" s="265"/>
    </row>
    <row r="54" spans="1:11" x14ac:dyDescent="0.2">
      <c r="A54" s="282" t="s">
        <v>220</v>
      </c>
      <c r="B54" s="344">
        <f>SUM(B52,B46,B40,B23,B22)</f>
        <v>80865312</v>
      </c>
      <c r="C54" s="345">
        <f>B54/$J$54*100</f>
        <v>3.4087346706470569</v>
      </c>
      <c r="D54" s="344">
        <f>SUM(D52,D46,D40,D23,D22)</f>
        <v>103311658</v>
      </c>
      <c r="E54" s="345">
        <f>D54/$J$54*100</f>
        <v>4.3549208158206492</v>
      </c>
      <c r="F54" s="344">
        <f>SUM(F52,F46,F40,F23,F22)</f>
        <v>271540321</v>
      </c>
      <c r="G54" s="345">
        <f>F54/$J$54*100</f>
        <v>11.446303535826722</v>
      </c>
      <c r="H54" s="344">
        <f>SUM(H52,H46,H40,H23,H22)</f>
        <v>40330213</v>
      </c>
      <c r="I54" s="345">
        <f>H54/$J$54*100</f>
        <v>1.7000490312543488</v>
      </c>
      <c r="J54" s="344">
        <f>SUM(J52,J46,J40,J23,J22)</f>
        <v>2372297049</v>
      </c>
      <c r="K54" s="345">
        <f>J54/$J$54*100</f>
        <v>100</v>
      </c>
    </row>
    <row r="55" spans="1:11" ht="20.100000000000001" customHeight="1" x14ac:dyDescent="0.2">
      <c r="A55" s="127"/>
    </row>
  </sheetData>
  <mergeCells count="6">
    <mergeCell ref="L25:L29"/>
    <mergeCell ref="B9:C10"/>
    <mergeCell ref="D9:E10"/>
    <mergeCell ref="F9:G10"/>
    <mergeCell ref="H9:I10"/>
    <mergeCell ref="J9:K10"/>
  </mergeCells>
  <phoneticPr fontId="0" type="noConversion"/>
  <printOptions verticalCentered="1"/>
  <pageMargins left="0.75" right="0" top="0.3" bottom="0.3" header="0" footer="0"/>
  <pageSetup scale="8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B59"/>
  <sheetViews>
    <sheetView showGridLines="0" showZeros="0" workbookViewId="0"/>
  </sheetViews>
  <sheetFormatPr defaultColWidth="15.83203125" defaultRowHeight="12" x14ac:dyDescent="0.2"/>
  <cols>
    <col min="1" max="1" width="31.6640625" style="1" customWidth="1"/>
    <col min="2" max="2" width="15" style="1" bestFit="1" customWidth="1"/>
    <col min="3" max="3" width="7" style="1" customWidth="1"/>
    <col min="4" max="4" width="9.33203125" style="1" customWidth="1"/>
    <col min="5" max="5" width="13.33203125" style="1" bestFit="1" customWidth="1"/>
    <col min="6" max="6" width="6.33203125" style="1" customWidth="1"/>
    <col min="7" max="7" width="9.5" style="1" customWidth="1"/>
    <col min="8" max="8" width="11.5" style="1" customWidth="1"/>
    <col min="9" max="9" width="8.83203125" style="1" customWidth="1"/>
    <col min="10" max="16384" width="15.83203125" style="1"/>
  </cols>
  <sheetData>
    <row r="1" spans="1:54" ht="6.95" customHeight="1" x14ac:dyDescent="0.2">
      <c r="A1" s="3"/>
      <c r="B1" s="4"/>
      <c r="C1" s="4"/>
      <c r="D1" s="4"/>
      <c r="E1" s="4"/>
      <c r="F1" s="4"/>
      <c r="G1" s="4"/>
      <c r="H1" s="4"/>
      <c r="I1" s="4"/>
    </row>
    <row r="2" spans="1:54" ht="15.95" customHeight="1" x14ac:dyDescent="0.2">
      <c r="A2" s="132"/>
      <c r="B2" s="5" t="str">
        <f>IF(Lang=1,BA2,BB2)</f>
        <v>ANALYSIS OF EXPENSE BY FUNCTION</v>
      </c>
      <c r="C2" s="6"/>
      <c r="D2" s="6"/>
      <c r="E2" s="6"/>
      <c r="F2" s="6"/>
      <c r="G2" s="6"/>
      <c r="H2" s="85"/>
      <c r="I2" s="150" t="s">
        <v>0</v>
      </c>
      <c r="BA2" s="456" t="s">
        <v>258</v>
      </c>
      <c r="BB2" s="456" t="s">
        <v>398</v>
      </c>
    </row>
    <row r="3" spans="1:54" ht="15.95" customHeight="1" x14ac:dyDescent="0.2">
      <c r="A3" s="135"/>
      <c r="B3" s="7" t="str">
        <f>OPYEAR</f>
        <v>OPERATING FUND 2017/2018 BUDGET</v>
      </c>
      <c r="C3" s="8"/>
      <c r="D3" s="8"/>
      <c r="E3" s="8"/>
      <c r="F3" s="8"/>
      <c r="G3" s="8"/>
      <c r="H3" s="87"/>
      <c r="I3" s="81"/>
    </row>
    <row r="4" spans="1:54" ht="15.95" customHeight="1" x14ac:dyDescent="0.2">
      <c r="B4" s="4"/>
      <c r="C4" s="4"/>
      <c r="D4" s="4"/>
      <c r="E4" s="4"/>
      <c r="F4" s="4"/>
      <c r="G4" s="4"/>
      <c r="H4" s="4"/>
      <c r="I4" s="4"/>
    </row>
    <row r="5" spans="1:54" ht="15.95" customHeight="1" x14ac:dyDescent="0.2">
      <c r="B5" s="4"/>
      <c r="C5" s="4"/>
      <c r="D5" s="4"/>
      <c r="E5" s="4"/>
      <c r="F5" s="4"/>
      <c r="G5" s="4"/>
      <c r="H5" s="4"/>
      <c r="I5" s="4"/>
    </row>
    <row r="6" spans="1:54" ht="15.95" customHeight="1" x14ac:dyDescent="0.2">
      <c r="B6" s="626" t="s">
        <v>21</v>
      </c>
      <c r="C6" s="628"/>
      <c r="D6" s="613"/>
      <c r="E6" s="620" t="s">
        <v>397</v>
      </c>
      <c r="F6" s="628"/>
      <c r="G6" s="613"/>
      <c r="H6" s="624" t="s">
        <v>97</v>
      </c>
      <c r="I6" s="621"/>
    </row>
    <row r="7" spans="1:54" ht="15.95" customHeight="1" x14ac:dyDescent="0.2">
      <c r="B7" s="627"/>
      <c r="C7" s="629"/>
      <c r="D7" s="615"/>
      <c r="E7" s="627"/>
      <c r="F7" s="629"/>
      <c r="G7" s="615"/>
      <c r="H7" s="622"/>
      <c r="I7" s="623"/>
    </row>
    <row r="8" spans="1:54" ht="15.95" customHeight="1" x14ac:dyDescent="0.2">
      <c r="A8" s="82"/>
      <c r="B8" s="138" t="s">
        <v>1</v>
      </c>
      <c r="C8" s="176"/>
      <c r="D8" s="577" t="s">
        <v>304</v>
      </c>
      <c r="E8" s="138"/>
      <c r="F8" s="137"/>
      <c r="G8" s="538" t="s">
        <v>396</v>
      </c>
      <c r="H8" s="138"/>
      <c r="I8" s="137"/>
    </row>
    <row r="9" spans="1:54" ht="15.95" customHeight="1" x14ac:dyDescent="0.2">
      <c r="A9" s="27" t="s">
        <v>37</v>
      </c>
      <c r="B9" s="452" t="s">
        <v>38</v>
      </c>
      <c r="C9" s="89" t="s">
        <v>39</v>
      </c>
      <c r="D9" s="578"/>
      <c r="E9" s="89" t="s">
        <v>38</v>
      </c>
      <c r="F9" s="89" t="s">
        <v>39</v>
      </c>
      <c r="G9" s="578"/>
      <c r="H9" s="89" t="s">
        <v>38</v>
      </c>
      <c r="I9" s="89" t="s">
        <v>39</v>
      </c>
    </row>
    <row r="10" spans="1:54" ht="5.0999999999999996" customHeight="1" x14ac:dyDescent="0.2">
      <c r="A10" s="29"/>
    </row>
    <row r="11" spans="1:54" ht="14.1" customHeight="1" x14ac:dyDescent="0.2">
      <c r="A11" s="271" t="s">
        <v>104</v>
      </c>
      <c r="B11" s="272">
        <f>SUM('- 18 -'!B11,'- 18 -'!E11,'- 19 -'!B11,'- 19 -'!E11,'- 19 -'!H11,'- 20 -'!B11)</f>
        <v>12834608</v>
      </c>
      <c r="C11" s="273">
        <f>B11/'- 3 -'!D11*100</f>
        <v>63.62392102481116</v>
      </c>
      <c r="D11" s="272">
        <f>B11/'- 7 -'!C11</f>
        <v>7146.2182628062365</v>
      </c>
      <c r="E11" s="272">
        <f>SUM('- 21 -'!B11,'- 21 -'!E11,'- 21 -'!H11,'- 22 -'!B11,'- 22 -'!E11,'- 22 -'!H11)</f>
        <v>2522400</v>
      </c>
      <c r="F11" s="273">
        <f>E11/'- 3 -'!D11*100</f>
        <v>12.504081027872738</v>
      </c>
      <c r="G11" s="272">
        <f>E11/'- 7 -'!E11</f>
        <v>1404.4543429844098</v>
      </c>
      <c r="H11" s="272">
        <f>SUM('- 23 -'!D11,'- 23 -'!B11)</f>
        <v>0</v>
      </c>
      <c r="I11" s="273">
        <f>H11/'- 3 -'!D11*100</f>
        <v>0</v>
      </c>
    </row>
    <row r="12" spans="1:54" ht="14.1" customHeight="1" x14ac:dyDescent="0.2">
      <c r="A12" s="15" t="s">
        <v>105</v>
      </c>
      <c r="B12" s="16">
        <f>SUM('- 18 -'!B12,'- 18 -'!E12,'- 19 -'!B12,'- 19 -'!E12,'- 19 -'!H12,'- 20 -'!B12)</f>
        <v>19608360</v>
      </c>
      <c r="C12" s="267">
        <f>B12/'- 3 -'!D12*100</f>
        <v>55.973277874904248</v>
      </c>
      <c r="D12" s="16">
        <f>B12/'- 7 -'!C12</f>
        <v>9120.1674418604653</v>
      </c>
      <c r="E12" s="16">
        <f>SUM('- 21 -'!B12,'- 21 -'!E12,'- 21 -'!H12,'- 22 -'!B12,'- 22 -'!E12,'- 22 -'!H12)</f>
        <v>5788728</v>
      </c>
      <c r="F12" s="267">
        <f>E12/'- 3 -'!D12*100</f>
        <v>16.524282545110285</v>
      </c>
      <c r="G12" s="16">
        <f>E12/'- 7 -'!E12</f>
        <v>2692.4316279069767</v>
      </c>
      <c r="H12" s="16">
        <f>SUM('- 23 -'!D12,'- 23 -'!B12)</f>
        <v>682961</v>
      </c>
      <c r="I12" s="267">
        <f>H12/'- 3 -'!D12*100</f>
        <v>1.9495544671110934</v>
      </c>
    </row>
    <row r="13" spans="1:54" ht="14.1" customHeight="1" x14ac:dyDescent="0.2">
      <c r="A13" s="271" t="s">
        <v>106</v>
      </c>
      <c r="B13" s="272">
        <f>SUM('- 18 -'!B13,'- 18 -'!E13,'- 19 -'!B13,'- 19 -'!E13,'- 19 -'!H13,'- 20 -'!B13)</f>
        <v>60452500</v>
      </c>
      <c r="C13" s="273">
        <f>B13/'- 3 -'!D13*100</f>
        <v>59.359105280728976</v>
      </c>
      <c r="D13" s="272">
        <f>B13/'- 7 -'!C13</f>
        <v>7087.04572098476</v>
      </c>
      <c r="E13" s="272">
        <f>SUM('- 21 -'!B13,'- 21 -'!E13,'- 21 -'!H13,'- 22 -'!B13,'- 22 -'!E13,'- 22 -'!H13)</f>
        <v>21631600</v>
      </c>
      <c r="F13" s="273">
        <f>E13/'- 3 -'!D13*100</f>
        <v>21.240352703206927</v>
      </c>
      <c r="G13" s="272">
        <f>E13/'- 7 -'!E13</f>
        <v>2535.9437280187572</v>
      </c>
      <c r="H13" s="272">
        <f>SUM('- 23 -'!D13,'- 23 -'!B13)</f>
        <v>0</v>
      </c>
      <c r="I13" s="273">
        <f>H13/'- 3 -'!D13*100</f>
        <v>0</v>
      </c>
    </row>
    <row r="14" spans="1:54" ht="14.1" customHeight="1" x14ac:dyDescent="0.2">
      <c r="A14" s="15" t="s">
        <v>315</v>
      </c>
      <c r="B14" s="16">
        <f>SUM('- 18 -'!B14,'- 18 -'!E14,'- 19 -'!B14,'- 19 -'!E14,'- 19 -'!H14,'- 20 -'!B14)</f>
        <v>49810661</v>
      </c>
      <c r="C14" s="267">
        <f>B14/'- 3 -'!D14*100</f>
        <v>55.176309953067189</v>
      </c>
      <c r="D14" s="16">
        <f>B14/'- 7 -'!C14</f>
        <v>8942.6680430879715</v>
      </c>
      <c r="E14" s="16">
        <f>SUM('- 21 -'!B14,'- 21 -'!E14,'- 21 -'!H14,'- 22 -'!B14,'- 22 -'!E14,'- 22 -'!H14)</f>
        <v>10440688</v>
      </c>
      <c r="F14" s="267">
        <f>E14/'- 3 -'!D14*100</f>
        <v>11.565368249404866</v>
      </c>
      <c r="G14" s="16">
        <f>E14/'- 7 -'!E14</f>
        <v>1874.4502692998205</v>
      </c>
      <c r="H14" s="16">
        <f>SUM('- 23 -'!D14,'- 23 -'!B14)</f>
        <v>256811</v>
      </c>
      <c r="I14" s="267">
        <f>H14/'- 3 -'!D14*100</f>
        <v>0.28447491060913926</v>
      </c>
    </row>
    <row r="15" spans="1:54" ht="14.1" customHeight="1" x14ac:dyDescent="0.2">
      <c r="A15" s="271" t="s">
        <v>107</v>
      </c>
      <c r="B15" s="272">
        <f>SUM('- 18 -'!B15,'- 18 -'!E15,'- 19 -'!B15,'- 19 -'!E15,'- 19 -'!H15,'- 20 -'!B15)</f>
        <v>10959786</v>
      </c>
      <c r="C15" s="273">
        <f>B15/'- 3 -'!D15*100</f>
        <v>52.909949562702316</v>
      </c>
      <c r="D15" s="272">
        <f>B15/'- 7 -'!C15</f>
        <v>7953.4005805515244</v>
      </c>
      <c r="E15" s="272">
        <f>SUM('- 21 -'!B15,'- 21 -'!E15,'- 21 -'!H15,'- 22 -'!B15,'- 22 -'!E15,'- 22 -'!H15)</f>
        <v>3550650</v>
      </c>
      <c r="F15" s="273">
        <f>E15/'- 3 -'!D15*100</f>
        <v>17.141275606550071</v>
      </c>
      <c r="G15" s="272">
        <f>E15/'- 7 -'!E15</f>
        <v>2576.6690856313498</v>
      </c>
      <c r="H15" s="272">
        <f>SUM('- 23 -'!D15,'- 23 -'!B15)</f>
        <v>0</v>
      </c>
      <c r="I15" s="273">
        <f>H15/'- 3 -'!D15*100</f>
        <v>0</v>
      </c>
    </row>
    <row r="16" spans="1:54" ht="14.1" customHeight="1" x14ac:dyDescent="0.2">
      <c r="A16" s="15" t="s">
        <v>108</v>
      </c>
      <c r="B16" s="16">
        <f>SUM('- 18 -'!B16,'- 18 -'!E16,'- 19 -'!B16,'- 19 -'!E16,'- 19 -'!H16,'- 20 -'!B16)</f>
        <v>7887275</v>
      </c>
      <c r="C16" s="267">
        <f>B16/'- 3 -'!D16*100</f>
        <v>53.325561382903267</v>
      </c>
      <c r="D16" s="16">
        <f>B16/'- 7 -'!C16</f>
        <v>8503.8005390835588</v>
      </c>
      <c r="E16" s="16">
        <f>SUM('- 21 -'!B16,'- 21 -'!E16,'- 21 -'!H16,'- 22 -'!B16,'- 22 -'!E16,'- 22 -'!H16)</f>
        <v>2723528</v>
      </c>
      <c r="F16" s="267">
        <f>E16/'- 3 -'!D16*100</f>
        <v>18.413667526751095</v>
      </c>
      <c r="G16" s="16">
        <f>E16/'- 7 -'!E16</f>
        <v>2936.4183288409704</v>
      </c>
      <c r="H16" s="16">
        <f>SUM('- 23 -'!D16,'- 23 -'!B16)</f>
        <v>92300</v>
      </c>
      <c r="I16" s="267">
        <f>H16/'- 3 -'!D16*100</f>
        <v>0.6240367320325424</v>
      </c>
    </row>
    <row r="17" spans="1:9" ht="14.1" customHeight="1" x14ac:dyDescent="0.2">
      <c r="A17" s="271" t="s">
        <v>109</v>
      </c>
      <c r="B17" s="272">
        <f>SUM('- 18 -'!B17,'- 18 -'!E17,'- 19 -'!B17,'- 19 -'!E17,'- 19 -'!H17,'- 20 -'!B17)</f>
        <v>10683200</v>
      </c>
      <c r="C17" s="273">
        <f>B17/'- 3 -'!D17*100</f>
        <v>57.128293638744822</v>
      </c>
      <c r="D17" s="272">
        <f>B17/'- 7 -'!C17</f>
        <v>7584.8065317713881</v>
      </c>
      <c r="E17" s="272">
        <f>SUM('- 21 -'!B17,'- 21 -'!E17,'- 21 -'!H17,'- 22 -'!B17,'- 22 -'!E17,'- 22 -'!H17)</f>
        <v>2575831</v>
      </c>
      <c r="F17" s="273">
        <f>E17/'- 3 -'!D17*100</f>
        <v>13.774227734366267</v>
      </c>
      <c r="G17" s="272">
        <f>E17/'- 7 -'!E17</f>
        <v>1828.7760028399007</v>
      </c>
      <c r="H17" s="272">
        <f>SUM('- 23 -'!D17,'- 23 -'!B17)</f>
        <v>0</v>
      </c>
      <c r="I17" s="273">
        <f>H17/'- 3 -'!D17*100</f>
        <v>0</v>
      </c>
    </row>
    <row r="18" spans="1:9" ht="14.1" customHeight="1" x14ac:dyDescent="0.2">
      <c r="A18" s="15" t="s">
        <v>110</v>
      </c>
      <c r="B18" s="16">
        <f>SUM('- 18 -'!B18,'- 18 -'!E18,'- 19 -'!B18,'- 19 -'!E18,'- 19 -'!H18,'- 20 -'!B18)</f>
        <v>55344165</v>
      </c>
      <c r="C18" s="267">
        <f>B18/'- 3 -'!D18*100</f>
        <v>42.00649277085018</v>
      </c>
      <c r="D18" s="16">
        <f>B18/'- 7 -'!C18</f>
        <v>9050.8544842022638</v>
      </c>
      <c r="E18" s="16">
        <f>SUM('- 21 -'!B18,'- 21 -'!E18,'- 21 -'!H18,'- 22 -'!B18,'- 22 -'!E18,'- 22 -'!H18)</f>
        <v>21523063</v>
      </c>
      <c r="F18" s="267">
        <f>E18/'- 3 -'!D18*100</f>
        <v>16.336110415904784</v>
      </c>
      <c r="G18" s="16">
        <f>E18/'- 7 -'!E18</f>
        <v>3519.8310656113035</v>
      </c>
      <c r="H18" s="16">
        <f>SUM('- 23 -'!D18,'- 23 -'!B18)</f>
        <v>2126059</v>
      </c>
      <c r="I18" s="267">
        <f>H18/'- 3 -'!D18*100</f>
        <v>1.6136892121129836</v>
      </c>
    </row>
    <row r="19" spans="1:9" ht="14.1" customHeight="1" x14ac:dyDescent="0.2">
      <c r="A19" s="271" t="s">
        <v>111</v>
      </c>
      <c r="B19" s="272">
        <f>SUM('- 18 -'!B19,'- 18 -'!E19,'- 19 -'!B19,'- 19 -'!E19,'- 19 -'!H19,'- 20 -'!B19)</f>
        <v>27499216</v>
      </c>
      <c r="C19" s="273">
        <f>B19/'- 3 -'!D19*100</f>
        <v>56.428653464981238</v>
      </c>
      <c r="D19" s="272">
        <f>B19/'- 7 -'!C19</f>
        <v>6338.4155814221504</v>
      </c>
      <c r="E19" s="272">
        <f>SUM('- 21 -'!B19,'- 21 -'!E19,'- 21 -'!H19,'- 22 -'!B19,'- 22 -'!E19,'- 22 -'!H19)</f>
        <v>9684788</v>
      </c>
      <c r="F19" s="273">
        <f>E19/'- 3 -'!D19*100</f>
        <v>19.873277330299477</v>
      </c>
      <c r="G19" s="272">
        <f>E19/'- 7 -'!E19</f>
        <v>2232.2895009796011</v>
      </c>
      <c r="H19" s="272">
        <f>SUM('- 23 -'!D19,'- 23 -'!B19)</f>
        <v>0</v>
      </c>
      <c r="I19" s="273">
        <f>H19/'- 3 -'!D19*100</f>
        <v>0</v>
      </c>
    </row>
    <row r="20" spans="1:9" ht="14.1" customHeight="1" x14ac:dyDescent="0.2">
      <c r="A20" s="15" t="s">
        <v>112</v>
      </c>
      <c r="B20" s="16">
        <f>SUM('- 18 -'!B20,'- 18 -'!E20,'- 19 -'!B20,'- 19 -'!E20,'- 19 -'!H20,'- 20 -'!B20)</f>
        <v>52026700</v>
      </c>
      <c r="C20" s="267">
        <f>B20/'- 3 -'!D20*100</f>
        <v>61.280842603193456</v>
      </c>
      <c r="D20" s="16">
        <f>B20/'- 7 -'!C20</f>
        <v>6717.4564234990312</v>
      </c>
      <c r="E20" s="16">
        <f>SUM('- 21 -'!B20,'- 21 -'!E20,'- 21 -'!H20,'- 22 -'!B20,'- 22 -'!E20,'- 22 -'!H20)</f>
        <v>12396500</v>
      </c>
      <c r="F20" s="267">
        <f>E20/'- 3 -'!D20*100</f>
        <v>14.601502023585727</v>
      </c>
      <c r="G20" s="16">
        <f>E20/'- 7 -'!E20</f>
        <v>1600.5810200129115</v>
      </c>
      <c r="H20" s="16">
        <f>SUM('- 23 -'!D20,'- 23 -'!B20)</f>
        <v>0</v>
      </c>
      <c r="I20" s="267">
        <f>H20/'- 3 -'!D20*100</f>
        <v>0</v>
      </c>
    </row>
    <row r="21" spans="1:9" ht="14.1" customHeight="1" x14ac:dyDescent="0.2">
      <c r="A21" s="271" t="s">
        <v>113</v>
      </c>
      <c r="B21" s="272">
        <f>SUM('- 18 -'!B21,'- 18 -'!E21,'- 19 -'!B21,'- 19 -'!E21,'- 19 -'!H21,'- 20 -'!B21)</f>
        <v>21719900</v>
      </c>
      <c r="C21" s="273">
        <f>B21/'- 3 -'!D21*100</f>
        <v>58.482097179814431</v>
      </c>
      <c r="D21" s="272">
        <f>B21/'- 7 -'!C21</f>
        <v>7882.3806931591362</v>
      </c>
      <c r="E21" s="272">
        <f>SUM('- 21 -'!B21,'- 21 -'!E21,'- 21 -'!H21,'- 22 -'!B21,'- 22 -'!E21,'- 22 -'!H21)</f>
        <v>6113000</v>
      </c>
      <c r="F21" s="273">
        <f>E21/'- 3 -'!D21*100</f>
        <v>16.45960893283144</v>
      </c>
      <c r="G21" s="272">
        <f>E21/'- 7 -'!E21</f>
        <v>2218.4721466158594</v>
      </c>
      <c r="H21" s="272">
        <f>SUM('- 23 -'!D21,'- 23 -'!B21)</f>
        <v>0</v>
      </c>
      <c r="I21" s="273">
        <f>H21/'- 3 -'!D21*100</f>
        <v>0</v>
      </c>
    </row>
    <row r="22" spans="1:9" ht="14.1" customHeight="1" x14ac:dyDescent="0.2">
      <c r="A22" s="15" t="s">
        <v>114</v>
      </c>
      <c r="B22" s="16">
        <f>SUM('- 18 -'!B22,'- 18 -'!E22,'- 19 -'!B22,'- 19 -'!E22,'- 19 -'!H22,'- 20 -'!B22)</f>
        <v>10788631</v>
      </c>
      <c r="C22" s="267">
        <f>B22/'- 3 -'!D22*100</f>
        <v>50.602409242982894</v>
      </c>
      <c r="D22" s="16">
        <f>B22/'- 7 -'!C22</f>
        <v>7101.5211953659818</v>
      </c>
      <c r="E22" s="16">
        <f>SUM('- 21 -'!B22,'- 21 -'!E22,'- 21 -'!H22,'- 22 -'!B22,'- 22 -'!E22,'- 22 -'!H22)</f>
        <v>4903630</v>
      </c>
      <c r="F22" s="267">
        <f>E22/'- 3 -'!D22*100</f>
        <v>22.999719986360475</v>
      </c>
      <c r="G22" s="16">
        <f>E22/'- 7 -'!E22</f>
        <v>3227.7711953659818</v>
      </c>
      <c r="H22" s="16">
        <f>SUM('- 23 -'!D22,'- 23 -'!B22)</f>
        <v>654480</v>
      </c>
      <c r="I22" s="267">
        <f>H22/'- 3 -'!D22*100</f>
        <v>3.0697374672789759</v>
      </c>
    </row>
    <row r="23" spans="1:9" ht="14.1" customHeight="1" x14ac:dyDescent="0.2">
      <c r="A23" s="271" t="s">
        <v>115</v>
      </c>
      <c r="B23" s="272">
        <f>SUM('- 18 -'!B23,'- 18 -'!E23,'- 19 -'!B23,'- 19 -'!E23,'- 19 -'!H23,'- 20 -'!B23)</f>
        <v>8827749</v>
      </c>
      <c r="C23" s="273">
        <f>B23/'- 3 -'!D23*100</f>
        <v>52.437968568519779</v>
      </c>
      <c r="D23" s="272">
        <f>B23/'- 7 -'!C23</f>
        <v>7988.9131221719454</v>
      </c>
      <c r="E23" s="272">
        <f>SUM('- 21 -'!B23,'- 21 -'!E23,'- 21 -'!H23,'- 22 -'!B23,'- 22 -'!E23,'- 22 -'!H23)</f>
        <v>2961550</v>
      </c>
      <c r="F23" s="273">
        <f>E23/'- 3 -'!D23*100</f>
        <v>17.591989284482345</v>
      </c>
      <c r="G23" s="272">
        <f>E23/'- 7 -'!E23</f>
        <v>2680.135746606335</v>
      </c>
      <c r="H23" s="272">
        <f>SUM('- 23 -'!D23,'- 23 -'!B23)</f>
        <v>239300</v>
      </c>
      <c r="I23" s="273">
        <f>H23/'- 3 -'!D23*100</f>
        <v>1.4214728894587718</v>
      </c>
    </row>
    <row r="24" spans="1:9" ht="14.1" customHeight="1" x14ac:dyDescent="0.2">
      <c r="A24" s="15" t="s">
        <v>116</v>
      </c>
      <c r="B24" s="16">
        <f>SUM('- 18 -'!B24,'- 18 -'!E24,'- 19 -'!B24,'- 19 -'!E24,'- 19 -'!H24,'- 20 -'!B24)</f>
        <v>33808720</v>
      </c>
      <c r="C24" s="267">
        <f>B24/'- 3 -'!D24*100</f>
        <v>57.872450794058572</v>
      </c>
      <c r="D24" s="16">
        <f>B24/'- 7 -'!C24</f>
        <v>8681.1452047759667</v>
      </c>
      <c r="E24" s="16">
        <f>SUM('- 21 -'!B24,'- 21 -'!E24,'- 21 -'!H24,'- 22 -'!B24,'- 22 -'!E24,'- 22 -'!H24)</f>
        <v>9847990</v>
      </c>
      <c r="F24" s="267">
        <f>E24/'- 3 -'!D24*100</f>
        <v>16.857405920584419</v>
      </c>
      <c r="G24" s="16">
        <f>E24/'- 7 -'!E24</f>
        <v>2528.6917447682631</v>
      </c>
      <c r="H24" s="16">
        <f>SUM('- 23 -'!D24,'- 23 -'!B24)</f>
        <v>345395</v>
      </c>
      <c r="I24" s="267">
        <f>H24/'- 3 -'!D24*100</f>
        <v>0.59123371550339265</v>
      </c>
    </row>
    <row r="25" spans="1:9" ht="14.1" customHeight="1" x14ac:dyDescent="0.2">
      <c r="A25" s="271" t="s">
        <v>117</v>
      </c>
      <c r="B25" s="272">
        <f>SUM('- 18 -'!B25,'- 18 -'!E25,'- 19 -'!B25,'- 19 -'!E25,'- 19 -'!H25,'- 20 -'!B25)</f>
        <v>105130575</v>
      </c>
      <c r="C25" s="273">
        <f>B25/'- 3 -'!D25*100</f>
        <v>57.753874822674099</v>
      </c>
      <c r="D25" s="272">
        <f>B25/'- 7 -'!C25</f>
        <v>7264.1613404733116</v>
      </c>
      <c r="E25" s="272">
        <f>SUM('- 21 -'!B25,'- 21 -'!E25,'- 21 -'!H25,'- 22 -'!B25,'- 22 -'!E25,'- 22 -'!H25)</f>
        <v>35216329</v>
      </c>
      <c r="F25" s="273">
        <f>E25/'- 3 -'!D25*100</f>
        <v>19.346222131669194</v>
      </c>
      <c r="G25" s="272">
        <f>E25/'- 7 -'!E25</f>
        <v>2433.3272758680255</v>
      </c>
      <c r="H25" s="272">
        <f>SUM('- 23 -'!D25,'- 23 -'!B25)</f>
        <v>617810</v>
      </c>
      <c r="I25" s="273">
        <f>H25/'- 3 -'!D25*100</f>
        <v>0.33939623562599452</v>
      </c>
    </row>
    <row r="26" spans="1:9" ht="14.1" customHeight="1" x14ac:dyDescent="0.2">
      <c r="A26" s="15" t="s">
        <v>118</v>
      </c>
      <c r="B26" s="16">
        <f>SUM('- 18 -'!B26,'- 18 -'!E26,'- 19 -'!B26,'- 19 -'!E26,'- 19 -'!H26,'- 20 -'!B26)</f>
        <v>23176792</v>
      </c>
      <c r="C26" s="267">
        <f>B26/'- 3 -'!D26*100</f>
        <v>56.29608376909124</v>
      </c>
      <c r="D26" s="16">
        <f>B26/'- 7 -'!C26</f>
        <v>7598.9481967213114</v>
      </c>
      <c r="E26" s="16">
        <f>SUM('- 21 -'!B26,'- 21 -'!E26,'- 21 -'!H26,'- 22 -'!B26,'- 22 -'!E26,'- 22 -'!H26)</f>
        <v>5842304</v>
      </c>
      <c r="F26" s="267">
        <f>E26/'- 3 -'!D26*100</f>
        <v>14.190869702264958</v>
      </c>
      <c r="G26" s="16">
        <f>E26/'- 7 -'!E26</f>
        <v>1915.5095081967213</v>
      </c>
      <c r="H26" s="16">
        <f>SUM('- 23 -'!D26,'- 23 -'!B26)</f>
        <v>0</v>
      </c>
      <c r="I26" s="267">
        <f>H26/'- 3 -'!D26*100</f>
        <v>0</v>
      </c>
    </row>
    <row r="27" spans="1:9" ht="14.1" customHeight="1" x14ac:dyDescent="0.2">
      <c r="A27" s="271" t="s">
        <v>119</v>
      </c>
      <c r="B27" s="272">
        <f>SUM('- 18 -'!B27,'- 18 -'!E27,'- 19 -'!B27,'- 19 -'!E27,'- 19 -'!H27,'- 20 -'!B27)</f>
        <v>24527732</v>
      </c>
      <c r="C27" s="273">
        <f>B27/'- 3 -'!D27*100</f>
        <v>55.687355853357211</v>
      </c>
      <c r="D27" s="272">
        <f>B27/'- 7 -'!C27</f>
        <v>8202.0008407696878</v>
      </c>
      <c r="E27" s="272">
        <f>SUM('- 21 -'!B27,'- 21 -'!E27,'- 21 -'!H27,'- 22 -'!B27,'- 22 -'!E27,'- 22 -'!H27)</f>
        <v>9104524</v>
      </c>
      <c r="F27" s="273">
        <f>E27/'- 3 -'!D27*100</f>
        <v>20.670760258772852</v>
      </c>
      <c r="G27" s="272">
        <f>E27/'- 7 -'!E27</f>
        <v>3044.5258250052552</v>
      </c>
      <c r="H27" s="272">
        <f>SUM('- 23 -'!D27,'- 23 -'!B27)</f>
        <v>0</v>
      </c>
      <c r="I27" s="273">
        <f>H27/'- 3 -'!D27*100</f>
        <v>0</v>
      </c>
    </row>
    <row r="28" spans="1:9" ht="14.1" customHeight="1" x14ac:dyDescent="0.2">
      <c r="A28" s="15" t="s">
        <v>120</v>
      </c>
      <c r="B28" s="16">
        <f>SUM('- 18 -'!B28,'- 18 -'!E28,'- 19 -'!B28,'- 19 -'!E28,'- 19 -'!H28,'- 20 -'!B28)</f>
        <v>17011828</v>
      </c>
      <c r="C28" s="267">
        <f>B28/'- 3 -'!D28*100</f>
        <v>58.872643915428938</v>
      </c>
      <c r="D28" s="16">
        <f>B28/'- 7 -'!C28</f>
        <v>8683.9346605410919</v>
      </c>
      <c r="E28" s="16">
        <f>SUM('- 21 -'!B28,'- 21 -'!E28,'- 21 -'!H28,'- 22 -'!B28,'- 22 -'!E28,'- 22 -'!H28)</f>
        <v>3837091</v>
      </c>
      <c r="F28" s="267">
        <f>E28/'- 3 -'!D28*100</f>
        <v>13.278978138862978</v>
      </c>
      <c r="G28" s="16">
        <f>E28/'- 7 -'!E28</f>
        <v>1958.6988259315979</v>
      </c>
      <c r="H28" s="16">
        <f>SUM('- 23 -'!D28,'- 23 -'!B28)</f>
        <v>115412</v>
      </c>
      <c r="I28" s="267">
        <f>H28/'- 3 -'!D28*100</f>
        <v>0.39940502452572901</v>
      </c>
    </row>
    <row r="29" spans="1:9" ht="14.1" customHeight="1" x14ac:dyDescent="0.2">
      <c r="A29" s="271" t="s">
        <v>121</v>
      </c>
      <c r="B29" s="272">
        <f>SUM('- 18 -'!B29,'- 18 -'!E29,'- 19 -'!B29,'- 19 -'!E29,'- 19 -'!H29,'- 20 -'!B29)</f>
        <v>95298015</v>
      </c>
      <c r="C29" s="273">
        <f>B29/'- 3 -'!D29*100</f>
        <v>57.975110711802515</v>
      </c>
      <c r="D29" s="272">
        <f>B29/'- 7 -'!C29</f>
        <v>7294.7599874463222</v>
      </c>
      <c r="E29" s="272">
        <f>SUM('- 21 -'!B29,'- 21 -'!E29,'- 21 -'!H29,'- 22 -'!B29,'- 22 -'!E29,'- 22 -'!H29)</f>
        <v>30131674</v>
      </c>
      <c r="F29" s="273">
        <f>E29/'- 3 -'!D29*100</f>
        <v>18.330781979896869</v>
      </c>
      <c r="G29" s="272">
        <f>E29/'- 7 -'!E29</f>
        <v>2306.4838218296222</v>
      </c>
      <c r="H29" s="272">
        <f>SUM('- 23 -'!D29,'- 23 -'!B29)</f>
        <v>0</v>
      </c>
      <c r="I29" s="273">
        <f>H29/'- 3 -'!D29*100</f>
        <v>0</v>
      </c>
    </row>
    <row r="30" spans="1:9" ht="14.1" customHeight="1" x14ac:dyDescent="0.2">
      <c r="A30" s="15" t="s">
        <v>122</v>
      </c>
      <c r="B30" s="16">
        <f>SUM('- 18 -'!B30,'- 18 -'!E30,'- 19 -'!B30,'- 19 -'!E30,'- 19 -'!H30,'- 20 -'!B30)</f>
        <v>8899962</v>
      </c>
      <c r="C30" s="267">
        <f>B30/'- 3 -'!D30*100</f>
        <v>58.756634329033673</v>
      </c>
      <c r="D30" s="16">
        <f>B30/'- 7 -'!C30</f>
        <v>8764.1181683899558</v>
      </c>
      <c r="E30" s="16">
        <f>SUM('- 21 -'!B30,'- 21 -'!E30,'- 21 -'!H30,'- 22 -'!B30,'- 22 -'!E30,'- 22 -'!H30)</f>
        <v>1737515</v>
      </c>
      <c r="F30" s="267">
        <f>E30/'- 3 -'!D30*100</f>
        <v>11.470895437105343</v>
      </c>
      <c r="G30" s="16">
        <f>E30/'- 7 -'!E30</f>
        <v>1710.9945839487937</v>
      </c>
      <c r="H30" s="16">
        <f>SUM('- 23 -'!D30,'- 23 -'!B30)</f>
        <v>0</v>
      </c>
      <c r="I30" s="267">
        <f>H30/'- 3 -'!D30*100</f>
        <v>0</v>
      </c>
    </row>
    <row r="31" spans="1:9" ht="14.1" customHeight="1" x14ac:dyDescent="0.2">
      <c r="A31" s="271" t="s">
        <v>123</v>
      </c>
      <c r="B31" s="272">
        <f>SUM('- 18 -'!B31,'- 18 -'!E31,'- 19 -'!B31,'- 19 -'!E31,'- 19 -'!H31,'- 20 -'!B31)</f>
        <v>22160666</v>
      </c>
      <c r="C31" s="273">
        <f>B31/'- 3 -'!D31*100</f>
        <v>57.880392822629091</v>
      </c>
      <c r="D31" s="272">
        <f>B31/'- 7 -'!C31</f>
        <v>6747.043994519714</v>
      </c>
      <c r="E31" s="272">
        <f>SUM('- 21 -'!B31,'- 21 -'!E31,'- 21 -'!H31,'- 22 -'!B31,'- 22 -'!E31,'- 22 -'!H31)</f>
        <v>7409537</v>
      </c>
      <c r="F31" s="273">
        <f>E31/'- 3 -'!D31*100</f>
        <v>19.352618382218509</v>
      </c>
      <c r="G31" s="272">
        <f>E31/'- 7 -'!E31</f>
        <v>2255.910184198508</v>
      </c>
      <c r="H31" s="272">
        <f>SUM('- 23 -'!D31,'- 23 -'!B31)</f>
        <v>0</v>
      </c>
      <c r="I31" s="273">
        <f>H31/'- 3 -'!D31*100</f>
        <v>0</v>
      </c>
    </row>
    <row r="32" spans="1:9" ht="14.1" customHeight="1" x14ac:dyDescent="0.2">
      <c r="A32" s="15" t="s">
        <v>124</v>
      </c>
      <c r="B32" s="16">
        <f>SUM('- 18 -'!B32,'- 18 -'!E32,'- 19 -'!B32,'- 19 -'!E32,'- 19 -'!H32,'- 20 -'!B32)</f>
        <v>17957181</v>
      </c>
      <c r="C32" s="267">
        <f>B32/'- 3 -'!D32*100</f>
        <v>57.346931032811113</v>
      </c>
      <c r="D32" s="16">
        <f>B32/'- 7 -'!C32</f>
        <v>8114.4062358788979</v>
      </c>
      <c r="E32" s="16">
        <f>SUM('- 21 -'!B32,'- 21 -'!E32,'- 21 -'!H32,'- 22 -'!B32,'- 22 -'!E32,'- 22 -'!H32)</f>
        <v>4553930</v>
      </c>
      <c r="F32" s="267">
        <f>E32/'- 3 -'!D32*100</f>
        <v>14.543146256544915</v>
      </c>
      <c r="G32" s="16">
        <f>E32/'- 7 -'!E32</f>
        <v>2057.808404880253</v>
      </c>
      <c r="H32" s="16">
        <f>SUM('- 23 -'!D32,'- 23 -'!B32)</f>
        <v>277378</v>
      </c>
      <c r="I32" s="267">
        <f>H32/'- 3 -'!D32*100</f>
        <v>0.88581704645172754</v>
      </c>
    </row>
    <row r="33" spans="1:10" ht="14.1" customHeight="1" x14ac:dyDescent="0.2">
      <c r="A33" s="271" t="s">
        <v>125</v>
      </c>
      <c r="B33" s="272">
        <f>SUM('- 18 -'!B33,'- 18 -'!E33,'- 19 -'!B33,'- 19 -'!E33,'- 19 -'!H33,'- 20 -'!B33)</f>
        <v>16395200</v>
      </c>
      <c r="C33" s="273">
        <f>B33/'- 3 -'!D33*100</f>
        <v>57.781255066150713</v>
      </c>
      <c r="D33" s="272">
        <f>B33/'- 7 -'!C33</f>
        <v>8263.7096774193542</v>
      </c>
      <c r="E33" s="272">
        <f>SUM('- 21 -'!B33,'- 21 -'!E33,'- 21 -'!H33,'- 22 -'!B33,'- 22 -'!E33,'- 22 -'!H33)</f>
        <v>3822000</v>
      </c>
      <c r="F33" s="273">
        <f>E33/'- 3 -'!D33*100</f>
        <v>13.469793406779301</v>
      </c>
      <c r="G33" s="272">
        <f>E33/'- 7 -'!E33</f>
        <v>1926.4112903225807</v>
      </c>
      <c r="H33" s="272">
        <f>SUM('- 23 -'!D33,'- 23 -'!B33)</f>
        <v>0</v>
      </c>
      <c r="I33" s="273">
        <f>H33/'- 3 -'!D33*100</f>
        <v>0</v>
      </c>
    </row>
    <row r="34" spans="1:10" ht="14.1" customHeight="1" x14ac:dyDescent="0.2">
      <c r="A34" s="15" t="s">
        <v>126</v>
      </c>
      <c r="B34" s="16">
        <f>SUM('- 18 -'!B34,'- 18 -'!E34,'- 19 -'!B34,'- 19 -'!E34,'- 19 -'!H34,'- 20 -'!B34)</f>
        <v>17009031</v>
      </c>
      <c r="C34" s="267">
        <f>B34/'- 3 -'!D34*100</f>
        <v>55.323050704366629</v>
      </c>
      <c r="D34" s="16">
        <f>B34/'- 7 -'!C34</f>
        <v>8276.900729927007</v>
      </c>
      <c r="E34" s="16">
        <f>SUM('- 21 -'!B34,'- 21 -'!E34,'- 21 -'!H34,'- 22 -'!B34,'- 22 -'!E34,'- 22 -'!H34)</f>
        <v>5195761</v>
      </c>
      <c r="F34" s="267">
        <f>E34/'- 3 -'!D34*100</f>
        <v>16.899572306662893</v>
      </c>
      <c r="G34" s="16">
        <f>E34/'- 7 -'!E34</f>
        <v>2528.3508515815083</v>
      </c>
      <c r="H34" s="16">
        <f>SUM('- 23 -'!D34,'- 23 -'!B34)</f>
        <v>0</v>
      </c>
      <c r="I34" s="267">
        <f>H34/'- 3 -'!D34*100</f>
        <v>0</v>
      </c>
    </row>
    <row r="35" spans="1:10" ht="14.1" customHeight="1" x14ac:dyDescent="0.2">
      <c r="A35" s="271" t="s">
        <v>127</v>
      </c>
      <c r="B35" s="272">
        <f>SUM('- 18 -'!B35,'- 18 -'!E35,'- 19 -'!B35,'- 19 -'!E35,'- 19 -'!H35,'- 20 -'!B35)</f>
        <v>107020401</v>
      </c>
      <c r="C35" s="273">
        <f>B35/'- 3 -'!D35*100</f>
        <v>57.780915361269827</v>
      </c>
      <c r="D35" s="272">
        <f>B35/'- 7 -'!C35</f>
        <v>6815.5007801305528</v>
      </c>
      <c r="E35" s="272">
        <f>SUM('- 21 -'!B35,'- 21 -'!E35,'- 21 -'!H35,'- 22 -'!B35,'- 22 -'!E35,'- 22 -'!H35)</f>
        <v>35228732</v>
      </c>
      <c r="F35" s="273">
        <f>E35/'- 3 -'!D35*100</f>
        <v>19.020190196978032</v>
      </c>
      <c r="G35" s="272">
        <f>E35/'- 7 -'!E35</f>
        <v>2243.5110332749564</v>
      </c>
      <c r="H35" s="272">
        <f>SUM('- 23 -'!D35,'- 23 -'!B35)</f>
        <v>0</v>
      </c>
      <c r="I35" s="273">
        <f>H35/'- 3 -'!D35*100</f>
        <v>0</v>
      </c>
    </row>
    <row r="36" spans="1:10" ht="14.1" customHeight="1" x14ac:dyDescent="0.2">
      <c r="A36" s="15" t="s">
        <v>128</v>
      </c>
      <c r="B36" s="16">
        <f>SUM('- 18 -'!B36,'- 18 -'!E36,'- 19 -'!B36,'- 19 -'!E36,'- 19 -'!H36,'- 20 -'!B36)</f>
        <v>14136125</v>
      </c>
      <c r="C36" s="267">
        <f>B36/'- 3 -'!D36*100</f>
        <v>58.963771762667918</v>
      </c>
      <c r="D36" s="16">
        <f>B36/'- 7 -'!C36</f>
        <v>8406.8539994052935</v>
      </c>
      <c r="E36" s="16">
        <f>SUM('- 21 -'!B36,'- 21 -'!E36,'- 21 -'!H36,'- 22 -'!B36,'- 22 -'!E36,'- 22 -'!H36)</f>
        <v>3165195</v>
      </c>
      <c r="F36" s="267">
        <f>E36/'- 3 -'!D36*100</f>
        <v>13.202474904851059</v>
      </c>
      <c r="G36" s="16">
        <f>E36/'- 7 -'!E36</f>
        <v>1882.363960749331</v>
      </c>
      <c r="H36" s="16">
        <f>SUM('- 23 -'!D36,'- 23 -'!B36)</f>
        <v>0</v>
      </c>
      <c r="I36" s="267">
        <f>H36/'- 3 -'!D36*100</f>
        <v>0</v>
      </c>
    </row>
    <row r="37" spans="1:10" ht="14.1" customHeight="1" x14ac:dyDescent="0.2">
      <c r="A37" s="271" t="s">
        <v>129</v>
      </c>
      <c r="B37" s="272">
        <f>SUM('- 18 -'!B37,'- 18 -'!E37,'- 19 -'!B37,'- 19 -'!E37,'- 19 -'!H37,'- 20 -'!B37)</f>
        <v>30115223</v>
      </c>
      <c r="C37" s="273">
        <f>B37/'- 3 -'!D37*100</f>
        <v>57.768358558247492</v>
      </c>
      <c r="D37" s="272">
        <f>B37/'- 7 -'!C37</f>
        <v>7079.7712579636554</v>
      </c>
      <c r="E37" s="272">
        <f>SUM('- 21 -'!B37,'- 21 -'!E37,'- 21 -'!H37,'- 22 -'!B37,'- 22 -'!E37,'- 22 -'!H37)</f>
        <v>9092700</v>
      </c>
      <c r="F37" s="273">
        <f>E37/'- 3 -'!D37*100</f>
        <v>17.442021062323761</v>
      </c>
      <c r="G37" s="272">
        <f>E37/'- 7 -'!E37</f>
        <v>2137.5978559842019</v>
      </c>
      <c r="H37" s="272">
        <f>SUM('- 23 -'!D37,'- 23 -'!B37)</f>
        <v>0</v>
      </c>
      <c r="I37" s="273">
        <f>H37/'- 3 -'!D37*100</f>
        <v>0</v>
      </c>
    </row>
    <row r="38" spans="1:10" ht="14.1" customHeight="1" x14ac:dyDescent="0.2">
      <c r="A38" s="15" t="s">
        <v>130</v>
      </c>
      <c r="B38" s="16">
        <f>SUM('- 18 -'!B38,'- 18 -'!E38,'- 19 -'!B38,'- 19 -'!E38,'- 19 -'!H38,'- 20 -'!B38)</f>
        <v>84324020</v>
      </c>
      <c r="C38" s="267">
        <f>B38/'- 3 -'!D38*100</f>
        <v>59.713530347430918</v>
      </c>
      <c r="D38" s="16">
        <f>B38/'- 7 -'!C38</f>
        <v>7468.9123117803365</v>
      </c>
      <c r="E38" s="16">
        <f>SUM('- 21 -'!B38,'- 21 -'!E38,'- 21 -'!H38,'- 22 -'!B38,'- 22 -'!E38,'- 22 -'!H38)</f>
        <v>24043780</v>
      </c>
      <c r="F38" s="267">
        <f>E38/'- 3 -'!D38*100</f>
        <v>17.026453277452291</v>
      </c>
      <c r="G38" s="16">
        <f>E38/'- 7 -'!E38</f>
        <v>2129.6527900797164</v>
      </c>
      <c r="H38" s="16">
        <f>SUM('- 23 -'!D38,'- 23 -'!B38)</f>
        <v>939200</v>
      </c>
      <c r="I38" s="267">
        <f>H38/'- 3 -'!D38*100</f>
        <v>0.66508863906520488</v>
      </c>
    </row>
    <row r="39" spans="1:10" ht="14.1" customHeight="1" x14ac:dyDescent="0.2">
      <c r="A39" s="271" t="s">
        <v>131</v>
      </c>
      <c r="B39" s="272">
        <f>SUM('- 18 -'!B39,'- 18 -'!E39,'- 19 -'!B39,'- 19 -'!E39,'- 19 -'!H39,'- 20 -'!B39)</f>
        <v>13329000</v>
      </c>
      <c r="C39" s="273">
        <f>B39/'- 3 -'!D39*100</f>
        <v>57.278405538330631</v>
      </c>
      <c r="D39" s="272">
        <f>B39/'- 7 -'!C39</f>
        <v>8838.8594164456226</v>
      </c>
      <c r="E39" s="272">
        <f>SUM('- 21 -'!B39,'- 21 -'!E39,'- 21 -'!H39,'- 22 -'!B39,'- 22 -'!E39,'- 22 -'!H39)</f>
        <v>3221800</v>
      </c>
      <c r="F39" s="273">
        <f>E39/'- 3 -'!D39*100</f>
        <v>13.84496713657391</v>
      </c>
      <c r="G39" s="272">
        <f>E39/'- 7 -'!E39</f>
        <v>2136.4721485411142</v>
      </c>
      <c r="H39" s="272">
        <f>SUM('- 23 -'!D39,'- 23 -'!B39)</f>
        <v>0</v>
      </c>
      <c r="I39" s="273">
        <f>H39/'- 3 -'!D39*100</f>
        <v>0</v>
      </c>
    </row>
    <row r="40" spans="1:10" ht="14.1" customHeight="1" x14ac:dyDescent="0.2">
      <c r="A40" s="15" t="s">
        <v>132</v>
      </c>
      <c r="B40" s="16">
        <f>SUM('- 18 -'!B40,'- 18 -'!E40,'- 19 -'!B40,'- 19 -'!E40,'- 19 -'!H40,'- 20 -'!B40)</f>
        <v>60056431</v>
      </c>
      <c r="C40" s="267">
        <f>B40/'- 3 -'!D40*100</f>
        <v>55.710513972370471</v>
      </c>
      <c r="D40" s="16">
        <f>B40/'- 7 -'!C40</f>
        <v>7306.4907051438022</v>
      </c>
      <c r="E40" s="16">
        <f>SUM('- 21 -'!B40,'- 21 -'!E40,'- 21 -'!H40,'- 22 -'!B40,'- 22 -'!E40,'- 22 -'!H40)</f>
        <v>23533478</v>
      </c>
      <c r="F40" s="267">
        <f>E40/'- 3 -'!D40*100</f>
        <v>21.8305039628058</v>
      </c>
      <c r="G40" s="16">
        <f>E40/'- 7 -'!E40</f>
        <v>2863.0928512336363</v>
      </c>
      <c r="H40" s="16">
        <f>SUM('- 23 -'!D40,'- 23 -'!B40)</f>
        <v>0</v>
      </c>
      <c r="I40" s="267">
        <f>H40/'- 3 -'!D40*100</f>
        <v>0</v>
      </c>
    </row>
    <row r="41" spans="1:10" ht="14.1" customHeight="1" x14ac:dyDescent="0.2">
      <c r="A41" s="271" t="s">
        <v>133</v>
      </c>
      <c r="B41" s="272">
        <f>SUM('- 18 -'!B41,'- 18 -'!E41,'- 19 -'!B41,'- 19 -'!E41,'- 19 -'!H41,'- 20 -'!B41)</f>
        <v>34491259</v>
      </c>
      <c r="C41" s="273">
        <f>B41/'- 3 -'!D41*100</f>
        <v>53.404363653874007</v>
      </c>
      <c r="D41" s="272">
        <f>B41/'- 7 -'!C41</f>
        <v>7789.3538843721772</v>
      </c>
      <c r="E41" s="272">
        <f>SUM('- 21 -'!B41,'- 21 -'!E41,'- 21 -'!H41,'- 22 -'!B41,'- 22 -'!E41,'- 22 -'!H41)</f>
        <v>12084889</v>
      </c>
      <c r="F41" s="273">
        <f>E41/'- 3 -'!D41*100</f>
        <v>18.711575790048773</v>
      </c>
      <c r="G41" s="272">
        <f>E41/'- 7 -'!E41</f>
        <v>2729.1980578139114</v>
      </c>
      <c r="H41" s="272">
        <f>SUM('- 23 -'!D41,'- 23 -'!B41)</f>
        <v>1012673</v>
      </c>
      <c r="I41" s="273">
        <f>H41/'- 3 -'!D41*100</f>
        <v>1.5679670363572276</v>
      </c>
    </row>
    <row r="42" spans="1:10" ht="14.1" customHeight="1" x14ac:dyDescent="0.2">
      <c r="A42" s="15" t="s">
        <v>134</v>
      </c>
      <c r="B42" s="16">
        <f>SUM('- 18 -'!B42,'- 18 -'!E42,'- 19 -'!B42,'- 19 -'!E42,'- 19 -'!H42,'- 20 -'!B42)</f>
        <v>12061670</v>
      </c>
      <c r="C42" s="267">
        <f>B42/'- 3 -'!D42*100</f>
        <v>56.223918464044701</v>
      </c>
      <c r="D42" s="16">
        <f>B42/'- 7 -'!C42</f>
        <v>8696.2292718096614</v>
      </c>
      <c r="E42" s="16">
        <f>SUM('- 21 -'!B42,'- 21 -'!E42,'- 21 -'!H42,'- 22 -'!B42,'- 22 -'!E42,'- 22 -'!H42)</f>
        <v>3265824</v>
      </c>
      <c r="F42" s="267">
        <f>E42/'- 3 -'!D42*100</f>
        <v>15.223217207395024</v>
      </c>
      <c r="G42" s="16">
        <f>E42/'- 7 -'!E42</f>
        <v>2354.5955299206921</v>
      </c>
      <c r="H42" s="16">
        <f>SUM('- 23 -'!D42,'- 23 -'!B42)</f>
        <v>0</v>
      </c>
      <c r="I42" s="267">
        <f>H42/'- 3 -'!D42*100</f>
        <v>0</v>
      </c>
    </row>
    <row r="43" spans="1:10" ht="14.1" customHeight="1" x14ac:dyDescent="0.2">
      <c r="A43" s="271" t="s">
        <v>135</v>
      </c>
      <c r="B43" s="272">
        <f>SUM('- 18 -'!B43,'- 18 -'!E43,'- 19 -'!B43,'- 19 -'!E43,'- 19 -'!H43,'- 20 -'!B43)</f>
        <v>7750087</v>
      </c>
      <c r="C43" s="273">
        <f>B43/'- 3 -'!D43*100</f>
        <v>56.697419001513325</v>
      </c>
      <c r="D43" s="272">
        <f>B43/'- 7 -'!C43</f>
        <v>8136.5742782152229</v>
      </c>
      <c r="E43" s="272">
        <f>SUM('- 21 -'!B43,'- 21 -'!E43,'- 21 -'!H43,'- 22 -'!B43,'- 22 -'!E43,'- 22 -'!H43)</f>
        <v>2378594</v>
      </c>
      <c r="F43" s="273">
        <f>E43/'- 3 -'!D43*100</f>
        <v>17.401113129760425</v>
      </c>
      <c r="G43" s="272">
        <f>E43/'- 7 -'!E43</f>
        <v>2497.2115485564304</v>
      </c>
      <c r="H43" s="272">
        <f>SUM('- 23 -'!D43,'- 23 -'!B43)</f>
        <v>230495</v>
      </c>
      <c r="I43" s="273">
        <f>H43/'- 3 -'!D43*100</f>
        <v>1.6862354697119935</v>
      </c>
    </row>
    <row r="44" spans="1:10" ht="14.1" customHeight="1" x14ac:dyDescent="0.2">
      <c r="A44" s="15" t="s">
        <v>136</v>
      </c>
      <c r="B44" s="16">
        <f>SUM('- 18 -'!B44,'- 18 -'!E44,'- 19 -'!B44,'- 19 -'!E44,'- 19 -'!H44,'- 20 -'!B44)</f>
        <v>6192351</v>
      </c>
      <c r="C44" s="267">
        <f>B44/'- 3 -'!D44*100</f>
        <v>54.896611922102288</v>
      </c>
      <c r="D44" s="16">
        <f>B44/'- 7 -'!C44</f>
        <v>8648.5349162011171</v>
      </c>
      <c r="E44" s="16">
        <f>SUM('- 21 -'!B44,'- 21 -'!E44,'- 21 -'!H44,'- 22 -'!B44,'- 22 -'!E44,'- 22 -'!H44)</f>
        <v>1691082</v>
      </c>
      <c r="F44" s="267">
        <f>E44/'- 3 -'!D44*100</f>
        <v>14.991829804617437</v>
      </c>
      <c r="G44" s="16">
        <f>E44/'- 7 -'!E44</f>
        <v>2361.8463687150838</v>
      </c>
      <c r="H44" s="16">
        <f>SUM('- 23 -'!D44,'- 23 -'!B44)</f>
        <v>0</v>
      </c>
      <c r="I44" s="267">
        <f>H44/'- 3 -'!D44*100</f>
        <v>0</v>
      </c>
    </row>
    <row r="45" spans="1:10" ht="14.1" customHeight="1" x14ac:dyDescent="0.2">
      <c r="A45" s="271" t="s">
        <v>137</v>
      </c>
      <c r="B45" s="272">
        <f>SUM('- 18 -'!B45,'- 18 -'!E45,'- 19 -'!B45,'- 19 -'!E45,'- 19 -'!H45,'- 20 -'!B45)</f>
        <v>12197718</v>
      </c>
      <c r="C45" s="273">
        <f>B45/'- 3 -'!D45*100</f>
        <v>60.305369363600491</v>
      </c>
      <c r="D45" s="272">
        <f>B45/'- 7 -'!C45</f>
        <v>7042.5623556581986</v>
      </c>
      <c r="E45" s="272">
        <f>SUM('- 21 -'!B45,'- 21 -'!E45,'- 21 -'!H45,'- 22 -'!B45,'- 22 -'!E45,'- 22 -'!H45)</f>
        <v>3034908</v>
      </c>
      <c r="F45" s="273">
        <f>E45/'- 3 -'!D45*100</f>
        <v>15.004548221605555</v>
      </c>
      <c r="G45" s="272">
        <f>E45/'- 7 -'!E45</f>
        <v>1752.2563510392611</v>
      </c>
      <c r="H45" s="272">
        <f>SUM('- 23 -'!D45,'- 23 -'!B45)</f>
        <v>406633</v>
      </c>
      <c r="I45" s="273">
        <f>H45/'- 3 -'!D45*100</f>
        <v>2.0103886038707373</v>
      </c>
    </row>
    <row r="46" spans="1:10" ht="14.1" customHeight="1" x14ac:dyDescent="0.2">
      <c r="A46" s="15" t="s">
        <v>138</v>
      </c>
      <c r="B46" s="16">
        <f>SUM('- 18 -'!B46,'- 18 -'!E46,'- 19 -'!B46,'- 19 -'!E46,'- 19 -'!H46,'- 20 -'!B46)</f>
        <v>211704850</v>
      </c>
      <c r="C46" s="267">
        <f>B46/'- 3 -'!D46*100</f>
        <v>52.602222262529516</v>
      </c>
      <c r="D46" s="16">
        <f>B46/'- 7 -'!C46</f>
        <v>6996.0790469423837</v>
      </c>
      <c r="E46" s="16">
        <f>SUM('- 21 -'!B46,'- 21 -'!E46,'- 21 -'!H46,'- 22 -'!B46,'- 22 -'!E46,'- 22 -'!H46)</f>
        <v>93192700</v>
      </c>
      <c r="F46" s="267">
        <f>E46/'- 3 -'!D46*100</f>
        <v>23.155554153082626</v>
      </c>
      <c r="G46" s="16">
        <f>E46/'- 7 -'!E46</f>
        <v>3079.6814328910627</v>
      </c>
      <c r="H46" s="16">
        <f>SUM('- 23 -'!D46,'- 23 -'!B46)</f>
        <v>781400</v>
      </c>
      <c r="I46" s="267">
        <f>H46/'- 3 -'!D46*100</f>
        <v>0.19415415601456729</v>
      </c>
    </row>
    <row r="47" spans="1:10" ht="5.0999999999999996" customHeight="1" x14ac:dyDescent="0.2">
      <c r="A47"/>
      <c r="B47"/>
      <c r="C47"/>
      <c r="D47"/>
      <c r="E47"/>
      <c r="F47"/>
      <c r="G47"/>
      <c r="H47"/>
      <c r="I47"/>
      <c r="J47"/>
    </row>
    <row r="48" spans="1:10" ht="14.1" customHeight="1" x14ac:dyDescent="0.2">
      <c r="A48" s="274" t="s">
        <v>139</v>
      </c>
      <c r="B48" s="275">
        <f>SUM(B11:B46)</f>
        <v>1323197588</v>
      </c>
      <c r="C48" s="276">
        <f>B48/'- 3 -'!D48*100</f>
        <v>55.777061669312054</v>
      </c>
      <c r="D48" s="275">
        <f>B48/'- 7 -'!C48</f>
        <v>7456.6651521025942</v>
      </c>
      <c r="E48" s="275">
        <f>SUM(E11:E46)</f>
        <v>437448293</v>
      </c>
      <c r="F48" s="276">
        <f>E48/'- 3 -'!D48*100</f>
        <v>18.439861617852564</v>
      </c>
      <c r="G48" s="275">
        <f>E48/'- 7 -'!E48</f>
        <v>2465.1688242495989</v>
      </c>
      <c r="H48" s="275">
        <f>SUM(H11:H46)</f>
        <v>8778307</v>
      </c>
      <c r="I48" s="276">
        <f>H48/'- 3 -'!D48*100</f>
        <v>0.3700340563885261</v>
      </c>
    </row>
    <row r="49" spans="1:9" ht="5.0999999999999996" customHeight="1" x14ac:dyDescent="0.2">
      <c r="A49" s="17" t="s">
        <v>1</v>
      </c>
      <c r="B49" s="18"/>
      <c r="C49" s="266"/>
      <c r="D49" s="18"/>
      <c r="E49" s="18"/>
      <c r="F49" s="266"/>
      <c r="H49" s="18"/>
      <c r="I49" s="266"/>
    </row>
    <row r="50" spans="1:9" ht="14.1" customHeight="1" x14ac:dyDescent="0.2">
      <c r="A50" s="15" t="s">
        <v>140</v>
      </c>
      <c r="B50" s="16">
        <f>SUM('- 18 -'!B50,'- 18 -'!E50,'- 19 -'!B50,'- 19 -'!E50,'- 19 -'!H50,'- 20 -'!B50)</f>
        <v>2054096</v>
      </c>
      <c r="C50" s="267">
        <f>B50/'- 3 -'!D50*100</f>
        <v>57.703215947142503</v>
      </c>
      <c r="D50" s="16">
        <f>B50/'- 7 -'!C50</f>
        <v>12679.604938271605</v>
      </c>
      <c r="E50" s="16">
        <f>SUM('- 21 -'!B50,'- 21 -'!E50,'- 21 -'!H50,'- 22 -'!B50,'- 22 -'!E50,'- 22 -'!H50)</f>
        <v>388095</v>
      </c>
      <c r="F50" s="267">
        <f>E50/'- 3 -'!D50*100</f>
        <v>10.902279928983976</v>
      </c>
      <c r="G50" s="16">
        <f>E50/'- 7 -'!E50</f>
        <v>2395.6481481481483</v>
      </c>
      <c r="H50" s="16">
        <f>SUM('- 23 -'!D50,'- 23 -'!B50)</f>
        <v>0</v>
      </c>
      <c r="I50" s="267">
        <f>H50/'- 3 -'!D50*100</f>
        <v>0</v>
      </c>
    </row>
    <row r="51" spans="1:9" ht="14.1" customHeight="1" x14ac:dyDescent="0.2">
      <c r="A51" s="360" t="s">
        <v>516</v>
      </c>
      <c r="B51" s="272">
        <f>SUM('- 18 -'!B51,'- 18 -'!E51,'- 19 -'!B51,'- 19 -'!E51,'- 19 -'!H51,'- 20 -'!B51)</f>
        <v>7129539</v>
      </c>
      <c r="C51" s="273">
        <f>B51/'- 3 -'!D51*100</f>
        <v>23.293001816873605</v>
      </c>
      <c r="D51" s="272">
        <f>B51/'- 7 -'!C51</f>
        <v>6688.122889305816</v>
      </c>
      <c r="E51" s="272">
        <f>SUM('- 21 -'!B51,'- 21 -'!E51,'- 21 -'!H51,'- 22 -'!B51,'- 22 -'!E51,'- 22 -'!H51)</f>
        <v>722425</v>
      </c>
      <c r="F51" s="273">
        <f>E51/'- 3 -'!D51*100</f>
        <v>2.3602433253475317</v>
      </c>
      <c r="G51" s="272">
        <f>E51/'- 7 -'!E51</f>
        <v>677.69699812382737</v>
      </c>
      <c r="H51" s="272">
        <f>SUM('- 23 -'!D51,'- 23 -'!B51)</f>
        <v>2924120</v>
      </c>
      <c r="I51" s="273">
        <f>H51/'- 3 -'!D51*100</f>
        <v>9.5534272935117475</v>
      </c>
    </row>
    <row r="52" spans="1:9" ht="50.1" customHeight="1" x14ac:dyDescent="0.2">
      <c r="A52"/>
      <c r="B52"/>
      <c r="C52"/>
      <c r="D52"/>
      <c r="E52"/>
      <c r="F52"/>
      <c r="G52"/>
      <c r="H52"/>
      <c r="I52"/>
    </row>
    <row r="53" spans="1:9" ht="15" customHeight="1" x14ac:dyDescent="0.2">
      <c r="A53" s="428"/>
      <c r="B53" s="428"/>
      <c r="C53" s="428"/>
      <c r="D53" s="428"/>
      <c r="E53" s="428"/>
      <c r="F53" s="428"/>
      <c r="G53" s="428"/>
      <c r="H53" s="428"/>
      <c r="I53" s="428"/>
    </row>
    <row r="54" spans="1:9" ht="14.45" customHeight="1" x14ac:dyDescent="0.2">
      <c r="B54" s="72"/>
      <c r="C54" s="72"/>
      <c r="E54" s="72"/>
      <c r="F54" s="72"/>
      <c r="H54" s="72"/>
      <c r="I54" s="72"/>
    </row>
    <row r="55" spans="1:9" ht="14.45" customHeight="1" x14ac:dyDescent="0.2"/>
    <row r="56" spans="1:9" ht="14.45" customHeight="1" x14ac:dyDescent="0.2"/>
    <row r="57" spans="1:9" ht="14.45" customHeight="1" x14ac:dyDescent="0.2"/>
    <row r="58" spans="1:9" ht="14.45" customHeight="1" x14ac:dyDescent="0.2"/>
    <row r="59" spans="1:9" ht="14.45" customHeight="1" x14ac:dyDescent="0.2"/>
  </sheetData>
  <mergeCells count="5">
    <mergeCell ref="B6:D7"/>
    <mergeCell ref="E6:G7"/>
    <mergeCell ref="H6:I7"/>
    <mergeCell ref="D8:D9"/>
    <mergeCell ref="G8:G9"/>
  </mergeCells>
  <phoneticPr fontId="0" type="noConversion"/>
  <printOptions horizontalCentered="1"/>
  <pageMargins left="0.51181102362204722" right="0.51181102362204722" top="0.59055118110236227" bottom="0" header="0.31496062992125984" footer="0"/>
  <pageSetup scale="90" firstPageNumber="14" orientation="portrait" r:id="rId1"/>
  <headerFooter alignWithMargins="0">
    <oddHeader>&amp;C&amp;"Arial,Bold"&amp;10&amp;A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59"/>
  <sheetViews>
    <sheetView showGridLines="0" showZeros="0" workbookViewId="0"/>
  </sheetViews>
  <sheetFormatPr defaultColWidth="15.83203125" defaultRowHeight="12" x14ac:dyDescent="0.2"/>
  <cols>
    <col min="1" max="1" width="30" style="1" customWidth="1"/>
    <col min="2" max="2" width="16.1640625" style="1" customWidth="1"/>
    <col min="3" max="3" width="10.1640625" style="1" customWidth="1"/>
    <col min="4" max="4" width="16.33203125" style="1" customWidth="1"/>
    <col min="5" max="5" width="8.83203125" style="1" customWidth="1"/>
    <col min="6" max="6" width="9.83203125" style="1" customWidth="1"/>
    <col min="7" max="7" width="12" style="1" bestFit="1" customWidth="1"/>
    <col min="8" max="8" width="8.83203125" style="1" customWidth="1"/>
    <col min="9" max="9" width="9.83203125" style="1" customWidth="1"/>
    <col min="10" max="16384" width="15.83203125" style="1"/>
  </cols>
  <sheetData>
    <row r="1" spans="1:9" ht="6.95" customHeight="1" x14ac:dyDescent="0.2">
      <c r="A1" s="3"/>
      <c r="B1" s="4"/>
      <c r="C1" s="4"/>
      <c r="D1" s="4"/>
      <c r="E1" s="4"/>
      <c r="F1" s="4"/>
      <c r="G1" s="4"/>
      <c r="H1" s="4"/>
      <c r="I1" s="4"/>
    </row>
    <row r="2" spans="1:9" ht="15.95" customHeight="1" x14ac:dyDescent="0.2">
      <c r="A2" s="132"/>
      <c r="B2" s="5" t="str">
        <f>AEXP_BF</f>
        <v>ANALYSIS OF EXPENSE BY FUNCTION</v>
      </c>
      <c r="C2" s="6"/>
      <c r="D2" s="6"/>
      <c r="E2" s="6"/>
      <c r="F2" s="6"/>
      <c r="G2" s="85"/>
      <c r="H2" s="92"/>
      <c r="I2" s="150" t="s">
        <v>2</v>
      </c>
    </row>
    <row r="3" spans="1:9" ht="15.95" customHeight="1" x14ac:dyDescent="0.2">
      <c r="A3" s="135"/>
      <c r="B3" s="7" t="str">
        <f>+'- 15 -'!B3</f>
        <v>OPERATING FUND 2017/2018 BUDGET</v>
      </c>
      <c r="C3" s="8"/>
      <c r="D3" s="8"/>
      <c r="E3" s="8"/>
      <c r="F3" s="8"/>
      <c r="G3" s="87"/>
      <c r="H3" s="81"/>
      <c r="I3" s="81"/>
    </row>
    <row r="4" spans="1:9" ht="15.95" customHeight="1" x14ac:dyDescent="0.2">
      <c r="B4" s="4"/>
      <c r="C4" s="4"/>
      <c r="D4" s="4"/>
      <c r="E4" s="4"/>
      <c r="F4" s="4"/>
      <c r="G4" s="4"/>
      <c r="H4" s="4"/>
      <c r="I4" s="4"/>
    </row>
    <row r="5" spans="1:9" ht="15.95" customHeight="1" x14ac:dyDescent="0.2">
      <c r="B5" s="4"/>
      <c r="C5" s="4"/>
      <c r="D5" s="4"/>
      <c r="E5" s="4"/>
      <c r="F5" s="4"/>
      <c r="G5" s="4"/>
      <c r="H5" s="4"/>
      <c r="I5" s="4"/>
    </row>
    <row r="6" spans="1:9" ht="15.95" customHeight="1" x14ac:dyDescent="0.2">
      <c r="B6" s="624" t="s">
        <v>399</v>
      </c>
      <c r="C6" s="621"/>
      <c r="D6" s="620" t="s">
        <v>400</v>
      </c>
      <c r="E6" s="630"/>
      <c r="F6" s="621"/>
      <c r="G6" s="624" t="s">
        <v>395</v>
      </c>
      <c r="H6" s="630"/>
      <c r="I6" s="621"/>
    </row>
    <row r="7" spans="1:9" ht="15.95" customHeight="1" x14ac:dyDescent="0.2">
      <c r="B7" s="622"/>
      <c r="C7" s="623"/>
      <c r="D7" s="622"/>
      <c r="E7" s="631"/>
      <c r="F7" s="623"/>
      <c r="G7" s="622"/>
      <c r="H7" s="631"/>
      <c r="I7" s="623"/>
    </row>
    <row r="8" spans="1:9" ht="15.95" customHeight="1" x14ac:dyDescent="0.2">
      <c r="A8" s="82"/>
      <c r="B8" s="10" t="s">
        <v>1</v>
      </c>
      <c r="C8" s="176"/>
      <c r="D8" s="138"/>
      <c r="E8" s="137"/>
      <c r="F8" s="538" t="s">
        <v>396</v>
      </c>
      <c r="G8" s="138"/>
      <c r="H8" s="137"/>
      <c r="I8" s="538" t="s">
        <v>396</v>
      </c>
    </row>
    <row r="9" spans="1:9" ht="15.95" customHeight="1" x14ac:dyDescent="0.2">
      <c r="A9" s="27" t="s">
        <v>37</v>
      </c>
      <c r="B9" s="89" t="s">
        <v>38</v>
      </c>
      <c r="C9" s="89" t="s">
        <v>39</v>
      </c>
      <c r="D9" s="89" t="s">
        <v>38</v>
      </c>
      <c r="E9" s="89" t="s">
        <v>39</v>
      </c>
      <c r="F9" s="578"/>
      <c r="G9" s="89" t="s">
        <v>38</v>
      </c>
      <c r="H9" s="89" t="s">
        <v>39</v>
      </c>
      <c r="I9" s="578"/>
    </row>
    <row r="10" spans="1:9" ht="5.0999999999999996" customHeight="1" x14ac:dyDescent="0.2">
      <c r="A10" s="29"/>
    </row>
    <row r="11" spans="1:9" ht="14.1" customHeight="1" x14ac:dyDescent="0.2">
      <c r="A11" s="271" t="s">
        <v>104</v>
      </c>
      <c r="B11" s="272">
        <f>SUM('- 24 -'!H11,'- 24 -'!F11,'- 24 -'!D11,'- 24 -'!B11)</f>
        <v>25500</v>
      </c>
      <c r="C11" s="273">
        <f>B11/'- 3 -'!D11*100</f>
        <v>0.12640900182792372</v>
      </c>
      <c r="D11" s="272">
        <f>SUM('- 25 -'!B11,'- 25 -'!E11,'- 25 -'!H11,'- 26 -'!B11)</f>
        <v>616100</v>
      </c>
      <c r="E11" s="273">
        <f>D11/'- 3 -'!D11*100</f>
        <v>3.0541406284777963</v>
      </c>
      <c r="F11" s="272">
        <f>D11/'- 7 -'!E11</f>
        <v>343.04008908685967</v>
      </c>
      <c r="G11" s="272">
        <f>SUM('- 27 -'!B11,'- 27 -'!E11,'- 27 -'!H11,'- 28 -'!B11,'- 28 -'!E11)</f>
        <v>580931</v>
      </c>
      <c r="H11" s="273">
        <f>G11/'- 3 -'!D11*100</f>
        <v>2.8798003074861791</v>
      </c>
      <c r="I11" s="272">
        <f>G11/'- 7 -'!E11</f>
        <v>323.45824053452117</v>
      </c>
    </row>
    <row r="12" spans="1:9" ht="14.1" customHeight="1" x14ac:dyDescent="0.2">
      <c r="A12" s="15" t="s">
        <v>105</v>
      </c>
      <c r="B12" s="16">
        <f>SUM('- 24 -'!H12,'- 24 -'!F12,'- 24 -'!D12,'- 24 -'!B12)</f>
        <v>68595</v>
      </c>
      <c r="C12" s="267">
        <f>B12/'- 3 -'!D12*100</f>
        <v>0.19580867527060178</v>
      </c>
      <c r="D12" s="16">
        <f>SUM('- 25 -'!B12,'- 25 -'!E12,'- 25 -'!H12,'- 26 -'!B12)</f>
        <v>1430859</v>
      </c>
      <c r="E12" s="267">
        <f>D12/'- 3 -'!D12*100</f>
        <v>4.0844756219697933</v>
      </c>
      <c r="F12" s="16">
        <f>D12/'- 7 -'!E12</f>
        <v>665.51581395348842</v>
      </c>
      <c r="G12" s="16">
        <f>SUM('- 27 -'!B12,'- 27 -'!E12,'- 27 -'!H12,'- 28 -'!B12,'- 28 -'!E12)</f>
        <v>894468</v>
      </c>
      <c r="H12" s="267">
        <f>G12/'- 3 -'!D12*100</f>
        <v>2.553314296259853</v>
      </c>
      <c r="I12" s="16">
        <f>G12/'- 7 -'!E12</f>
        <v>416.03162790697672</v>
      </c>
    </row>
    <row r="13" spans="1:9" ht="14.1" customHeight="1" x14ac:dyDescent="0.2">
      <c r="A13" s="271" t="s">
        <v>106</v>
      </c>
      <c r="B13" s="272">
        <f>SUM('- 24 -'!H13,'- 24 -'!F13,'- 24 -'!D13,'- 24 -'!B13)</f>
        <v>360600</v>
      </c>
      <c r="C13" s="273">
        <f>B13/'- 3 -'!D13*100</f>
        <v>0.3540778853518195</v>
      </c>
      <c r="D13" s="272">
        <f>SUM('- 25 -'!B13,'- 25 -'!E13,'- 25 -'!H13,'- 26 -'!B13)</f>
        <v>3372200</v>
      </c>
      <c r="E13" s="273">
        <f>D13/'- 3 -'!D13*100</f>
        <v>3.3112075568036761</v>
      </c>
      <c r="F13" s="272">
        <f>D13/'- 7 -'!E13</f>
        <v>395.33411488862839</v>
      </c>
      <c r="G13" s="272">
        <f>SUM('- 27 -'!B13,'- 27 -'!E13,'- 27 -'!H13,'- 28 -'!B13,'- 28 -'!E13)</f>
        <v>3279900</v>
      </c>
      <c r="H13" s="273">
        <f>G13/'- 3 -'!D13*100</f>
        <v>3.2205769721725814</v>
      </c>
      <c r="I13" s="272">
        <f>G13/'- 7 -'!E13</f>
        <v>384.51348182883942</v>
      </c>
    </row>
    <row r="14" spans="1:9" ht="14.1" customHeight="1" x14ac:dyDescent="0.2">
      <c r="A14" s="15" t="s">
        <v>315</v>
      </c>
      <c r="B14" s="16">
        <f>SUM('- 24 -'!H14,'- 24 -'!F14,'- 24 -'!D14,'- 24 -'!B14)</f>
        <v>1548606</v>
      </c>
      <c r="C14" s="267">
        <f>B14/'- 3 -'!D14*100</f>
        <v>1.7154232233774127</v>
      </c>
      <c r="D14" s="16">
        <f>SUM('- 25 -'!B14,'- 25 -'!E14,'- 25 -'!H14,'- 26 -'!B14)</f>
        <v>3385208</v>
      </c>
      <c r="E14" s="267">
        <f>D14/'- 3 -'!D14*100</f>
        <v>3.7498656334555105</v>
      </c>
      <c r="F14" s="16">
        <f>D14/'- 7 -'!E14</f>
        <v>607.75727109515265</v>
      </c>
      <c r="G14" s="16">
        <f>SUM('- 27 -'!B14,'- 27 -'!E14,'- 27 -'!H14,'- 28 -'!B14,'- 28 -'!E14)</f>
        <v>3665067</v>
      </c>
      <c r="H14" s="267">
        <f>G14/'- 3 -'!D14*100</f>
        <v>4.0598712952385458</v>
      </c>
      <c r="I14" s="16">
        <f>G14/'- 7 -'!E14</f>
        <v>658.00125673249556</v>
      </c>
    </row>
    <row r="15" spans="1:9" ht="14.1" customHeight="1" x14ac:dyDescent="0.2">
      <c r="A15" s="271" t="s">
        <v>107</v>
      </c>
      <c r="B15" s="272">
        <f>SUM('- 24 -'!H15,'- 24 -'!F15,'- 24 -'!D15,'- 24 -'!B15)</f>
        <v>76500</v>
      </c>
      <c r="C15" s="273">
        <f>B15/'- 3 -'!D15*100</f>
        <v>0.36931479698113878</v>
      </c>
      <c r="D15" s="272">
        <f>SUM('- 25 -'!B15,'- 25 -'!E15,'- 25 -'!H15,'- 26 -'!B15)</f>
        <v>862300</v>
      </c>
      <c r="E15" s="273">
        <f>D15/'- 3 -'!D15*100</f>
        <v>4.1628777704161566</v>
      </c>
      <c r="F15" s="272">
        <f>D15/'- 7 -'!E15</f>
        <v>625.76197387518141</v>
      </c>
      <c r="G15" s="272">
        <f>SUM('- 27 -'!B15,'- 27 -'!E15,'- 27 -'!H15,'- 28 -'!B15,'- 28 -'!E15)</f>
        <v>675300</v>
      </c>
      <c r="H15" s="273">
        <f>G15/'- 3 -'!D15*100</f>
        <v>3.2601082666844841</v>
      </c>
      <c r="I15" s="272">
        <f>G15/'- 7 -'!E15</f>
        <v>490.05805515239479</v>
      </c>
    </row>
    <row r="16" spans="1:9" ht="14.1" customHeight="1" x14ac:dyDescent="0.2">
      <c r="A16" s="15" t="s">
        <v>108</v>
      </c>
      <c r="B16" s="16">
        <f>SUM('- 24 -'!H16,'- 24 -'!F16,'- 24 -'!D16,'- 24 -'!B16)</f>
        <v>11390</v>
      </c>
      <c r="C16" s="267">
        <f>B16/'- 3 -'!D16*100</f>
        <v>7.7007349705857625E-2</v>
      </c>
      <c r="D16" s="16">
        <f>SUM('- 25 -'!B16,'- 25 -'!E16,'- 25 -'!H16,'- 26 -'!B16)</f>
        <v>718250</v>
      </c>
      <c r="E16" s="267">
        <f>D16/'- 3 -'!D16*100</f>
        <v>4.8560604851828124</v>
      </c>
      <c r="F16" s="16">
        <f>D16/'- 7 -'!E16</f>
        <v>774.39353099730454</v>
      </c>
      <c r="G16" s="16">
        <f>SUM('- 27 -'!B16,'- 27 -'!E16,'- 27 -'!H16,'- 28 -'!B16,'- 28 -'!E16)</f>
        <v>310706</v>
      </c>
      <c r="H16" s="267">
        <f>G16/'- 3 -'!D16*100</f>
        <v>2.1006712552860578</v>
      </c>
      <c r="I16" s="16">
        <f>G16/'- 7 -'!E16</f>
        <v>334.99299191374661</v>
      </c>
    </row>
    <row r="17" spans="1:9" ht="14.1" customHeight="1" x14ac:dyDescent="0.2">
      <c r="A17" s="271" t="s">
        <v>109</v>
      </c>
      <c r="B17" s="272">
        <f>SUM('- 24 -'!H17,'- 24 -'!F17,'- 24 -'!D17,'- 24 -'!B17)</f>
        <v>369870</v>
      </c>
      <c r="C17" s="273">
        <f>B17/'- 3 -'!D17*100</f>
        <v>1.9778757271381748</v>
      </c>
      <c r="D17" s="272">
        <f>SUM('- 25 -'!B17,'- 25 -'!E17,'- 25 -'!H17,'- 26 -'!B17)</f>
        <v>809068</v>
      </c>
      <c r="E17" s="273">
        <f>D17/'- 3 -'!D17*100</f>
        <v>4.3264821661779234</v>
      </c>
      <c r="F17" s="272">
        <f>D17/'- 7 -'!E17</f>
        <v>574.41817536386225</v>
      </c>
      <c r="G17" s="272">
        <f>SUM('- 27 -'!B17,'- 27 -'!E17,'- 27 -'!H17,'- 28 -'!B17,'- 28 -'!E17)</f>
        <v>478560</v>
      </c>
      <c r="H17" s="273">
        <f>G17/'- 3 -'!D17*100</f>
        <v>2.5590942979404789</v>
      </c>
      <c r="I17" s="272">
        <f>G17/'- 7 -'!E17</f>
        <v>339.765708200213</v>
      </c>
    </row>
    <row r="18" spans="1:9" ht="14.1" customHeight="1" x14ac:dyDescent="0.2">
      <c r="A18" s="15" t="s">
        <v>110</v>
      </c>
      <c r="B18" s="16">
        <f>SUM('- 24 -'!H18,'- 24 -'!F18,'- 24 -'!D18,'- 24 -'!B18)</f>
        <v>1957308</v>
      </c>
      <c r="C18" s="267">
        <f>B18/'- 3 -'!D18*100</f>
        <v>1.4856063751675939</v>
      </c>
      <c r="D18" s="16">
        <f>SUM('- 25 -'!B18,'- 25 -'!E18,'- 25 -'!H18,'- 26 -'!B18)</f>
        <v>7530411</v>
      </c>
      <c r="E18" s="267">
        <f>D18/'- 3 -'!D18*100</f>
        <v>5.7156188955607279</v>
      </c>
      <c r="F18" s="16">
        <f>D18/'- 7 -'!E18</f>
        <v>1231.5056911100935</v>
      </c>
      <c r="G18" s="16">
        <f>SUM('- 27 -'!B18,'- 27 -'!E18,'- 27 -'!H18,'- 28 -'!B18,'- 28 -'!E18)</f>
        <v>7300208</v>
      </c>
      <c r="H18" s="267">
        <f>G18/'- 3 -'!D18*100</f>
        <v>5.540893689112532</v>
      </c>
      <c r="I18" s="16">
        <f>G18/'- 7 -'!E18</f>
        <v>1193.8588343036567</v>
      </c>
    </row>
    <row r="19" spans="1:9" ht="14.1" customHeight="1" x14ac:dyDescent="0.2">
      <c r="A19" s="271" t="s">
        <v>111</v>
      </c>
      <c r="B19" s="272">
        <f>SUM('- 24 -'!H19,'- 24 -'!F19,'- 24 -'!D19,'- 24 -'!B19)</f>
        <v>68300</v>
      </c>
      <c r="C19" s="273">
        <f>B19/'- 3 -'!D19*100</f>
        <v>0.14015225130993619</v>
      </c>
      <c r="D19" s="272">
        <f>SUM('- 25 -'!B19,'- 25 -'!E19,'- 25 -'!H19,'- 26 -'!B19)</f>
        <v>1448355</v>
      </c>
      <c r="E19" s="273">
        <f>D19/'- 3 -'!D19*100</f>
        <v>2.9720382715373739</v>
      </c>
      <c r="F19" s="272">
        <f>D19/'- 7 -'!E19</f>
        <v>333.83773193500059</v>
      </c>
      <c r="G19" s="272">
        <f>SUM('- 27 -'!B19,'- 27 -'!E19,'- 27 -'!H19,'- 28 -'!B19,'- 28 -'!E19)</f>
        <v>1592778</v>
      </c>
      <c r="H19" s="273">
        <f>G19/'- 3 -'!D19*100</f>
        <v>3.2683956447575047</v>
      </c>
      <c r="I19" s="272">
        <f>G19/'- 7 -'!E19</f>
        <v>367.12642618416504</v>
      </c>
    </row>
    <row r="20" spans="1:9" ht="14.1" customHeight="1" x14ac:dyDescent="0.2">
      <c r="A20" s="15" t="s">
        <v>112</v>
      </c>
      <c r="B20" s="16">
        <f>SUM('- 24 -'!H20,'- 24 -'!F20,'- 24 -'!D20,'- 24 -'!B20)</f>
        <v>158200</v>
      </c>
      <c r="C20" s="267">
        <f>B20/'- 3 -'!D20*100</f>
        <v>0.18633950067609908</v>
      </c>
      <c r="D20" s="16">
        <f>SUM('- 25 -'!B20,'- 25 -'!E20,'- 25 -'!H20,'- 26 -'!B20)</f>
        <v>2302400</v>
      </c>
      <c r="E20" s="267">
        <f>D20/'- 3 -'!D20*100</f>
        <v>2.71193467987769</v>
      </c>
      <c r="F20" s="16">
        <f>D20/'- 7 -'!E20</f>
        <v>297.27566171723691</v>
      </c>
      <c r="G20" s="16">
        <f>SUM('- 27 -'!B20,'- 27 -'!E20,'- 27 -'!H20,'- 28 -'!B20,'- 28 -'!E20)</f>
        <v>2802900</v>
      </c>
      <c r="H20" s="267">
        <f>G20/'- 3 -'!D20*100</f>
        <v>3.3014600913087113</v>
      </c>
      <c r="I20" s="16">
        <f>G20/'- 7 -'!E20</f>
        <v>361.8979987088444</v>
      </c>
    </row>
    <row r="21" spans="1:9" ht="14.1" customHeight="1" x14ac:dyDescent="0.2">
      <c r="A21" s="271" t="s">
        <v>113</v>
      </c>
      <c r="B21" s="272">
        <f>SUM('- 24 -'!H21,'- 24 -'!F21,'- 24 -'!D21,'- 24 -'!B21)</f>
        <v>265000</v>
      </c>
      <c r="C21" s="273">
        <f>B21/'- 3 -'!D21*100</f>
        <v>0.71352795144778858</v>
      </c>
      <c r="D21" s="272">
        <f>SUM('- 25 -'!B21,'- 25 -'!E21,'- 25 -'!H21,'- 26 -'!B21)</f>
        <v>1407600</v>
      </c>
      <c r="E21" s="273">
        <f>D21/'- 3 -'!D21*100</f>
        <v>3.7900450734260649</v>
      </c>
      <c r="F21" s="272">
        <f>D21/'- 7 -'!E21</f>
        <v>510.83287969515516</v>
      </c>
      <c r="G21" s="272">
        <f>SUM('- 27 -'!B21,'- 27 -'!E21,'- 27 -'!H21,'- 28 -'!B21,'- 28 -'!E21)</f>
        <v>1138300</v>
      </c>
      <c r="H21" s="273">
        <f>G21/'- 3 -'!D21*100</f>
        <v>3.0649391212566708</v>
      </c>
      <c r="I21" s="272">
        <f>G21/'- 7 -'!E21</f>
        <v>413.10107058610055</v>
      </c>
    </row>
    <row r="22" spans="1:9" ht="14.1" customHeight="1" x14ac:dyDescent="0.2">
      <c r="A22" s="15" t="s">
        <v>114</v>
      </c>
      <c r="B22" s="16">
        <f>SUM('- 24 -'!H22,'- 24 -'!F22,'- 24 -'!D22,'- 24 -'!B22)</f>
        <v>86315</v>
      </c>
      <c r="C22" s="267">
        <f>B22/'- 3 -'!D22*100</f>
        <v>0.40484719088159266</v>
      </c>
      <c r="D22" s="16">
        <f>SUM('- 25 -'!B22,'- 25 -'!E22,'- 25 -'!H22,'- 26 -'!B22)</f>
        <v>896130</v>
      </c>
      <c r="E22" s="267">
        <f>D22/'- 3 -'!D22*100</f>
        <v>4.2031595106843733</v>
      </c>
      <c r="F22" s="16">
        <f>D22/'- 7 -'!E22</f>
        <v>589.86966824644549</v>
      </c>
      <c r="G22" s="16">
        <f>SUM('- 27 -'!B22,'- 27 -'!E22,'- 27 -'!H22,'- 28 -'!B22,'- 28 -'!E22)</f>
        <v>441980</v>
      </c>
      <c r="H22" s="267">
        <f>G22/'- 3 -'!D22*100</f>
        <v>2.0730390016317712</v>
      </c>
      <c r="I22" s="16">
        <f>G22/'- 7 -'!E22</f>
        <v>290.92943654555029</v>
      </c>
    </row>
    <row r="23" spans="1:9" ht="14.1" customHeight="1" x14ac:dyDescent="0.2">
      <c r="A23" s="271" t="s">
        <v>115</v>
      </c>
      <c r="B23" s="272">
        <f>SUM('- 24 -'!H23,'- 24 -'!F23,'- 24 -'!D23,'- 24 -'!B23)</f>
        <v>289330</v>
      </c>
      <c r="C23" s="273">
        <f>B23/'- 3 -'!D23*100</f>
        <v>1.7186575474597006</v>
      </c>
      <c r="D23" s="272">
        <f>SUM('- 25 -'!B23,'- 25 -'!E23,'- 25 -'!H23,'- 26 -'!B23)</f>
        <v>662900</v>
      </c>
      <c r="E23" s="273">
        <f>D23/'- 3 -'!D23*100</f>
        <v>3.9377115688350179</v>
      </c>
      <c r="F23" s="272">
        <f>D23/'- 7 -'!E23</f>
        <v>599.90950226244343</v>
      </c>
      <c r="G23" s="272">
        <f>SUM('- 27 -'!B23,'- 27 -'!E23,'- 27 -'!H23,'- 28 -'!B23,'- 28 -'!E23)</f>
        <v>346800</v>
      </c>
      <c r="H23" s="273">
        <f>G23/'- 3 -'!D23*100</f>
        <v>2.0600367658349437</v>
      </c>
      <c r="I23" s="272">
        <f>G23/'- 7 -'!E23</f>
        <v>313.84615384615387</v>
      </c>
    </row>
    <row r="24" spans="1:9" ht="14.1" customHeight="1" x14ac:dyDescent="0.2">
      <c r="A24" s="15" t="s">
        <v>116</v>
      </c>
      <c r="B24" s="16">
        <f>SUM('- 24 -'!H24,'- 24 -'!F24,'- 24 -'!D24,'- 24 -'!B24)</f>
        <v>426310</v>
      </c>
      <c r="C24" s="267">
        <f>B24/'- 3 -'!D24*100</f>
        <v>0.72974086265363225</v>
      </c>
      <c r="D24" s="16">
        <f>SUM('- 25 -'!B24,'- 25 -'!E24,'- 25 -'!H24,'- 26 -'!B24)</f>
        <v>2053850</v>
      </c>
      <c r="E24" s="267">
        <f>D24/'- 3 -'!D24*100</f>
        <v>3.5157004779647734</v>
      </c>
      <c r="F24" s="16">
        <f>D24/'- 7 -'!E24</f>
        <v>527.37193477981771</v>
      </c>
      <c r="G24" s="16">
        <f>SUM('- 27 -'!B24,'- 27 -'!E24,'- 27 -'!H24,'- 28 -'!B24,'- 28 -'!E24)</f>
        <v>1644378</v>
      </c>
      <c r="H24" s="267">
        <f>G24/'- 3 -'!D24*100</f>
        <v>2.814782248243425</v>
      </c>
      <c r="I24" s="16">
        <f>G24/'- 7 -'!E24</f>
        <v>422.23083836179228</v>
      </c>
    </row>
    <row r="25" spans="1:9" ht="14.1" customHeight="1" x14ac:dyDescent="0.2">
      <c r="A25" s="271" t="s">
        <v>117</v>
      </c>
      <c r="B25" s="272">
        <f>SUM('- 24 -'!H25,'- 24 -'!F25,'- 24 -'!D25,'- 24 -'!B25)</f>
        <v>2091085</v>
      </c>
      <c r="C25" s="273">
        <f>B25/'- 3 -'!D25*100</f>
        <v>1.1487453705410771</v>
      </c>
      <c r="D25" s="272">
        <f>SUM('- 25 -'!B25,'- 25 -'!E25,'- 25 -'!H25,'- 26 -'!B25)</f>
        <v>6227711</v>
      </c>
      <c r="E25" s="273">
        <f>D25/'- 3 -'!D25*100</f>
        <v>3.42121634477687</v>
      </c>
      <c r="F25" s="272">
        <f>D25/'- 7 -'!E25</f>
        <v>430.31342200725516</v>
      </c>
      <c r="G25" s="272">
        <f>SUM('- 27 -'!B25,'- 27 -'!E25,'- 27 -'!H25,'- 28 -'!B25,'- 28 -'!E25)</f>
        <v>7496513</v>
      </c>
      <c r="H25" s="273">
        <f>G25/'- 3 -'!D25*100</f>
        <v>4.1182374719109935</v>
      </c>
      <c r="I25" s="272">
        <f>G25/'- 7 -'!E25</f>
        <v>517.98327863188808</v>
      </c>
    </row>
    <row r="26" spans="1:9" ht="14.1" customHeight="1" x14ac:dyDescent="0.2">
      <c r="A26" s="15" t="s">
        <v>118</v>
      </c>
      <c r="B26" s="16">
        <f>SUM('- 24 -'!H26,'- 24 -'!F26,'- 24 -'!D26,'- 24 -'!B26)</f>
        <v>100250</v>
      </c>
      <c r="C26" s="267">
        <f>B26/'- 3 -'!D26*100</f>
        <v>0.24350576205073582</v>
      </c>
      <c r="D26" s="16">
        <f>SUM('- 25 -'!B26,'- 25 -'!E26,'- 25 -'!H26,'- 26 -'!B26)</f>
        <v>1457860</v>
      </c>
      <c r="E26" s="267">
        <f>D26/'- 3 -'!D26*100</f>
        <v>3.5411203018781618</v>
      </c>
      <c r="F26" s="16">
        <f>D26/'- 7 -'!E26</f>
        <v>477.98688524590165</v>
      </c>
      <c r="G26" s="16">
        <f>SUM('- 27 -'!B26,'- 27 -'!E26,'- 27 -'!H26,'- 28 -'!B26,'- 28 -'!E26)</f>
        <v>1470956</v>
      </c>
      <c r="H26" s="267">
        <f>G26/'- 3 -'!D26*100</f>
        <v>3.5729302915022658</v>
      </c>
      <c r="I26" s="16">
        <f>G26/'- 7 -'!E26</f>
        <v>482.28065573770493</v>
      </c>
    </row>
    <row r="27" spans="1:9" ht="14.1" customHeight="1" x14ac:dyDescent="0.2">
      <c r="A27" s="271" t="s">
        <v>119</v>
      </c>
      <c r="B27" s="272">
        <f>SUM('- 24 -'!H27,'- 24 -'!F27,'- 24 -'!D27,'- 24 -'!B27)</f>
        <v>57374</v>
      </c>
      <c r="C27" s="273">
        <f>B27/'- 3 -'!D27*100</f>
        <v>0.1302609778486864</v>
      </c>
      <c r="D27" s="272">
        <f>SUM('- 25 -'!B27,'- 25 -'!E27,'- 25 -'!H27,'- 26 -'!B27)</f>
        <v>2007277</v>
      </c>
      <c r="E27" s="273">
        <f>D27/'- 3 -'!D27*100</f>
        <v>4.5572884029905127</v>
      </c>
      <c r="F27" s="272">
        <f>D27/'- 7 -'!E27</f>
        <v>671.22747597118462</v>
      </c>
      <c r="G27" s="272">
        <f>SUM('- 27 -'!B27,'- 27 -'!E27,'- 27 -'!H27,'- 28 -'!B27,'- 28 -'!E27)</f>
        <v>1945613</v>
      </c>
      <c r="H27" s="273">
        <f>G27/'- 3 -'!D27*100</f>
        <v>4.4172874803066939</v>
      </c>
      <c r="I27" s="272">
        <f>G27/'- 7 -'!E27</f>
        <v>650.60721724342204</v>
      </c>
    </row>
    <row r="28" spans="1:9" ht="14.1" customHeight="1" x14ac:dyDescent="0.2">
      <c r="A28" s="15" t="s">
        <v>120</v>
      </c>
      <c r="B28" s="16">
        <f>SUM('- 24 -'!H28,'- 24 -'!F28,'- 24 -'!D28,'- 24 -'!B28)</f>
        <v>107293</v>
      </c>
      <c r="C28" s="267">
        <f>B28/'- 3 -'!D28*100</f>
        <v>0.37130769154367865</v>
      </c>
      <c r="D28" s="16">
        <f>SUM('- 25 -'!B28,'- 25 -'!E28,'- 25 -'!H28,'- 26 -'!B28)</f>
        <v>1193947</v>
      </c>
      <c r="E28" s="267">
        <f>D28/'- 3 -'!D28*100</f>
        <v>4.1318791011109814</v>
      </c>
      <c r="F28" s="16">
        <f>D28/'- 7 -'!E28</f>
        <v>609.46758550280754</v>
      </c>
      <c r="G28" s="16">
        <f>SUM('- 27 -'!B28,'- 27 -'!E28,'- 27 -'!H28,'- 28 -'!B28,'- 28 -'!E28)</f>
        <v>740600</v>
      </c>
      <c r="H28" s="267">
        <f>G28/'- 3 -'!D28*100</f>
        <v>2.5629861813654986</v>
      </c>
      <c r="I28" s="16">
        <f>G28/'- 7 -'!E28</f>
        <v>378.05002552322611</v>
      </c>
    </row>
    <row r="29" spans="1:9" ht="14.1" customHeight="1" x14ac:dyDescent="0.2">
      <c r="A29" s="271" t="s">
        <v>121</v>
      </c>
      <c r="B29" s="272">
        <f>SUM('- 24 -'!H29,'- 24 -'!F29,'- 24 -'!D29,'- 24 -'!B29)</f>
        <v>587886</v>
      </c>
      <c r="C29" s="273">
        <f>B29/'- 3 -'!D29*100</f>
        <v>0.35764392297068026</v>
      </c>
      <c r="D29" s="272">
        <f>SUM('- 25 -'!B29,'- 25 -'!E29,'- 25 -'!H29,'- 26 -'!B29)</f>
        <v>5929913</v>
      </c>
      <c r="E29" s="273">
        <f>D29/'- 3 -'!D29*100</f>
        <v>3.6074976240203638</v>
      </c>
      <c r="F29" s="272">
        <f>D29/'- 7 -'!E29</f>
        <v>453.91598221051908</v>
      </c>
      <c r="G29" s="272">
        <f>SUM('- 27 -'!B29,'- 27 -'!E29,'- 27 -'!H29,'- 28 -'!B29,'- 28 -'!E29)</f>
        <v>6780901</v>
      </c>
      <c r="H29" s="273">
        <f>G29/'- 3 -'!D29*100</f>
        <v>4.1252012038317103</v>
      </c>
      <c r="I29" s="272">
        <f>G29/'- 7 -'!E29</f>
        <v>519.05640735155657</v>
      </c>
    </row>
    <row r="30" spans="1:9" ht="14.1" customHeight="1" x14ac:dyDescent="0.2">
      <c r="A30" s="15" t="s">
        <v>122</v>
      </c>
      <c r="B30" s="16">
        <f>SUM('- 24 -'!H30,'- 24 -'!F30,'- 24 -'!D30,'- 24 -'!B30)</f>
        <v>13940</v>
      </c>
      <c r="C30" s="267">
        <f>B30/'- 3 -'!D30*100</f>
        <v>9.2030447157721504E-2</v>
      </c>
      <c r="D30" s="16">
        <f>SUM('- 25 -'!B30,'- 25 -'!E30,'- 25 -'!H30,'- 26 -'!B30)</f>
        <v>557491</v>
      </c>
      <c r="E30" s="267">
        <f>D30/'- 3 -'!D30*100</f>
        <v>3.6804982795125762</v>
      </c>
      <c r="F30" s="16">
        <f>D30/'- 7 -'!E30</f>
        <v>548.9817823732152</v>
      </c>
      <c r="G30" s="16">
        <f>SUM('- 27 -'!B30,'- 27 -'!E30,'- 27 -'!H30,'- 28 -'!B30,'- 28 -'!E30)</f>
        <v>607324</v>
      </c>
      <c r="H30" s="267">
        <f>G30/'- 3 -'!D30*100</f>
        <v>4.0094906233583973</v>
      </c>
      <c r="I30" s="16">
        <f>G30/'- 7 -'!E30</f>
        <v>598.05416051206305</v>
      </c>
    </row>
    <row r="31" spans="1:9" ht="14.1" customHeight="1" x14ac:dyDescent="0.2">
      <c r="A31" s="271" t="s">
        <v>123</v>
      </c>
      <c r="B31" s="272">
        <f>SUM('- 24 -'!H31,'- 24 -'!F31,'- 24 -'!D31,'- 24 -'!B31)</f>
        <v>46350</v>
      </c>
      <c r="C31" s="273">
        <f>B31/'- 3 -'!D31*100</f>
        <v>0.12105936740930343</v>
      </c>
      <c r="D31" s="272">
        <f>SUM('- 25 -'!B31,'- 25 -'!E31,'- 25 -'!H31,'- 26 -'!B31)</f>
        <v>1300392</v>
      </c>
      <c r="E31" s="273">
        <f>D31/'- 3 -'!D31*100</f>
        <v>3.3964322093661035</v>
      </c>
      <c r="F31" s="272">
        <f>D31/'- 7 -'!E31</f>
        <v>395.91779570710912</v>
      </c>
      <c r="G31" s="272">
        <f>SUM('- 27 -'!B31,'- 27 -'!E31,'- 27 -'!H31,'- 28 -'!B31,'- 28 -'!E31)</f>
        <v>1441884</v>
      </c>
      <c r="H31" s="273">
        <f>G31/'- 3 -'!D31*100</f>
        <v>3.765988455611565</v>
      </c>
      <c r="I31" s="272">
        <f>G31/'- 7 -'!E31</f>
        <v>438.99649870604355</v>
      </c>
    </row>
    <row r="32" spans="1:9" ht="14.1" customHeight="1" x14ac:dyDescent="0.2">
      <c r="A32" s="15" t="s">
        <v>124</v>
      </c>
      <c r="B32" s="16">
        <f>SUM('- 24 -'!H32,'- 24 -'!F32,'- 24 -'!D32,'- 24 -'!B32)</f>
        <v>36229</v>
      </c>
      <c r="C32" s="267">
        <f>B32/'- 3 -'!D32*100</f>
        <v>0.11569867031956262</v>
      </c>
      <c r="D32" s="16">
        <f>SUM('- 25 -'!B32,'- 25 -'!E32,'- 25 -'!H32,'- 26 -'!B32)</f>
        <v>1126983</v>
      </c>
      <c r="E32" s="267">
        <f>D32/'- 3 -'!D32*100</f>
        <v>3.59906247958132</v>
      </c>
      <c r="F32" s="16">
        <f>D32/'- 7 -'!E32</f>
        <v>509.25576140985089</v>
      </c>
      <c r="G32" s="16">
        <f>SUM('- 27 -'!B32,'- 27 -'!E32,'- 27 -'!H32,'- 28 -'!B32,'- 28 -'!E32)</f>
        <v>1214382</v>
      </c>
      <c r="H32" s="267">
        <f>G32/'- 3 -'!D32*100</f>
        <v>3.8781744641036489</v>
      </c>
      <c r="I32" s="16">
        <f>G32/'- 7 -'!E32</f>
        <v>548.74920921825571</v>
      </c>
    </row>
    <row r="33" spans="1:10" ht="14.1" customHeight="1" x14ac:dyDescent="0.2">
      <c r="A33" s="271" t="s">
        <v>125</v>
      </c>
      <c r="B33" s="272">
        <f>SUM('- 24 -'!H33,'- 24 -'!F33,'- 24 -'!D33,'- 24 -'!B33)</f>
        <v>31600</v>
      </c>
      <c r="C33" s="273">
        <f>B33/'- 3 -'!D33*100</f>
        <v>0.11136720870073939</v>
      </c>
      <c r="D33" s="272">
        <f>SUM('- 25 -'!B33,'- 25 -'!E33,'- 25 -'!H33,'- 26 -'!B33)</f>
        <v>919400</v>
      </c>
      <c r="E33" s="273">
        <f>D33/'- 3 -'!D33*100</f>
        <v>3.2402218885904999</v>
      </c>
      <c r="F33" s="272">
        <f>D33/'- 7 -'!E33</f>
        <v>463.40725806451616</v>
      </c>
      <c r="G33" s="272">
        <f>SUM('- 27 -'!B33,'- 27 -'!E33,'- 27 -'!H33,'- 28 -'!B33,'- 28 -'!E33)</f>
        <v>841800</v>
      </c>
      <c r="H33" s="273">
        <f>G33/'- 3 -'!D33*100</f>
        <v>2.9667378570975447</v>
      </c>
      <c r="I33" s="272">
        <f>G33/'- 7 -'!E33</f>
        <v>424.29435483870969</v>
      </c>
    </row>
    <row r="34" spans="1:10" ht="14.1" customHeight="1" x14ac:dyDescent="0.2">
      <c r="A34" s="15" t="s">
        <v>126</v>
      </c>
      <c r="B34" s="16">
        <f>SUM('- 24 -'!H34,'- 24 -'!F34,'- 24 -'!D34,'- 24 -'!B34)</f>
        <v>59111</v>
      </c>
      <c r="C34" s="267">
        <f>B34/'- 3 -'!D34*100</f>
        <v>0.19226261920422252</v>
      </c>
      <c r="D34" s="16">
        <f>SUM('- 25 -'!B34,'- 25 -'!E34,'- 25 -'!H34,'- 26 -'!B34)</f>
        <v>1214887</v>
      </c>
      <c r="E34" s="267">
        <f>D34/'- 3 -'!D34*100</f>
        <v>3.9515040628167393</v>
      </c>
      <c r="F34" s="16">
        <f>D34/'- 7 -'!E34</f>
        <v>591.18588807785886</v>
      </c>
      <c r="G34" s="16">
        <f>SUM('- 27 -'!B34,'- 27 -'!E34,'- 27 -'!H34,'- 28 -'!B34,'- 28 -'!E34)</f>
        <v>815720</v>
      </c>
      <c r="H34" s="267">
        <f>G34/'- 3 -'!D34*100</f>
        <v>2.6531857647014667</v>
      </c>
      <c r="I34" s="16">
        <f>G34/'- 7 -'!E34</f>
        <v>396.94403892944041</v>
      </c>
    </row>
    <row r="35" spans="1:10" ht="14.1" customHeight="1" x14ac:dyDescent="0.2">
      <c r="A35" s="271" t="s">
        <v>127</v>
      </c>
      <c r="B35" s="272">
        <f>SUM('- 24 -'!H35,'- 24 -'!F35,'- 24 -'!D35,'- 24 -'!B35)</f>
        <v>577290</v>
      </c>
      <c r="C35" s="273">
        <f>B35/'- 3 -'!D35*100</f>
        <v>0.31168211216950548</v>
      </c>
      <c r="D35" s="272">
        <f>SUM('- 25 -'!B35,'- 25 -'!E35,'- 25 -'!H35,'- 26 -'!B35)</f>
        <v>4984974</v>
      </c>
      <c r="E35" s="273">
        <f>D35/'- 3 -'!D35*100</f>
        <v>2.6914154505189218</v>
      </c>
      <c r="F35" s="272">
        <f>D35/'- 7 -'!E35</f>
        <v>317.46371596879476</v>
      </c>
      <c r="G35" s="272">
        <f>SUM('- 27 -'!B35,'- 27 -'!E35,'- 27 -'!H35,'- 28 -'!B35,'- 28 -'!E35)</f>
        <v>7779805</v>
      </c>
      <c r="H35" s="273">
        <f>G35/'- 3 -'!D35*100</f>
        <v>4.2003603988755733</v>
      </c>
      <c r="I35" s="272">
        <f>G35/'- 7 -'!E35</f>
        <v>495.45008756567427</v>
      </c>
    </row>
    <row r="36" spans="1:10" ht="14.1" customHeight="1" x14ac:dyDescent="0.2">
      <c r="A36" s="15" t="s">
        <v>128</v>
      </c>
      <c r="B36" s="16">
        <f>SUM('- 24 -'!H36,'- 24 -'!F36,'- 24 -'!D36,'- 24 -'!B36)</f>
        <v>41925</v>
      </c>
      <c r="C36" s="267">
        <f>B36/'- 3 -'!D36*100</f>
        <v>0.17487508996629927</v>
      </c>
      <c r="D36" s="16">
        <f>SUM('- 25 -'!B36,'- 25 -'!E36,'- 25 -'!H36,'- 26 -'!B36)</f>
        <v>973315</v>
      </c>
      <c r="E36" s="267">
        <f>D36/'- 3 -'!D36*100</f>
        <v>4.0598341846284693</v>
      </c>
      <c r="F36" s="16">
        <f>D36/'- 7 -'!E36</f>
        <v>578.83734760630387</v>
      </c>
      <c r="G36" s="16">
        <f>SUM('- 27 -'!B36,'- 27 -'!E36,'- 27 -'!H36,'- 28 -'!B36,'- 28 -'!E36)</f>
        <v>753200</v>
      </c>
      <c r="H36" s="267">
        <f>G36/'- 3 -'!D36*100</f>
        <v>3.1417034648209086</v>
      </c>
      <c r="I36" s="16">
        <f>G36/'- 7 -'!E36</f>
        <v>447.93339280404399</v>
      </c>
    </row>
    <row r="37" spans="1:10" ht="14.1" customHeight="1" x14ac:dyDescent="0.2">
      <c r="A37" s="271" t="s">
        <v>129</v>
      </c>
      <c r="B37" s="272">
        <f>SUM('- 24 -'!H37,'- 24 -'!F37,'- 24 -'!D37,'- 24 -'!B37)</f>
        <v>369424</v>
      </c>
      <c r="C37" s="273">
        <f>B37/'- 3 -'!D37*100</f>
        <v>0.70864552761312849</v>
      </c>
      <c r="D37" s="272">
        <f>SUM('- 25 -'!B37,'- 25 -'!E37,'- 25 -'!H37,'- 26 -'!B37)</f>
        <v>1763500</v>
      </c>
      <c r="E37" s="273">
        <f>D37/'- 3 -'!D37*100</f>
        <v>3.3828240394391051</v>
      </c>
      <c r="F37" s="272">
        <f>D37/'- 7 -'!E37</f>
        <v>414.58024778428194</v>
      </c>
      <c r="G37" s="272">
        <f>SUM('- 27 -'!B37,'- 27 -'!E37,'- 27 -'!H37,'- 28 -'!B37,'- 28 -'!E37)</f>
        <v>1515756</v>
      </c>
      <c r="H37" s="273">
        <f>G37/'- 3 -'!D37*100</f>
        <v>2.9075904931806411</v>
      </c>
      <c r="I37" s="272">
        <f>G37/'- 7 -'!E37</f>
        <v>356.33824670287044</v>
      </c>
    </row>
    <row r="38" spans="1:10" ht="14.1" customHeight="1" x14ac:dyDescent="0.2">
      <c r="A38" s="15" t="s">
        <v>130</v>
      </c>
      <c r="B38" s="16">
        <f>SUM('- 24 -'!H38,'- 24 -'!F38,'- 24 -'!D38,'- 24 -'!B38)</f>
        <v>2024000</v>
      </c>
      <c r="C38" s="267">
        <f>B38/'- 3 -'!D38*100</f>
        <v>1.4332830126362592</v>
      </c>
      <c r="D38" s="16">
        <f>SUM('- 25 -'!B38,'- 25 -'!E38,'- 25 -'!H38,'- 26 -'!B38)</f>
        <v>4161330</v>
      </c>
      <c r="E38" s="267">
        <f>D38/'- 3 -'!D38*100</f>
        <v>2.9468199599672156</v>
      </c>
      <c r="F38" s="16">
        <f>D38/'- 7 -'!E38</f>
        <v>368.58547387068199</v>
      </c>
      <c r="G38" s="16">
        <f>SUM('- 27 -'!B38,'- 27 -'!E38,'- 27 -'!H38,'- 28 -'!B38,'- 28 -'!E38)</f>
        <v>5578810</v>
      </c>
      <c r="H38" s="267">
        <f>G38/'- 3 -'!D38*100</f>
        <v>3.9505996065836406</v>
      </c>
      <c r="I38" s="16">
        <f>G38/'- 7 -'!E38</f>
        <v>494.13728963684679</v>
      </c>
    </row>
    <row r="39" spans="1:10" ht="14.1" customHeight="1" x14ac:dyDescent="0.2">
      <c r="A39" s="271" t="s">
        <v>131</v>
      </c>
      <c r="B39" s="272">
        <f>SUM('- 24 -'!H39,'- 24 -'!F39,'- 24 -'!D39,'- 24 -'!B39)</f>
        <v>153900</v>
      </c>
      <c r="C39" s="273">
        <f>B39/'- 3 -'!D39*100</f>
        <v>0.66135093498004982</v>
      </c>
      <c r="D39" s="272">
        <f>SUM('- 25 -'!B39,'- 25 -'!E39,'- 25 -'!H39,'- 26 -'!B39)</f>
        <v>989900</v>
      </c>
      <c r="E39" s="273">
        <f>D39/'- 3 -'!D39*100</f>
        <v>4.2538745324025431</v>
      </c>
      <c r="F39" s="272">
        <f>D39/'- 7 -'!E39</f>
        <v>656.43236074270555</v>
      </c>
      <c r="G39" s="272">
        <f>SUM('- 27 -'!B39,'- 27 -'!E39,'- 27 -'!H39,'- 28 -'!B39,'- 28 -'!E39)</f>
        <v>523400</v>
      </c>
      <c r="H39" s="273">
        <f>G39/'- 3 -'!D39*100</f>
        <v>2.2491947977164273</v>
      </c>
      <c r="I39" s="272">
        <f>G39/'- 7 -'!E39</f>
        <v>347.08222811671089</v>
      </c>
    </row>
    <row r="40" spans="1:10" ht="14.1" customHeight="1" x14ac:dyDescent="0.2">
      <c r="A40" s="15" t="s">
        <v>132</v>
      </c>
      <c r="B40" s="16">
        <f>SUM('- 24 -'!H40,'- 24 -'!F40,'- 24 -'!D40,'- 24 -'!B40)</f>
        <v>1042180</v>
      </c>
      <c r="C40" s="267">
        <f>B40/'- 3 -'!D40*100</f>
        <v>0.96676380006206264</v>
      </c>
      <c r="D40" s="16">
        <f>SUM('- 25 -'!B40,'- 25 -'!E40,'- 25 -'!H40,'- 26 -'!B40)</f>
        <v>3841836</v>
      </c>
      <c r="E40" s="267">
        <f>D40/'- 3 -'!D40*100</f>
        <v>3.5638257983987738</v>
      </c>
      <c r="F40" s="16">
        <f>D40/'- 7 -'!E40</f>
        <v>467.39938683147597</v>
      </c>
      <c r="G40" s="16">
        <f>SUM('- 27 -'!B40,'- 27 -'!E40,'- 27 -'!H40,'- 28 -'!B40,'- 28 -'!E40)</f>
        <v>3640203</v>
      </c>
      <c r="H40" s="267">
        <f>G40/'- 3 -'!D40*100</f>
        <v>3.3767837468357866</v>
      </c>
      <c r="I40" s="16">
        <f>G40/'- 7 -'!E40</f>
        <v>442.86863107693802</v>
      </c>
    </row>
    <row r="41" spans="1:10" ht="14.1" customHeight="1" x14ac:dyDescent="0.2">
      <c r="A41" s="271" t="s">
        <v>133</v>
      </c>
      <c r="B41" s="272">
        <f>SUM('- 24 -'!H41,'- 24 -'!F41,'- 24 -'!D41,'- 24 -'!B41)</f>
        <v>287192</v>
      </c>
      <c r="C41" s="273">
        <f>B41/'- 3 -'!D41*100</f>
        <v>0.44467225758512863</v>
      </c>
      <c r="D41" s="272">
        <f>SUM('- 25 -'!B41,'- 25 -'!E41,'- 25 -'!H41,'- 26 -'!B41)</f>
        <v>2402521</v>
      </c>
      <c r="E41" s="273">
        <f>D41/'- 3 -'!D41*100</f>
        <v>3.7199310460099193</v>
      </c>
      <c r="F41" s="272">
        <f>D41/'- 7 -'!E41</f>
        <v>542.57475158084912</v>
      </c>
      <c r="G41" s="272">
        <f>SUM('- 27 -'!B41,'- 27 -'!E41,'- 27 -'!H41,'- 28 -'!B41,'- 28 -'!E41)</f>
        <v>1301849</v>
      </c>
      <c r="H41" s="273">
        <f>G41/'- 3 -'!D41*100</f>
        <v>2.0157112101484098</v>
      </c>
      <c r="I41" s="272">
        <f>G41/'- 7 -'!E41</f>
        <v>294.00383920505874</v>
      </c>
    </row>
    <row r="42" spans="1:10" ht="14.1" customHeight="1" x14ac:dyDescent="0.2">
      <c r="A42" s="15" t="s">
        <v>134</v>
      </c>
      <c r="B42" s="16">
        <f>SUM('- 24 -'!H42,'- 24 -'!F42,'- 24 -'!D42,'- 24 -'!B42)</f>
        <v>64656</v>
      </c>
      <c r="C42" s="267">
        <f>B42/'- 3 -'!D42*100</f>
        <v>0.30138560184545538</v>
      </c>
      <c r="D42" s="16">
        <f>SUM('- 25 -'!B42,'- 25 -'!E42,'- 25 -'!H42,'- 26 -'!B42)</f>
        <v>861274</v>
      </c>
      <c r="E42" s="267">
        <f>D42/'- 3 -'!D42*100</f>
        <v>4.0147176262658189</v>
      </c>
      <c r="F42" s="16">
        <f>D42/'- 7 -'!E42</f>
        <v>620.96178803172313</v>
      </c>
      <c r="G42" s="16">
        <f>SUM('- 27 -'!B42,'- 27 -'!E42,'- 27 -'!H42,'- 28 -'!B42,'- 28 -'!E42)</f>
        <v>413176</v>
      </c>
      <c r="H42" s="267">
        <f>G42/'- 3 -'!D42*100</f>
        <v>1.9259666145152483</v>
      </c>
      <c r="I42" s="16">
        <f>G42/'- 7 -'!E42</f>
        <v>297.89185291997114</v>
      </c>
    </row>
    <row r="43" spans="1:10" ht="14.1" customHeight="1" x14ac:dyDescent="0.2">
      <c r="A43" s="271" t="s">
        <v>135</v>
      </c>
      <c r="B43" s="272">
        <f>SUM('- 24 -'!H43,'- 24 -'!F43,'- 24 -'!D43,'- 24 -'!B43)</f>
        <v>16513</v>
      </c>
      <c r="C43" s="273">
        <f>B43/'- 3 -'!D43*100</f>
        <v>0.12080438322459987</v>
      </c>
      <c r="D43" s="272">
        <f>SUM('- 25 -'!B43,'- 25 -'!E43,'- 25 -'!H43,'- 26 -'!B43)</f>
        <v>586800</v>
      </c>
      <c r="E43" s="273">
        <f>D43/'- 3 -'!D43*100</f>
        <v>4.2928609020889725</v>
      </c>
      <c r="F43" s="272">
        <f>D43/'- 7 -'!E43</f>
        <v>616.06299212598424</v>
      </c>
      <c r="G43" s="272">
        <f>SUM('- 27 -'!B43,'- 27 -'!E43,'- 27 -'!H43,'- 28 -'!B43,'- 28 -'!E43)</f>
        <v>440939</v>
      </c>
      <c r="H43" s="273">
        <f>G43/'- 3 -'!D43*100</f>
        <v>3.2257835605081961</v>
      </c>
      <c r="I43" s="272">
        <f>G43/'- 7 -'!E43</f>
        <v>462.92808398950132</v>
      </c>
    </row>
    <row r="44" spans="1:10" ht="14.1" customHeight="1" x14ac:dyDescent="0.2">
      <c r="A44" s="15" t="s">
        <v>136</v>
      </c>
      <c r="B44" s="16">
        <f>SUM('- 24 -'!H44,'- 24 -'!F44,'- 24 -'!D44,'- 24 -'!B44)</f>
        <v>39500</v>
      </c>
      <c r="C44" s="267">
        <f>B44/'- 3 -'!D44*100</f>
        <v>0.3501765599080286</v>
      </c>
      <c r="D44" s="16">
        <f>SUM('- 25 -'!B44,'- 25 -'!E44,'- 25 -'!H44,'- 26 -'!B44)</f>
        <v>427299</v>
      </c>
      <c r="E44" s="267">
        <f>D44/'- 3 -'!D44*100</f>
        <v>3.7881036423326755</v>
      </c>
      <c r="F44" s="16">
        <f>D44/'- 7 -'!E44</f>
        <v>596.78631284916196</v>
      </c>
      <c r="G44" s="16">
        <f>SUM('- 27 -'!B44,'- 27 -'!E44,'- 27 -'!H44,'- 28 -'!B44,'- 28 -'!E44)</f>
        <v>242176</v>
      </c>
      <c r="H44" s="267">
        <f>G44/'- 3 -'!D44*100</f>
        <v>2.14694578664017</v>
      </c>
      <c r="I44" s="16">
        <f>G44/'- 7 -'!E44</f>
        <v>338.23463687150837</v>
      </c>
    </row>
    <row r="45" spans="1:10" ht="14.1" customHeight="1" x14ac:dyDescent="0.2">
      <c r="A45" s="271" t="s">
        <v>137</v>
      </c>
      <c r="B45" s="272">
        <f>SUM('- 24 -'!H45,'- 24 -'!F45,'- 24 -'!D45,'- 24 -'!B45)</f>
        <v>54813</v>
      </c>
      <c r="C45" s="273">
        <f>B45/'- 3 -'!D45*100</f>
        <v>0.27099480500590634</v>
      </c>
      <c r="D45" s="272">
        <f>SUM('- 25 -'!B45,'- 25 -'!E45,'- 25 -'!H45,'- 26 -'!B45)</f>
        <v>844381</v>
      </c>
      <c r="E45" s="273">
        <f>D45/'- 3 -'!D45*100</f>
        <v>4.1746093891174025</v>
      </c>
      <c r="F45" s="272">
        <f>D45/'- 7 -'!E45</f>
        <v>487.5178983833718</v>
      </c>
      <c r="G45" s="272">
        <f>SUM('- 27 -'!B45,'- 27 -'!E45,'- 27 -'!H45,'- 28 -'!B45,'- 28 -'!E45)</f>
        <v>628429</v>
      </c>
      <c r="H45" s="273">
        <f>G45/'- 3 -'!D45*100</f>
        <v>3.1069453289376008</v>
      </c>
      <c r="I45" s="272">
        <f>G45/'- 7 -'!E45</f>
        <v>362.83429561200921</v>
      </c>
    </row>
    <row r="46" spans="1:10" ht="14.1" customHeight="1" x14ac:dyDescent="0.2">
      <c r="A46" s="15" t="s">
        <v>138</v>
      </c>
      <c r="B46" s="16">
        <f>SUM('- 24 -'!H46,'- 24 -'!F46,'- 24 -'!D46,'- 24 -'!B46)</f>
        <v>10022800</v>
      </c>
      <c r="C46" s="267">
        <f>B46/'- 3 -'!D46*100</f>
        <v>2.490361242517027</v>
      </c>
      <c r="D46" s="16">
        <f>SUM('- 25 -'!B46,'- 25 -'!E46,'- 25 -'!H46,'- 26 -'!B46)</f>
        <v>12019600</v>
      </c>
      <c r="E46" s="267">
        <f>D46/'- 3 -'!D46*100</f>
        <v>2.9865053668194177</v>
      </c>
      <c r="F46" s="16">
        <f>D46/'- 7 -'!E46</f>
        <v>397.20427620164901</v>
      </c>
      <c r="G46" s="16">
        <f>SUM('- 27 -'!B46,'- 27 -'!E46,'- 27 -'!H46,'- 28 -'!B46,'- 28 -'!E46)</f>
        <v>9539600</v>
      </c>
      <c r="H46" s="267">
        <f>G46/'- 3 -'!D46*100</f>
        <v>2.3703007252579549</v>
      </c>
      <c r="I46" s="16">
        <f>G46/'- 7 -'!E46</f>
        <v>315.24925232563902</v>
      </c>
    </row>
    <row r="47" spans="1:10" ht="5.0999999999999996" customHeight="1" x14ac:dyDescent="0.2">
      <c r="A47"/>
      <c r="B47"/>
      <c r="C47"/>
      <c r="D47"/>
      <c r="E47"/>
      <c r="F47"/>
      <c r="G47"/>
      <c r="H47"/>
      <c r="I47"/>
      <c r="J47"/>
    </row>
    <row r="48" spans="1:10" ht="14.1" customHeight="1" x14ac:dyDescent="0.2">
      <c r="A48" s="274" t="s">
        <v>139</v>
      </c>
      <c r="B48" s="275">
        <f>SUM(B11:B46)</f>
        <v>23537135</v>
      </c>
      <c r="C48" s="276">
        <f>B48/'- 3 -'!D48*100</f>
        <v>0.99216643252672199</v>
      </c>
      <c r="D48" s="275">
        <f>SUM(D11:D46)</f>
        <v>83288222</v>
      </c>
      <c r="E48" s="276">
        <f>D48/'- 3 -'!D48*100</f>
        <v>3.5108681703713569</v>
      </c>
      <c r="F48" s="275">
        <f>D48/'- 7 -'!E48</f>
        <v>469.35725110162804</v>
      </c>
      <c r="G48" s="275">
        <f>SUM(G11:G46)</f>
        <v>80865312</v>
      </c>
      <c r="H48" s="276">
        <f>G48/'- 3 -'!D48*100</f>
        <v>3.4087346706470569</v>
      </c>
      <c r="I48" s="275">
        <f>G48/'- 7 -'!E48</f>
        <v>455.70333521821965</v>
      </c>
    </row>
    <row r="49" spans="1:9" ht="5.0999999999999996" customHeight="1" x14ac:dyDescent="0.2">
      <c r="A49" s="17" t="s">
        <v>1</v>
      </c>
      <c r="B49" s="18"/>
      <c r="C49" s="266"/>
      <c r="D49" s="18"/>
      <c r="E49" s="266"/>
      <c r="G49" s="18"/>
      <c r="H49" s="266"/>
      <c r="I49" s="18"/>
    </row>
    <row r="50" spans="1:9" ht="14.1" customHeight="1" x14ac:dyDescent="0.2">
      <c r="A50" s="15" t="s">
        <v>140</v>
      </c>
      <c r="B50" s="16">
        <f>SUM('- 24 -'!H50,'- 24 -'!F50,'- 24 -'!D50,'- 24 -'!B50)</f>
        <v>192618</v>
      </c>
      <c r="C50" s="267">
        <f>B50/'- 3 -'!D50*100</f>
        <v>5.4109827628828908</v>
      </c>
      <c r="D50" s="16">
        <f>SUM('- 25 -'!B50,'- 25 -'!E50,'- 25 -'!H50,'- 26 -'!B50)</f>
        <v>180370</v>
      </c>
      <c r="E50" s="267">
        <f>D50/'- 3 -'!D50*100</f>
        <v>5.0669146234577616</v>
      </c>
      <c r="F50" s="16">
        <f>D50/'- 7 -'!E50</f>
        <v>1113.3950617283951</v>
      </c>
      <c r="G50" s="16">
        <f>SUM('- 27 -'!B50,'- 27 -'!E50,'- 27 -'!H50,'- 28 -'!B50,'- 28 -'!E50)</f>
        <v>144458</v>
      </c>
      <c r="H50" s="267">
        <f>G50/'- 3 -'!D50*100</f>
        <v>4.0580825673640923</v>
      </c>
      <c r="I50" s="16">
        <f>G50/'- 7 -'!E50</f>
        <v>891.71604938271605</v>
      </c>
    </row>
    <row r="51" spans="1:9" ht="14.1" customHeight="1" x14ac:dyDescent="0.2">
      <c r="A51" s="360" t="s">
        <v>516</v>
      </c>
      <c r="B51" s="272">
        <f>SUM('- 24 -'!H51,'- 24 -'!F51,'- 24 -'!D51,'- 24 -'!B51)</f>
        <v>9675460</v>
      </c>
      <c r="C51" s="273">
        <f>B51/'- 3 -'!D51*100</f>
        <v>31.610810651163828</v>
      </c>
      <c r="D51" s="272">
        <f>SUM('- 25 -'!B51,'- 25 -'!E51,'- 25 -'!H51,'- 26 -'!B51)</f>
        <v>5257629</v>
      </c>
      <c r="E51" s="273">
        <f>D51/'- 3 -'!D51*100</f>
        <v>17.17726235166781</v>
      </c>
      <c r="F51" s="272">
        <f>D51/'- 7 -'!E51</f>
        <v>4932.1097560975613</v>
      </c>
      <c r="G51" s="272">
        <f>SUM('- 27 -'!B51,'- 27 -'!E51,'- 27 -'!H51,'- 28 -'!B51,'- 28 -'!E51)</f>
        <v>564120</v>
      </c>
      <c r="H51" s="273">
        <f>G51/'- 3 -'!D51*100</f>
        <v>1.8430431736097861</v>
      </c>
      <c r="I51" s="272">
        <f>G51/'- 7 -'!E51</f>
        <v>529.19324577861164</v>
      </c>
    </row>
    <row r="52" spans="1:9" ht="50.1" customHeight="1" x14ac:dyDescent="0.2"/>
    <row r="53" spans="1:9" ht="15" customHeight="1" x14ac:dyDescent="0.2">
      <c r="E53" s="126"/>
    </row>
    <row r="54" spans="1:9" ht="14.45" customHeight="1" x14ac:dyDescent="0.2">
      <c r="B54" s="72"/>
      <c r="C54" s="72"/>
      <c r="D54" s="72"/>
      <c r="E54" s="72"/>
      <c r="F54" s="72"/>
      <c r="G54" s="72"/>
      <c r="H54" s="72"/>
    </row>
    <row r="55" spans="1:9" ht="14.45" customHeight="1" x14ac:dyDescent="0.2"/>
    <row r="56" spans="1:9" ht="14.45" customHeight="1" x14ac:dyDescent="0.2"/>
    <row r="57" spans="1:9" ht="14.45" customHeight="1" x14ac:dyDescent="0.2"/>
    <row r="58" spans="1:9" ht="14.45" customHeight="1" x14ac:dyDescent="0.2"/>
    <row r="59" spans="1:9" ht="14.45" customHeight="1" x14ac:dyDescent="0.2"/>
  </sheetData>
  <mergeCells count="5">
    <mergeCell ref="B6:C7"/>
    <mergeCell ref="D6:F7"/>
    <mergeCell ref="G6:I7"/>
    <mergeCell ref="F8:F9"/>
    <mergeCell ref="I8:I9"/>
  </mergeCells>
  <phoneticPr fontId="0" type="noConversion"/>
  <printOptions horizontalCentered="1"/>
  <pageMargins left="0.5" right="0.5" top="0.6" bottom="0" header="0.3" footer="0"/>
  <pageSetup scale="90" orientation="portrait" r:id="rId1"/>
  <headerFooter alignWithMargins="0">
    <oddHeader>&amp;C&amp;"Arial,Bold"&amp;10&amp;A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59"/>
  <sheetViews>
    <sheetView showGridLines="0" showZeros="0" workbookViewId="0"/>
  </sheetViews>
  <sheetFormatPr defaultColWidth="15.83203125" defaultRowHeight="12" x14ac:dyDescent="0.2"/>
  <cols>
    <col min="1" max="1" width="32.83203125" style="1" customWidth="1"/>
    <col min="2" max="2" width="13" style="1" customWidth="1"/>
    <col min="3" max="3" width="7.83203125" style="1" customWidth="1"/>
    <col min="4" max="4" width="9.83203125" style="1" customWidth="1"/>
    <col min="5" max="5" width="13.33203125" style="1" bestFit="1" customWidth="1"/>
    <col min="6" max="6" width="7.83203125" style="1" customWidth="1"/>
    <col min="7" max="7" width="9.83203125" style="1" customWidth="1"/>
    <col min="8" max="8" width="12" style="1" bestFit="1" customWidth="1"/>
    <col min="9" max="9" width="7.83203125" style="1" customWidth="1"/>
    <col min="10" max="10" width="9.83203125" style="1" customWidth="1"/>
    <col min="11" max="16384" width="15.83203125" style="1"/>
  </cols>
  <sheetData>
    <row r="1" spans="1:10" ht="6.95" customHeight="1" x14ac:dyDescent="0.2">
      <c r="A1" s="3"/>
      <c r="B1" s="4"/>
      <c r="C1" s="4"/>
      <c r="D1" s="4"/>
      <c r="E1" s="4"/>
      <c r="F1" s="4"/>
      <c r="G1" s="4"/>
      <c r="H1" s="4"/>
      <c r="I1" s="4"/>
      <c r="J1" s="4"/>
    </row>
    <row r="2" spans="1:10" ht="15.95" customHeight="1" x14ac:dyDescent="0.2">
      <c r="A2" s="132"/>
      <c r="B2" s="5" t="str">
        <f>AEXP_BF</f>
        <v>ANALYSIS OF EXPENSE BY FUNCTION</v>
      </c>
      <c r="C2" s="6"/>
      <c r="D2" s="6"/>
      <c r="E2" s="6"/>
      <c r="F2" s="6"/>
      <c r="G2" s="6"/>
      <c r="H2" s="85"/>
      <c r="I2" s="85"/>
      <c r="J2" s="150" t="s">
        <v>3</v>
      </c>
    </row>
    <row r="3" spans="1:10" ht="15.95" customHeight="1" x14ac:dyDescent="0.2">
      <c r="A3" s="135"/>
      <c r="B3" s="7" t="str">
        <f>+'- 16 -'!B3</f>
        <v>OPERATING FUND 2017/2018 BUDGET</v>
      </c>
      <c r="C3" s="8"/>
      <c r="D3" s="8"/>
      <c r="E3" s="8"/>
      <c r="F3" s="8"/>
      <c r="G3" s="8"/>
      <c r="H3" s="87"/>
      <c r="I3" s="87"/>
      <c r="J3" s="81"/>
    </row>
    <row r="4" spans="1:10" ht="15.95" customHeight="1" x14ac:dyDescent="0.2">
      <c r="B4" s="4"/>
      <c r="C4" s="4"/>
      <c r="D4" s="4"/>
      <c r="E4" s="4"/>
      <c r="F4" s="4"/>
      <c r="G4" s="4"/>
      <c r="H4" s="4"/>
      <c r="I4" s="4"/>
      <c r="J4" s="4"/>
    </row>
    <row r="5" spans="1:10" ht="15.95" customHeight="1" x14ac:dyDescent="0.2">
      <c r="B5" s="4"/>
      <c r="C5" s="4"/>
      <c r="D5" s="4"/>
      <c r="E5" s="4"/>
      <c r="F5" s="4"/>
      <c r="G5" s="4"/>
      <c r="H5" s="4"/>
      <c r="I5" s="4"/>
      <c r="J5" s="4"/>
    </row>
    <row r="6" spans="1:10" ht="15.95" customHeight="1" x14ac:dyDescent="0.2">
      <c r="B6" s="620" t="s">
        <v>401</v>
      </c>
      <c r="C6" s="630"/>
      <c r="D6" s="621"/>
      <c r="E6" s="624" t="s">
        <v>65</v>
      </c>
      <c r="F6" s="630"/>
      <c r="G6" s="621"/>
      <c r="H6" s="626" t="s">
        <v>24</v>
      </c>
      <c r="I6" s="632"/>
      <c r="J6" s="633"/>
    </row>
    <row r="7" spans="1:10" ht="15.95" customHeight="1" x14ac:dyDescent="0.2">
      <c r="B7" s="622"/>
      <c r="C7" s="631"/>
      <c r="D7" s="623"/>
      <c r="E7" s="622"/>
      <c r="F7" s="631"/>
      <c r="G7" s="623"/>
      <c r="H7" s="634"/>
      <c r="I7" s="635"/>
      <c r="J7" s="636"/>
    </row>
    <row r="8" spans="1:10" ht="15.95" customHeight="1" x14ac:dyDescent="0.2">
      <c r="A8" s="82"/>
      <c r="B8" s="138"/>
      <c r="C8" s="137"/>
      <c r="D8" s="538" t="s">
        <v>396</v>
      </c>
      <c r="E8" s="138"/>
      <c r="F8" s="137"/>
      <c r="G8" s="538" t="s">
        <v>396</v>
      </c>
      <c r="H8" s="138"/>
      <c r="I8" s="137"/>
      <c r="J8" s="538" t="s">
        <v>396</v>
      </c>
    </row>
    <row r="9" spans="1:10" ht="15.95" customHeight="1" x14ac:dyDescent="0.2">
      <c r="A9" s="27" t="s">
        <v>37</v>
      </c>
      <c r="B9" s="89" t="s">
        <v>38</v>
      </c>
      <c r="C9" s="89" t="s">
        <v>39</v>
      </c>
      <c r="D9" s="578"/>
      <c r="E9" s="89" t="s">
        <v>38</v>
      </c>
      <c r="F9" s="89" t="s">
        <v>39</v>
      </c>
      <c r="G9" s="540"/>
      <c r="H9" s="89" t="s">
        <v>38</v>
      </c>
      <c r="I9" s="89" t="s">
        <v>39</v>
      </c>
      <c r="J9" s="540"/>
    </row>
    <row r="10" spans="1:10" ht="5.0999999999999996" customHeight="1" x14ac:dyDescent="0.2">
      <c r="A10" s="29"/>
    </row>
    <row r="11" spans="1:10" ht="14.1" customHeight="1" x14ac:dyDescent="0.2">
      <c r="A11" s="271" t="s">
        <v>104</v>
      </c>
      <c r="B11" s="272">
        <f>SUM('- 30 -'!D11,'- 30 -'!B11,'- 29 -'!F11,'- 29 -'!D11,'- 29 -'!B11)</f>
        <v>1329200</v>
      </c>
      <c r="C11" s="273">
        <f>B11/'- 3 -'!D11*100</f>
        <v>6.5891311854774992</v>
      </c>
      <c r="D11" s="272">
        <f>B11/'- 7 -'!E11</f>
        <v>740.08908685968822</v>
      </c>
      <c r="E11" s="272">
        <f>SUM('- 32 -'!D11,'- 32 -'!B11,'- 31 -'!F11,'- 31 -'!D11,'- 31 -'!B11)</f>
        <v>1909875</v>
      </c>
      <c r="F11" s="273">
        <f>E11/'- 3 -'!D11*100</f>
        <v>9.4676624457296406</v>
      </c>
      <c r="G11" s="272">
        <f>E11/'- 7 -'!E11</f>
        <v>1063.4047884187082</v>
      </c>
      <c r="H11" s="272">
        <f>SUM('- 33 -'!B11,'- 33 -'!D11)</f>
        <v>354000</v>
      </c>
      <c r="I11" s="273">
        <f>H11/'- 3 -'!D11*100</f>
        <v>1.7548543783170591</v>
      </c>
      <c r="J11" s="272">
        <f>H11/'- 7 -'!E11</f>
        <v>197.10467706013364</v>
      </c>
    </row>
    <row r="12" spans="1:10" ht="14.1" customHeight="1" x14ac:dyDescent="0.2">
      <c r="A12" s="15" t="s">
        <v>105</v>
      </c>
      <c r="B12" s="16">
        <f>SUM('- 30 -'!D12,'- 30 -'!B12,'- 29 -'!F12,'- 29 -'!D12,'- 29 -'!B12)</f>
        <v>2578405</v>
      </c>
      <c r="C12" s="267">
        <f>B12/'- 3 -'!D12*100</f>
        <v>7.3602167411778687</v>
      </c>
      <c r="D12" s="16">
        <f>B12/'- 7 -'!E12</f>
        <v>1199.2581395348836</v>
      </c>
      <c r="E12" s="16">
        <f>SUM('- 32 -'!D12,'- 32 -'!B12,'- 31 -'!F12,'- 31 -'!D12,'- 31 -'!B12)</f>
        <v>3437213</v>
      </c>
      <c r="F12" s="267">
        <f>E12/'- 3 -'!D12*100</f>
        <v>9.8117373591791086</v>
      </c>
      <c r="G12" s="16">
        <f>E12/'- 7 -'!E12</f>
        <v>1598.7037209302325</v>
      </c>
      <c r="H12" s="16">
        <f>SUM('- 33 -'!B12,'- 33 -'!D12)</f>
        <v>542056</v>
      </c>
      <c r="I12" s="267">
        <f>H12/'- 3 -'!D12*100</f>
        <v>1.5473324190171487</v>
      </c>
      <c r="J12" s="16">
        <f>H12/'- 7 -'!E12</f>
        <v>252.11906976744186</v>
      </c>
    </row>
    <row r="13" spans="1:10" ht="14.1" customHeight="1" x14ac:dyDescent="0.2">
      <c r="A13" s="271" t="s">
        <v>106</v>
      </c>
      <c r="B13" s="272">
        <f>SUM('- 30 -'!D13,'- 30 -'!B13,'- 29 -'!F13,'- 29 -'!D13,'- 29 -'!B13)</f>
        <v>2509500</v>
      </c>
      <c r="C13" s="273">
        <f>B13/'- 3 -'!D13*100</f>
        <v>2.4641110740166141</v>
      </c>
      <c r="D13" s="272">
        <f>B13/'- 7 -'!E13</f>
        <v>294.19695193434933</v>
      </c>
      <c r="E13" s="272">
        <f>SUM('- 32 -'!D13,'- 32 -'!B13,'- 31 -'!F13,'- 31 -'!D13,'- 31 -'!B13)</f>
        <v>8465500</v>
      </c>
      <c r="F13" s="273">
        <f>E13/'- 3 -'!D13*100</f>
        <v>8.312385852595197</v>
      </c>
      <c r="G13" s="272">
        <f>E13/'- 7 -'!E13</f>
        <v>992.43845252051585</v>
      </c>
      <c r="H13" s="272">
        <f>SUM('- 33 -'!B13,'- 33 -'!D13)</f>
        <v>1770200</v>
      </c>
      <c r="I13" s="273">
        <f>H13/'- 3 -'!D13*100</f>
        <v>1.738182675124212</v>
      </c>
      <c r="J13" s="272">
        <f>H13/'- 7 -'!E13</f>
        <v>207.52637749120751</v>
      </c>
    </row>
    <row r="14" spans="1:10" ht="14.1" customHeight="1" x14ac:dyDescent="0.2">
      <c r="A14" s="15" t="s">
        <v>315</v>
      </c>
      <c r="B14" s="16">
        <f>SUM('- 30 -'!D14,'- 30 -'!B14,'- 29 -'!F14,'- 29 -'!D14,'- 29 -'!B14)</f>
        <v>9481162</v>
      </c>
      <c r="C14" s="267">
        <f>B14/'- 3 -'!D14*100</f>
        <v>10.502481250494597</v>
      </c>
      <c r="D14" s="16">
        <f>B14/'- 7 -'!E14</f>
        <v>1702.1834829443446</v>
      </c>
      <c r="E14" s="16">
        <f>SUM('- 32 -'!D14,'- 32 -'!B14,'- 31 -'!F14,'- 31 -'!D14,'- 31 -'!B14)</f>
        <v>10298031</v>
      </c>
      <c r="F14" s="267">
        <f>E14/'- 3 -'!D14*100</f>
        <v>11.4073441097739</v>
      </c>
      <c r="G14" s="16">
        <f>E14/'- 7 -'!E14</f>
        <v>1848.8385996409336</v>
      </c>
      <c r="H14" s="16">
        <f>SUM('- 33 -'!B14,'- 33 -'!D14)</f>
        <v>1389214</v>
      </c>
      <c r="I14" s="267">
        <f>H14/'- 3 -'!D14*100</f>
        <v>1.5388613745788335</v>
      </c>
      <c r="J14" s="16">
        <f>H14/'- 7 -'!E14</f>
        <v>249.41005385996408</v>
      </c>
    </row>
    <row r="15" spans="1:10" ht="14.1" customHeight="1" x14ac:dyDescent="0.2">
      <c r="A15" s="271" t="s">
        <v>107</v>
      </c>
      <c r="B15" s="272">
        <f>SUM('- 30 -'!D15,'- 30 -'!B15,'- 29 -'!F15,'- 29 -'!D15,'- 29 -'!B15)</f>
        <v>1580250</v>
      </c>
      <c r="C15" s="273">
        <f>B15/'- 3 -'!D15*100</f>
        <v>7.6288850709731317</v>
      </c>
      <c r="D15" s="272">
        <f>B15/'- 7 -'!E15</f>
        <v>1146.7706821480406</v>
      </c>
      <c r="E15" s="272">
        <f>SUM('- 32 -'!D15,'- 32 -'!B15,'- 31 -'!F15,'- 31 -'!D15,'- 31 -'!B15)</f>
        <v>2679250</v>
      </c>
      <c r="F15" s="273">
        <f>E15/'- 3 -'!D15*100</f>
        <v>12.934466272048576</v>
      </c>
      <c r="G15" s="272">
        <f>E15/'- 7 -'!E15</f>
        <v>1944.3033381712628</v>
      </c>
      <c r="H15" s="272">
        <f>SUM('- 33 -'!B15,'- 33 -'!D15)</f>
        <v>330000</v>
      </c>
      <c r="I15" s="273">
        <f>H15/'- 3 -'!D15*100</f>
        <v>1.5931226536441281</v>
      </c>
      <c r="J15" s="272">
        <f>H15/'- 7 -'!E15</f>
        <v>239.47750362844704</v>
      </c>
    </row>
    <row r="16" spans="1:10" ht="14.1" customHeight="1" x14ac:dyDescent="0.2">
      <c r="A16" s="15" t="s">
        <v>108</v>
      </c>
      <c r="B16" s="16">
        <f>SUM('- 30 -'!D16,'- 30 -'!B16,'- 29 -'!F16,'- 29 -'!D16,'- 29 -'!B16)</f>
        <v>571448</v>
      </c>
      <c r="C16" s="267">
        <f>B16/'- 3 -'!D16*100</f>
        <v>3.8635378379905996</v>
      </c>
      <c r="D16" s="16">
        <f>B16/'- 7 -'!E16</f>
        <v>616.11644204851757</v>
      </c>
      <c r="E16" s="16">
        <f>SUM('- 32 -'!D16,'- 32 -'!B16,'- 31 -'!F16,'- 31 -'!D16,'- 31 -'!B16)</f>
        <v>2244035</v>
      </c>
      <c r="F16" s="267">
        <f>E16/'- 3 -'!D16*100</f>
        <v>15.171833889129429</v>
      </c>
      <c r="G16" s="16">
        <f>E16/'- 7 -'!E16</f>
        <v>2419.4447439353098</v>
      </c>
      <c r="H16" s="16">
        <f>SUM('- 33 -'!B16,'- 33 -'!D16)</f>
        <v>231864</v>
      </c>
      <c r="I16" s="267">
        <f>H16/'- 3 -'!D16*100</f>
        <v>1.5676235410183468</v>
      </c>
      <c r="J16" s="16">
        <f>H16/'- 7 -'!E16</f>
        <v>249.98814016172506</v>
      </c>
    </row>
    <row r="17" spans="1:10" ht="14.1" customHeight="1" x14ac:dyDescent="0.2">
      <c r="A17" s="271" t="s">
        <v>109</v>
      </c>
      <c r="B17" s="272">
        <f>SUM('- 30 -'!D17,'- 30 -'!B17,'- 29 -'!F17,'- 29 -'!D17,'- 29 -'!B17)</f>
        <v>1421062</v>
      </c>
      <c r="C17" s="273">
        <f>B17/'- 3 -'!D17*100</f>
        <v>7.5991133007771081</v>
      </c>
      <c r="D17" s="272">
        <f>B17/'- 7 -'!E17</f>
        <v>1008.9187078452254</v>
      </c>
      <c r="E17" s="272">
        <f>SUM('- 32 -'!D17,'- 32 -'!B17,'- 31 -'!F17,'- 31 -'!D17,'- 31 -'!B17)</f>
        <v>1984775</v>
      </c>
      <c r="F17" s="273">
        <f>E17/'- 3 -'!D17*100</f>
        <v>10.613562322790902</v>
      </c>
      <c r="G17" s="272">
        <f>E17/'- 7 -'!E17</f>
        <v>1409.1409300674477</v>
      </c>
      <c r="H17" s="272">
        <f>SUM('- 33 -'!B17,'- 33 -'!D17)</f>
        <v>378000</v>
      </c>
      <c r="I17" s="273">
        <f>H17/'- 3 -'!D17*100</f>
        <v>2.0213508120643202</v>
      </c>
      <c r="J17" s="272">
        <f>H17/'- 7 -'!E17</f>
        <v>268.37060702875397</v>
      </c>
    </row>
    <row r="18" spans="1:10" ht="14.1" customHeight="1" x14ac:dyDescent="0.2">
      <c r="A18" s="15" t="s">
        <v>110</v>
      </c>
      <c r="B18" s="16">
        <f>SUM('- 30 -'!D18,'- 30 -'!B18,'- 29 -'!F18,'- 29 -'!D18,'- 29 -'!B18)</f>
        <v>11491322</v>
      </c>
      <c r="C18" s="267">
        <f>B18/'- 3 -'!D18*100</f>
        <v>8.7219697780337206</v>
      </c>
      <c r="D18" s="16">
        <f>B18/'- 7 -'!E18</f>
        <v>1879.2637535160593</v>
      </c>
      <c r="E18" s="16">
        <f>SUM('- 32 -'!D18,'- 32 -'!B18,'- 31 -'!F18,'- 31 -'!D18,'- 31 -'!B18)</f>
        <v>23178918</v>
      </c>
      <c r="F18" s="267">
        <f>E18/'- 3 -'!D18*100</f>
        <v>17.592912485049311</v>
      </c>
      <c r="G18" s="16">
        <f>E18/'- 7 -'!E18</f>
        <v>3790.6256950349971</v>
      </c>
      <c r="H18" s="16">
        <f>SUM('- 33 -'!B18,'- 33 -'!D18)</f>
        <v>1300000</v>
      </c>
      <c r="I18" s="267">
        <f>H18/'- 3 -'!D18*100</f>
        <v>0.98670637820816764</v>
      </c>
      <c r="J18" s="16">
        <f>H18/'- 7 -'!E18</f>
        <v>212.59894027605154</v>
      </c>
    </row>
    <row r="19" spans="1:10" ht="14.1" customHeight="1" x14ac:dyDescent="0.2">
      <c r="A19" s="271" t="s">
        <v>111</v>
      </c>
      <c r="B19" s="272">
        <f>SUM('- 30 -'!D19,'- 30 -'!B19,'- 29 -'!F19,'- 29 -'!D19,'- 29 -'!B19)</f>
        <v>3279330</v>
      </c>
      <c r="C19" s="273">
        <f>B19/'- 3 -'!D19*100</f>
        <v>6.7292164317454333</v>
      </c>
      <c r="D19" s="272">
        <f>B19/'- 7 -'!E19</f>
        <v>755.86723521954593</v>
      </c>
      <c r="E19" s="272">
        <f>SUM('- 32 -'!D19,'- 32 -'!B19,'- 31 -'!F19,'- 31 -'!D19,'- 31 -'!B19)</f>
        <v>4329950</v>
      </c>
      <c r="F19" s="273">
        <f>E19/'- 3 -'!D19*100</f>
        <v>8.88509869047523</v>
      </c>
      <c r="G19" s="272">
        <f>E19/'- 7 -'!E19</f>
        <v>998.02927279013488</v>
      </c>
      <c r="H19" s="272">
        <f>SUM('- 33 -'!B19,'- 33 -'!D19)</f>
        <v>830000</v>
      </c>
      <c r="I19" s="273">
        <f>H19/'- 3 -'!D19*100</f>
        <v>1.7031679148938075</v>
      </c>
      <c r="J19" s="272">
        <f>H19/'- 7 -'!E19</f>
        <v>191.31036072375244</v>
      </c>
    </row>
    <row r="20" spans="1:10" ht="14.1" customHeight="1" x14ac:dyDescent="0.2">
      <c r="A20" s="15" t="s">
        <v>112</v>
      </c>
      <c r="B20" s="16">
        <f>SUM('- 30 -'!D20,'- 30 -'!B20,'- 29 -'!F20,'- 29 -'!D20,'- 29 -'!B20)</f>
        <v>3959100</v>
      </c>
      <c r="C20" s="267">
        <f>B20/'- 3 -'!D20*100</f>
        <v>4.6633167959971171</v>
      </c>
      <c r="D20" s="16">
        <f>B20/'- 7 -'!E20</f>
        <v>511.18140735958684</v>
      </c>
      <c r="E20" s="16">
        <f>SUM('- 32 -'!D20,'- 32 -'!B20,'- 31 -'!F20,'- 31 -'!D20,'- 31 -'!B20)</f>
        <v>9679800</v>
      </c>
      <c r="F20" s="267">
        <f>E20/'- 3 -'!D20*100</f>
        <v>11.401574580559442</v>
      </c>
      <c r="G20" s="16">
        <f>E20/'- 7 -'!E20</f>
        <v>1249.8127824402841</v>
      </c>
      <c r="H20" s="16">
        <f>SUM('- 33 -'!B20,'- 33 -'!D20)</f>
        <v>1573200</v>
      </c>
      <c r="I20" s="267">
        <f>H20/'- 3 -'!D20*100</f>
        <v>1.853029724801764</v>
      </c>
      <c r="J20" s="16">
        <f>H20/'- 7 -'!E20</f>
        <v>203.12459651387994</v>
      </c>
    </row>
    <row r="21" spans="1:10" ht="14.1" customHeight="1" x14ac:dyDescent="0.2">
      <c r="A21" s="271" t="s">
        <v>113</v>
      </c>
      <c r="B21" s="272">
        <f>SUM('- 30 -'!D21,'- 30 -'!B21,'- 29 -'!F21,'- 29 -'!D21,'- 29 -'!B21)</f>
        <v>2207000</v>
      </c>
      <c r="C21" s="273">
        <f>B21/'- 3 -'!D21*100</f>
        <v>5.9424761843217722</v>
      </c>
      <c r="D21" s="272">
        <f>B21/'- 7 -'!E21</f>
        <v>800.94356741063325</v>
      </c>
      <c r="E21" s="272">
        <f>SUM('- 32 -'!D21,'- 32 -'!B21,'- 31 -'!F21,'- 31 -'!D21,'- 31 -'!B21)</f>
        <v>3623000</v>
      </c>
      <c r="F21" s="273">
        <f>E21/'- 3 -'!D21*100</f>
        <v>9.7551387475295783</v>
      </c>
      <c r="G21" s="272">
        <f>E21/'- 7 -'!E21</f>
        <v>1314.824895663219</v>
      </c>
      <c r="H21" s="272">
        <f>SUM('- 33 -'!B21,'- 33 -'!D21)</f>
        <v>665600</v>
      </c>
      <c r="I21" s="273">
        <f>H21/'- 3 -'!D21*100</f>
        <v>1.7921668093722569</v>
      </c>
      <c r="J21" s="272">
        <f>H21/'- 7 -'!E21</f>
        <v>241.55325712211939</v>
      </c>
    </row>
    <row r="22" spans="1:10" ht="14.1" customHeight="1" x14ac:dyDescent="0.2">
      <c r="A22" s="15" t="s">
        <v>114</v>
      </c>
      <c r="B22" s="16">
        <f>SUM('- 30 -'!D22,'- 30 -'!B22,'- 29 -'!F22,'- 29 -'!D22,'- 29 -'!B22)</f>
        <v>645294</v>
      </c>
      <c r="C22" s="267">
        <f>B22/'- 3 -'!D22*100</f>
        <v>3.0266519514886925</v>
      </c>
      <c r="D22" s="16">
        <f>B22/'- 7 -'!E22</f>
        <v>424.75908372827803</v>
      </c>
      <c r="E22" s="16">
        <f>SUM('- 32 -'!D22,'- 32 -'!B22,'- 31 -'!F22,'- 31 -'!D22,'- 31 -'!B22)</f>
        <v>2538930</v>
      </c>
      <c r="F22" s="267">
        <f>E22/'- 3 -'!D22*100</f>
        <v>11.908459460638385</v>
      </c>
      <c r="G22" s="16">
        <f>E22/'- 7 -'!E22</f>
        <v>1671.2282780410742</v>
      </c>
      <c r="H22" s="16">
        <f>SUM('- 33 -'!B22,'- 33 -'!D22)</f>
        <v>365000</v>
      </c>
      <c r="I22" s="267">
        <f>H22/'- 3 -'!D22*100</f>
        <v>1.7119761880528452</v>
      </c>
      <c r="J22" s="16">
        <f>H22/'- 7 -'!E22</f>
        <v>240.25803054239071</v>
      </c>
    </row>
    <row r="23" spans="1:10" ht="14.1" customHeight="1" x14ac:dyDescent="0.2">
      <c r="A23" s="271" t="s">
        <v>115</v>
      </c>
      <c r="B23" s="272">
        <f>SUM('- 30 -'!D23,'- 30 -'!B23,'- 29 -'!F23,'- 29 -'!D23,'- 29 -'!B23)</f>
        <v>1700815</v>
      </c>
      <c r="C23" s="273">
        <f>B23/'- 3 -'!D23*100</f>
        <v>10.103060645569665</v>
      </c>
      <c r="D23" s="272">
        <f>B23/'- 7 -'!E23</f>
        <v>1539.1990950226245</v>
      </c>
      <c r="E23" s="272">
        <f>SUM('- 32 -'!D23,'- 32 -'!B23,'- 31 -'!F23,'- 31 -'!D23,'- 31 -'!B23)</f>
        <v>1551207</v>
      </c>
      <c r="F23" s="273">
        <f>E23/'- 3 -'!D23*100</f>
        <v>9.2143698137846766</v>
      </c>
      <c r="G23" s="272">
        <f>E23/'- 7 -'!E23</f>
        <v>1403.8072398190045</v>
      </c>
      <c r="H23" s="272">
        <f>SUM('- 33 -'!B23,'- 33 -'!D23)</f>
        <v>255000</v>
      </c>
      <c r="I23" s="273">
        <f>H23/'- 3 -'!D23*100</f>
        <v>1.5147329160551055</v>
      </c>
      <c r="J23" s="272">
        <f>H23/'- 7 -'!E23</f>
        <v>230.76923076923077</v>
      </c>
    </row>
    <row r="24" spans="1:10" ht="14.1" customHeight="1" x14ac:dyDescent="0.2">
      <c r="A24" s="15" t="s">
        <v>116</v>
      </c>
      <c r="B24" s="16">
        <f>SUM('- 30 -'!D24,'- 30 -'!B24,'- 29 -'!F24,'- 29 -'!D24,'- 29 -'!B24)</f>
        <v>2700595</v>
      </c>
      <c r="C24" s="267">
        <f>B24/'- 3 -'!D24*100</f>
        <v>4.6227733925502248</v>
      </c>
      <c r="D24" s="16">
        <f>B24/'- 7 -'!E24</f>
        <v>693.43818205161119</v>
      </c>
      <c r="E24" s="16">
        <f>SUM('- 32 -'!D24,'- 32 -'!B24,'- 31 -'!F24,'- 31 -'!D24,'- 31 -'!B24)</f>
        <v>6572130</v>
      </c>
      <c r="F24" s="267">
        <f>E24/'- 3 -'!D24*100</f>
        <v>11.249916294883572</v>
      </c>
      <c r="G24" s="16">
        <f>E24/'- 7 -'!E24</f>
        <v>1687.5414045448711</v>
      </c>
      <c r="H24" s="16">
        <f>SUM('- 33 -'!B24,'- 33 -'!D24)</f>
        <v>1020000</v>
      </c>
      <c r="I24" s="267">
        <f>H24/'- 3 -'!D24*100</f>
        <v>1.7459962935579858</v>
      </c>
      <c r="J24" s="16">
        <f>H24/'- 7 -'!E24</f>
        <v>261.90781871870587</v>
      </c>
    </row>
    <row r="25" spans="1:10" ht="14.1" customHeight="1" x14ac:dyDescent="0.2">
      <c r="A25" s="271" t="s">
        <v>117</v>
      </c>
      <c r="B25" s="272">
        <f>SUM('- 30 -'!D25,'- 30 -'!B25,'- 29 -'!F25,'- 29 -'!D25,'- 29 -'!B25)</f>
        <v>4072254</v>
      </c>
      <c r="C25" s="273">
        <f>B25/'- 3 -'!D25*100</f>
        <v>2.2371079751264933</v>
      </c>
      <c r="D25" s="272">
        <f>B25/'- 7 -'!E25</f>
        <v>281.37875280704787</v>
      </c>
      <c r="E25" s="272">
        <f>SUM('- 32 -'!D25,'- 32 -'!B25,'- 31 -'!F25,'- 31 -'!D25,'- 31 -'!B25)</f>
        <v>18088289</v>
      </c>
      <c r="F25" s="273">
        <f>E25/'- 3 -'!D25*100</f>
        <v>9.9368692567538321</v>
      </c>
      <c r="G25" s="272">
        <f>E25/'- 7 -'!E25</f>
        <v>1249.838590430126</v>
      </c>
      <c r="H25" s="272">
        <f>SUM('- 33 -'!B25,'- 33 -'!D25)</f>
        <v>3091506</v>
      </c>
      <c r="I25" s="273">
        <f>H25/'- 3 -'!D25*100</f>
        <v>1.6983303909214418</v>
      </c>
      <c r="J25" s="272">
        <f>H25/'- 7 -'!E25</f>
        <v>213.61243738124028</v>
      </c>
    </row>
    <row r="26" spans="1:10" ht="14.1" customHeight="1" x14ac:dyDescent="0.2">
      <c r="A26" s="15" t="s">
        <v>118</v>
      </c>
      <c r="B26" s="16">
        <f>SUM('- 30 -'!D26,'- 30 -'!B26,'- 29 -'!F26,'- 29 -'!D26,'- 29 -'!B26)</f>
        <v>3172987</v>
      </c>
      <c r="C26" s="267">
        <f>B26/'- 3 -'!D26*100</f>
        <v>7.7071383283000312</v>
      </c>
      <c r="D26" s="16">
        <f>B26/'- 7 -'!E26</f>
        <v>1040.3236065573772</v>
      </c>
      <c r="E26" s="16">
        <f>SUM('- 32 -'!D26,'- 32 -'!B26,'- 31 -'!F26,'- 31 -'!D26,'- 31 -'!B26)</f>
        <v>5168741</v>
      </c>
      <c r="F26" s="267">
        <f>E26/'- 3 -'!D26*100</f>
        <v>12.554795172547454</v>
      </c>
      <c r="G26" s="16">
        <f>E26/'- 7 -'!E26</f>
        <v>1694.6691803278688</v>
      </c>
      <c r="H26" s="16">
        <f>SUM('- 33 -'!B26,'- 33 -'!D26)</f>
        <v>779567</v>
      </c>
      <c r="I26" s="267">
        <f>H26/'- 3 -'!D26*100</f>
        <v>1.8935566723651469</v>
      </c>
      <c r="J26" s="16">
        <f>H26/'- 7 -'!E26</f>
        <v>255.59573770491804</v>
      </c>
    </row>
    <row r="27" spans="1:10" ht="14.1" customHeight="1" x14ac:dyDescent="0.2">
      <c r="A27" s="271" t="s">
        <v>119</v>
      </c>
      <c r="B27" s="272">
        <f>SUM('- 30 -'!D27,'- 30 -'!B27,'- 29 -'!F27,'- 29 -'!D27,'- 29 -'!B27)</f>
        <v>365000</v>
      </c>
      <c r="C27" s="273">
        <f>B27/'- 3 -'!D27*100</f>
        <v>0.8286899451802302</v>
      </c>
      <c r="D27" s="272">
        <f>B27/'- 7 -'!E27</f>
        <v>122.05491754724554</v>
      </c>
      <c r="E27" s="272">
        <f>SUM('- 32 -'!D27,'- 32 -'!B27,'- 31 -'!F27,'- 31 -'!D27,'- 31 -'!B27)</f>
        <v>5315787</v>
      </c>
      <c r="F27" s="273">
        <f>E27/'- 3 -'!D27*100</f>
        <v>12.068874623615839</v>
      </c>
      <c r="G27" s="272">
        <f>E27/'- 7 -'!E27</f>
        <v>1777.5834081745745</v>
      </c>
      <c r="H27" s="272">
        <f>SUM('- 33 -'!B27,'- 33 -'!D27)</f>
        <v>722117</v>
      </c>
      <c r="I27" s="273">
        <f>H27/'- 3 -'!D27*100</f>
        <v>1.639482457927979</v>
      </c>
      <c r="J27" s="272">
        <f>H27/'- 7 -'!E27</f>
        <v>241.47378327250493</v>
      </c>
    </row>
    <row r="28" spans="1:10" ht="14.1" customHeight="1" x14ac:dyDescent="0.2">
      <c r="A28" s="15" t="s">
        <v>120</v>
      </c>
      <c r="B28" s="16">
        <f>SUM('- 30 -'!D28,'- 30 -'!B28,'- 29 -'!F28,'- 29 -'!D28,'- 29 -'!B28)</f>
        <v>1994985</v>
      </c>
      <c r="C28" s="267">
        <f>B28/'- 3 -'!D28*100</f>
        <v>6.9040223967478385</v>
      </c>
      <c r="D28" s="16">
        <f>B28/'- 7 -'!E28</f>
        <v>1018.3690658499235</v>
      </c>
      <c r="E28" s="16">
        <f>SUM('- 32 -'!D28,'- 32 -'!B28,'- 31 -'!F28,'- 31 -'!D28,'- 31 -'!B28)</f>
        <v>3452825</v>
      </c>
      <c r="F28" s="267">
        <f>E28/'- 3 -'!D28*100</f>
        <v>11.949153067341788</v>
      </c>
      <c r="G28" s="16">
        <f>E28/'- 7 -'!E28</f>
        <v>1762.5446656457377</v>
      </c>
      <c r="H28" s="16">
        <f>SUM('- 33 -'!B28,'- 33 -'!D28)</f>
        <v>442000</v>
      </c>
      <c r="I28" s="267">
        <f>H28/'- 3 -'!D28*100</f>
        <v>1.5296244830725769</v>
      </c>
      <c r="J28" s="16">
        <f>H28/'- 7 -'!E28</f>
        <v>225.6253190403267</v>
      </c>
    </row>
    <row r="29" spans="1:10" ht="14.1" customHeight="1" x14ac:dyDescent="0.2">
      <c r="A29" s="271" t="s">
        <v>121</v>
      </c>
      <c r="B29" s="272">
        <f>SUM('- 30 -'!D29,'- 30 -'!B29,'- 29 -'!F29,'- 29 -'!D29,'- 29 -'!B29)</f>
        <v>3452700</v>
      </c>
      <c r="C29" s="273">
        <f>B29/'- 3 -'!D29*100</f>
        <v>2.1004704531845761</v>
      </c>
      <c r="D29" s="272">
        <f>B29/'- 7 -'!E29</f>
        <v>264.29320493880084</v>
      </c>
      <c r="E29" s="272">
        <f>SUM('- 32 -'!D29,'- 32 -'!B29,'- 31 -'!F29,'- 31 -'!D29,'- 31 -'!B29)</f>
        <v>19338372</v>
      </c>
      <c r="F29" s="273">
        <f>E29/'- 3 -'!D29*100</f>
        <v>11.764612911255517</v>
      </c>
      <c r="G29" s="272">
        <f>E29/'- 7 -'!E29</f>
        <v>1480.290877915477</v>
      </c>
      <c r="H29" s="272">
        <f>SUM('- 33 -'!B29,'- 33 -'!D29)</f>
        <v>2858000</v>
      </c>
      <c r="I29" s="273">
        <f>H29/'- 3 -'!D29*100</f>
        <v>1.7386811930377728</v>
      </c>
      <c r="J29" s="272">
        <f>H29/'- 7 -'!E29</f>
        <v>218.77081116665008</v>
      </c>
    </row>
    <row r="30" spans="1:10" ht="14.1" customHeight="1" x14ac:dyDescent="0.2">
      <c r="A30" s="15" t="s">
        <v>122</v>
      </c>
      <c r="B30" s="16">
        <f>SUM('- 30 -'!D30,'- 30 -'!B30,'- 29 -'!F30,'- 29 -'!D30,'- 29 -'!B30)</f>
        <v>1281680</v>
      </c>
      <c r="C30" s="267">
        <f>B30/'- 3 -'!D30*100</f>
        <v>8.4615196207394909</v>
      </c>
      <c r="D30" s="16">
        <f>B30/'- 7 -'!E30</f>
        <v>1262.1171836533726</v>
      </c>
      <c r="E30" s="16">
        <f>SUM('- 32 -'!D30,'- 32 -'!B30,'- 31 -'!F30,'- 31 -'!D30,'- 31 -'!B30)</f>
        <v>1804010</v>
      </c>
      <c r="F30" s="267">
        <f>E30/'- 3 -'!D30*100</f>
        <v>11.909888592324331</v>
      </c>
      <c r="G30" s="16">
        <f>E30/'- 7 -'!E30</f>
        <v>1776.4746430329888</v>
      </c>
      <c r="H30" s="16">
        <f>SUM('- 33 -'!B30,'- 33 -'!D30)</f>
        <v>245239</v>
      </c>
      <c r="I30" s="267">
        <f>H30/'- 3 -'!D30*100</f>
        <v>1.6190426707684693</v>
      </c>
      <c r="J30" s="16">
        <f>H30/'- 7 -'!E30</f>
        <v>241.49581486952241</v>
      </c>
    </row>
    <row r="31" spans="1:10" ht="14.1" customHeight="1" x14ac:dyDescent="0.2">
      <c r="A31" s="271" t="s">
        <v>123</v>
      </c>
      <c r="B31" s="272">
        <f>SUM('- 30 -'!D31,'- 30 -'!B31,'- 29 -'!F31,'- 29 -'!D31,'- 29 -'!B31)</f>
        <v>1087554</v>
      </c>
      <c r="C31" s="273">
        <f>B31/'- 3 -'!D31*100</f>
        <v>2.8405307284456867</v>
      </c>
      <c r="D31" s="272">
        <f>B31/'- 7 -'!E31</f>
        <v>331.11706500228343</v>
      </c>
      <c r="E31" s="272">
        <f>SUM('- 32 -'!D31,'- 32 -'!B31,'- 31 -'!F31,'- 31 -'!D31,'- 31 -'!B31)</f>
        <v>4172937</v>
      </c>
      <c r="F31" s="273">
        <f>E31/'- 3 -'!D31*100</f>
        <v>10.899096299004885</v>
      </c>
      <c r="G31" s="272">
        <f>E31/'- 7 -'!E31</f>
        <v>1270.4938346780332</v>
      </c>
      <c r="H31" s="272">
        <f>SUM('- 33 -'!B31,'- 33 -'!D31)</f>
        <v>667680</v>
      </c>
      <c r="I31" s="273">
        <f>H31/'- 3 -'!D31*100</f>
        <v>1.7438817353148588</v>
      </c>
      <c r="J31" s="272">
        <f>H31/'- 7 -'!E31</f>
        <v>203.28208250875323</v>
      </c>
    </row>
    <row r="32" spans="1:10" ht="14.1" customHeight="1" x14ac:dyDescent="0.2">
      <c r="A32" s="15" t="s">
        <v>124</v>
      </c>
      <c r="B32" s="16">
        <f>SUM('- 30 -'!D32,'- 30 -'!B32,'- 29 -'!F32,'- 29 -'!D32,'- 29 -'!B32)</f>
        <v>2288925</v>
      </c>
      <c r="C32" s="267">
        <f>B32/'- 3 -'!D32*100</f>
        <v>7.3097678368490664</v>
      </c>
      <c r="D32" s="16">
        <f>B32/'- 7 -'!E32</f>
        <v>1034.3086308178943</v>
      </c>
      <c r="E32" s="16">
        <f>SUM('- 32 -'!D32,'- 32 -'!B32,'- 31 -'!F32,'- 31 -'!D32,'- 31 -'!B32)</f>
        <v>3367297</v>
      </c>
      <c r="F32" s="267">
        <f>E32/'- 3 -'!D32*100</f>
        <v>10.753589264706513</v>
      </c>
      <c r="G32" s="16">
        <f>E32/'- 7 -'!E32</f>
        <v>1521.5982828739268</v>
      </c>
      <c r="H32" s="16">
        <f>SUM('- 33 -'!B32,'- 33 -'!D32)</f>
        <v>490933</v>
      </c>
      <c r="I32" s="267">
        <f>H32/'- 3 -'!D32*100</f>
        <v>1.5678129486321408</v>
      </c>
      <c r="J32" s="16">
        <f>H32/'- 7 -'!E32</f>
        <v>221.84048802530501</v>
      </c>
    </row>
    <row r="33" spans="1:11" ht="14.1" customHeight="1" x14ac:dyDescent="0.2">
      <c r="A33" s="271" t="s">
        <v>125</v>
      </c>
      <c r="B33" s="272">
        <f>SUM('- 30 -'!D33,'- 30 -'!B33,'- 29 -'!F33,'- 29 -'!D33,'- 29 -'!B33)</f>
        <v>2388300</v>
      </c>
      <c r="C33" s="273">
        <f>B33/'- 3 -'!D33*100</f>
        <v>8.4170349537967049</v>
      </c>
      <c r="D33" s="272">
        <f>B33/'- 7 -'!E33</f>
        <v>1203.7802419354839</v>
      </c>
      <c r="E33" s="272">
        <f>SUM('- 32 -'!D33,'- 32 -'!B33,'- 31 -'!F33,'- 31 -'!D33,'- 31 -'!B33)</f>
        <v>3524300</v>
      </c>
      <c r="F33" s="273">
        <f>E33/'- 3 -'!D33*100</f>
        <v>12.420615621013159</v>
      </c>
      <c r="G33" s="272">
        <f>E33/'- 7 -'!E33</f>
        <v>1776.3608870967741</v>
      </c>
      <c r="H33" s="272">
        <f>SUM('- 33 -'!B33,'- 33 -'!D33)</f>
        <v>452000</v>
      </c>
      <c r="I33" s="273">
        <f>H33/'- 3 -'!D33*100</f>
        <v>1.5929739978713355</v>
      </c>
      <c r="J33" s="272">
        <f>H33/'- 7 -'!E33</f>
        <v>227.82258064516128</v>
      </c>
    </row>
    <row r="34" spans="1:11" ht="14.1" customHeight="1" x14ac:dyDescent="0.2">
      <c r="A34" s="15" t="s">
        <v>126</v>
      </c>
      <c r="B34" s="16">
        <f>SUM('- 30 -'!D34,'- 30 -'!B34,'- 29 -'!F34,'- 29 -'!D34,'- 29 -'!B34)</f>
        <v>2981584</v>
      </c>
      <c r="C34" s="267">
        <f>B34/'- 3 -'!D34*100</f>
        <v>9.6978083473025762</v>
      </c>
      <c r="D34" s="16">
        <f>B34/'- 7 -'!E34</f>
        <v>1450.8924574209245</v>
      </c>
      <c r="E34" s="16">
        <f>SUM('- 32 -'!D34,'- 32 -'!B34,'- 31 -'!F34,'- 31 -'!D34,'- 31 -'!B34)</f>
        <v>2903879</v>
      </c>
      <c r="F34" s="267">
        <f>E34/'- 3 -'!D34*100</f>
        <v>9.4450674560088395</v>
      </c>
      <c r="G34" s="16">
        <f>E34/'- 7 -'!E34</f>
        <v>1413.0798053527981</v>
      </c>
      <c r="H34" s="16">
        <f>SUM('- 33 -'!B34,'- 33 -'!D34)</f>
        <v>564953</v>
      </c>
      <c r="I34" s="267">
        <f>H34/'- 3 -'!D34*100</f>
        <v>1.8375487389366298</v>
      </c>
      <c r="J34" s="16">
        <f>H34/'- 7 -'!E34</f>
        <v>274.91630170316301</v>
      </c>
    </row>
    <row r="35" spans="1:11" ht="14.1" customHeight="1" x14ac:dyDescent="0.2">
      <c r="A35" s="271" t="s">
        <v>127</v>
      </c>
      <c r="B35" s="272">
        <f>SUM('- 30 -'!D35,'- 30 -'!B35,'- 29 -'!F35,'- 29 -'!D35,'- 29 -'!B35)</f>
        <v>4592441</v>
      </c>
      <c r="C35" s="273">
        <f>B35/'- 3 -'!D35*100</f>
        <v>2.479484679959528</v>
      </c>
      <c r="D35" s="272">
        <f>B35/'- 7 -'!E35</f>
        <v>292.46559465053338</v>
      </c>
      <c r="E35" s="272">
        <f>SUM('- 32 -'!D35,'- 32 -'!B35,'- 31 -'!F35,'- 31 -'!D35,'- 31 -'!B35)</f>
        <v>21869416</v>
      </c>
      <c r="F35" s="273">
        <f>E35/'- 3 -'!D35*100</f>
        <v>11.807420483281501</v>
      </c>
      <c r="G35" s="272">
        <f>E35/'- 7 -'!E35</f>
        <v>1392.7346600859735</v>
      </c>
      <c r="H35" s="272">
        <f>SUM('- 33 -'!B35,'- 33 -'!D35)</f>
        <v>3164500</v>
      </c>
      <c r="I35" s="273">
        <f>H35/'- 3 -'!D35*100</f>
        <v>1.708531316947115</v>
      </c>
      <c r="J35" s="272">
        <f>H35/'- 7 -'!E35</f>
        <v>201.52841904155389</v>
      </c>
    </row>
    <row r="36" spans="1:11" ht="14.1" customHeight="1" x14ac:dyDescent="0.2">
      <c r="A36" s="15" t="s">
        <v>128</v>
      </c>
      <c r="B36" s="16">
        <f>SUM('- 30 -'!D36,'- 30 -'!B36,'- 29 -'!F36,'- 29 -'!D36,'- 29 -'!B36)</f>
        <v>1639210</v>
      </c>
      <c r="C36" s="267">
        <f>B36/'- 3 -'!D36*100</f>
        <v>6.8373761770699444</v>
      </c>
      <c r="D36" s="16">
        <f>B36/'- 7 -'!E36</f>
        <v>974.84983645554564</v>
      </c>
      <c r="E36" s="16">
        <f>SUM('- 32 -'!D36,'- 32 -'!B36,'- 31 -'!F36,'- 31 -'!D36,'- 31 -'!B36)</f>
        <v>2820115</v>
      </c>
      <c r="F36" s="267">
        <f>E36/'- 3 -'!D36*100</f>
        <v>11.763097539423018</v>
      </c>
      <c r="G36" s="16">
        <f>E36/'- 7 -'!E36</f>
        <v>1677.1424323520666</v>
      </c>
      <c r="H36" s="16">
        <f>SUM('- 33 -'!B36,'- 33 -'!D36)</f>
        <v>445170</v>
      </c>
      <c r="I36" s="267">
        <f>H36/'- 3 -'!D36*100</f>
        <v>1.8568668765723897</v>
      </c>
      <c r="J36" s="16">
        <f>H36/'- 7 -'!E36</f>
        <v>264.74576271186442</v>
      </c>
    </row>
    <row r="37" spans="1:11" ht="14.1" customHeight="1" x14ac:dyDescent="0.2">
      <c r="A37" s="271" t="s">
        <v>129</v>
      </c>
      <c r="B37" s="272">
        <f>SUM('- 30 -'!D37,'- 30 -'!B37,'- 29 -'!F37,'- 29 -'!D37,'- 29 -'!B37)</f>
        <v>3308897</v>
      </c>
      <c r="C37" s="273">
        <f>B37/'- 3 -'!D37*100</f>
        <v>6.347273215553126</v>
      </c>
      <c r="D37" s="272">
        <f>B37/'- 7 -'!E37</f>
        <v>777.88678092014015</v>
      </c>
      <c r="E37" s="272">
        <f>SUM('- 32 -'!D37,'- 32 -'!B37,'- 31 -'!F37,'- 31 -'!D37,'- 31 -'!B37)</f>
        <v>5130500</v>
      </c>
      <c r="F37" s="273">
        <f>E37/'- 3 -'!D37*100</f>
        <v>9.8415530106846205</v>
      </c>
      <c r="G37" s="272">
        <f>E37/'- 7 -'!E37</f>
        <v>1206.1264311070363</v>
      </c>
      <c r="H37" s="272">
        <f>SUM('- 33 -'!B37,'- 33 -'!D37)</f>
        <v>835000</v>
      </c>
      <c r="I37" s="273">
        <f>H37/'- 3 -'!D37*100</f>
        <v>1.6017340929581247</v>
      </c>
      <c r="J37" s="272">
        <f>H37/'- 7 -'!E37</f>
        <v>196.29969203281848</v>
      </c>
    </row>
    <row r="38" spans="1:11" ht="14.1" customHeight="1" x14ac:dyDescent="0.2">
      <c r="A38" s="15" t="s">
        <v>130</v>
      </c>
      <c r="B38" s="16">
        <f>SUM('- 30 -'!D38,'- 30 -'!B38,'- 29 -'!F38,'- 29 -'!D38,'- 29 -'!B38)</f>
        <v>3749190</v>
      </c>
      <c r="C38" s="267">
        <f>B38/'- 3 -'!D38*100</f>
        <v>2.6549655820878146</v>
      </c>
      <c r="D38" s="16">
        <f>B38/'- 7 -'!E38</f>
        <v>332.08060230292296</v>
      </c>
      <c r="E38" s="16">
        <f>SUM('- 32 -'!D38,'- 32 -'!B38,'- 31 -'!F38,'- 31 -'!D38,'- 31 -'!B38)</f>
        <v>13830560</v>
      </c>
      <c r="F38" s="267">
        <f>E38/'- 3 -'!D38*100</f>
        <v>9.794025051011138</v>
      </c>
      <c r="G38" s="16">
        <f>E38/'- 7 -'!E38</f>
        <v>1225.0274579273694</v>
      </c>
      <c r="H38" s="16">
        <f>SUM('- 33 -'!B38,'- 33 -'!D38)</f>
        <v>2563370</v>
      </c>
      <c r="I38" s="267">
        <f>H38/'- 3 -'!D38*100</f>
        <v>1.8152345237655176</v>
      </c>
      <c r="J38" s="16">
        <f>H38/'- 7 -'!E38</f>
        <v>227.04782993799822</v>
      </c>
    </row>
    <row r="39" spans="1:11" ht="14.1" customHeight="1" x14ac:dyDescent="0.2">
      <c r="A39" s="271" t="s">
        <v>131</v>
      </c>
      <c r="B39" s="272">
        <f>SUM('- 30 -'!D39,'- 30 -'!B39,'- 29 -'!F39,'- 29 -'!D39,'- 29 -'!B39)</f>
        <v>2140550</v>
      </c>
      <c r="C39" s="273">
        <f>B39/'- 3 -'!D39*100</f>
        <v>9.1985363474434418</v>
      </c>
      <c r="D39" s="272">
        <f>B39/'- 7 -'!E39</f>
        <v>1419.4628647214854</v>
      </c>
      <c r="E39" s="272">
        <f>SUM('- 32 -'!D39,'- 32 -'!B39,'- 31 -'!F39,'- 31 -'!D39,'- 31 -'!B39)</f>
        <v>2447000</v>
      </c>
      <c r="F39" s="273">
        <f>E39/'- 3 -'!D39*100</f>
        <v>10.515436893412488</v>
      </c>
      <c r="G39" s="272">
        <f>E39/'- 7 -'!E39</f>
        <v>1622.6790450928381</v>
      </c>
      <c r="H39" s="272">
        <f>SUM('- 33 -'!B39,'- 33 -'!D39)</f>
        <v>465000</v>
      </c>
      <c r="I39" s="273">
        <f>H39/'- 3 -'!D39*100</f>
        <v>1.9982338191405016</v>
      </c>
      <c r="J39" s="272">
        <f>H39/'- 7 -'!E39</f>
        <v>308.35543766578252</v>
      </c>
    </row>
    <row r="40" spans="1:11" ht="14.1" customHeight="1" x14ac:dyDescent="0.2">
      <c r="A40" s="15" t="s">
        <v>132</v>
      </c>
      <c r="B40" s="16">
        <f>SUM('- 30 -'!D40,'- 30 -'!B40,'- 29 -'!F40,'- 29 -'!D40,'- 29 -'!B40)</f>
        <v>2603780</v>
      </c>
      <c r="C40" s="267">
        <f>B40/'- 3 -'!D40*100</f>
        <v>2.4153603478531513</v>
      </c>
      <c r="D40" s="16">
        <f>B40/'- 7 -'!E40</f>
        <v>316.77697211543142</v>
      </c>
      <c r="E40" s="16">
        <f>SUM('- 32 -'!D40,'- 32 -'!B40,'- 31 -'!F40,'- 31 -'!D40,'- 31 -'!B40)</f>
        <v>11234154</v>
      </c>
      <c r="F40" s="267">
        <f>E40/'- 3 -'!D40*100</f>
        <v>10.421206904299085</v>
      </c>
      <c r="G40" s="16">
        <f>E40/'- 7 -'!E40</f>
        <v>1366.7519100686163</v>
      </c>
      <c r="H40" s="16">
        <f>SUM('- 33 -'!B40,'- 33 -'!D40)</f>
        <v>1848830</v>
      </c>
      <c r="I40" s="267">
        <f>H40/'- 3 -'!D40*100</f>
        <v>1.7150414673748713</v>
      </c>
      <c r="J40" s="16">
        <f>H40/'- 7 -'!E40</f>
        <v>224.9294369555696</v>
      </c>
    </row>
    <row r="41" spans="1:11" ht="14.1" customHeight="1" x14ac:dyDescent="0.2">
      <c r="A41" s="271" t="s">
        <v>133</v>
      </c>
      <c r="B41" s="272">
        <f>SUM('- 30 -'!D41,'- 30 -'!B41,'- 29 -'!F41,'- 29 -'!D41,'- 29 -'!B41)</f>
        <v>5367400</v>
      </c>
      <c r="C41" s="273">
        <f>B41/'- 3 -'!D41*100</f>
        <v>8.3105862118806204</v>
      </c>
      <c r="D41" s="272">
        <f>B41/'- 7 -'!E41</f>
        <v>1212.1499548328816</v>
      </c>
      <c r="E41" s="272">
        <f>SUM('- 32 -'!D41,'- 32 -'!B41,'- 31 -'!F41,'- 31 -'!D41,'- 31 -'!B41)</f>
        <v>6491249</v>
      </c>
      <c r="F41" s="273">
        <f>E41/'- 3 -'!D41*100</f>
        <v>10.050692036606899</v>
      </c>
      <c r="G41" s="272">
        <f>E41/'- 7 -'!E41</f>
        <v>1465.9550587172539</v>
      </c>
      <c r="H41" s="272">
        <f>SUM('- 33 -'!B41,'- 33 -'!D41)</f>
        <v>1146063</v>
      </c>
      <c r="I41" s="273">
        <f>H41/'- 3 -'!D41*100</f>
        <v>1.774500757489015</v>
      </c>
      <c r="J41" s="272">
        <f>H41/'- 7 -'!E41</f>
        <v>258.82181571815715</v>
      </c>
    </row>
    <row r="42" spans="1:11" ht="14.1" customHeight="1" x14ac:dyDescent="0.2">
      <c r="A42" s="15" t="s">
        <v>134</v>
      </c>
      <c r="B42" s="16">
        <f>SUM('- 30 -'!D42,'- 30 -'!B42,'- 29 -'!F42,'- 29 -'!D42,'- 29 -'!B42)</f>
        <v>1872107</v>
      </c>
      <c r="C42" s="267">
        <f>B42/'- 3 -'!D42*100</f>
        <v>8.7265852343802592</v>
      </c>
      <c r="D42" s="16">
        <f>B42/'- 7 -'!E42</f>
        <v>1349.7527036770007</v>
      </c>
      <c r="E42" s="16">
        <f>SUM('- 32 -'!D42,'- 32 -'!B42,'- 31 -'!F42,'- 31 -'!D42,'- 31 -'!B42)</f>
        <v>2567209</v>
      </c>
      <c r="F42" s="267">
        <f>E42/'- 3 -'!D42*100</f>
        <v>11.966713522767721</v>
      </c>
      <c r="G42" s="16">
        <f>E42/'- 7 -'!E42</f>
        <v>1850.9077144917087</v>
      </c>
      <c r="H42" s="16">
        <f>SUM('- 33 -'!B42,'- 33 -'!D42)</f>
        <v>347000</v>
      </c>
      <c r="I42" s="267">
        <f>H42/'- 3 -'!D42*100</f>
        <v>1.6174957287857745</v>
      </c>
      <c r="J42" s="16">
        <f>H42/'- 7 -'!E42</f>
        <v>250.18024513338139</v>
      </c>
    </row>
    <row r="43" spans="1:11" ht="14.1" customHeight="1" x14ac:dyDescent="0.2">
      <c r="A43" s="271" t="s">
        <v>135</v>
      </c>
      <c r="B43" s="272">
        <f>SUM('- 30 -'!D43,'- 30 -'!B43,'- 29 -'!F43,'- 29 -'!D43,'- 29 -'!B43)</f>
        <v>1027969</v>
      </c>
      <c r="C43" s="273">
        <f>B43/'- 3 -'!D43*100</f>
        <v>7.5203270767885133</v>
      </c>
      <c r="D43" s="272">
        <f>B43/'- 7 -'!E43</f>
        <v>1079.2325459317585</v>
      </c>
      <c r="E43" s="272">
        <f>SUM('- 32 -'!D43,'- 32 -'!B43,'- 31 -'!F43,'- 31 -'!D43,'- 31 -'!B43)</f>
        <v>1006809</v>
      </c>
      <c r="F43" s="273">
        <f>E43/'- 3 -'!D43*100</f>
        <v>7.365526571184895</v>
      </c>
      <c r="G43" s="272">
        <f>E43/'- 7 -'!E43</f>
        <v>1057.0173228346457</v>
      </c>
      <c r="H43" s="272">
        <f>SUM('- 33 -'!B43,'- 33 -'!D43)</f>
        <v>231000</v>
      </c>
      <c r="I43" s="273">
        <f>H43/'- 3 -'!D43*100</f>
        <v>1.6899299052190742</v>
      </c>
      <c r="J43" s="272">
        <f>H43/'- 7 -'!E43</f>
        <v>242.51968503937007</v>
      </c>
    </row>
    <row r="44" spans="1:11" ht="14.1" customHeight="1" x14ac:dyDescent="0.2">
      <c r="A44" s="15" t="s">
        <v>136</v>
      </c>
      <c r="B44" s="16">
        <f>SUM('- 30 -'!D44,'- 30 -'!B44,'- 29 -'!F44,'- 29 -'!D44,'- 29 -'!B44)</f>
        <v>1208431</v>
      </c>
      <c r="C44" s="267">
        <f>B44/'- 3 -'!D44*100</f>
        <v>10.713017986486554</v>
      </c>
      <c r="D44" s="16">
        <f>B44/'- 7 -'!E44</f>
        <v>1687.7527932960893</v>
      </c>
      <c r="E44" s="16">
        <f>SUM('- 32 -'!D44,'- 32 -'!B44,'- 31 -'!F44,'- 31 -'!D44,'- 31 -'!B44)</f>
        <v>1302996</v>
      </c>
      <c r="F44" s="267">
        <f>E44/'- 3 -'!D44*100</f>
        <v>11.551358401365103</v>
      </c>
      <c r="G44" s="16">
        <f>E44/'- 7 -'!E44</f>
        <v>1819.8268156424581</v>
      </c>
      <c r="H44" s="16">
        <f>SUM('- 33 -'!B44,'- 33 -'!D44)</f>
        <v>176189</v>
      </c>
      <c r="I44" s="267">
        <f>H44/'- 3 -'!D44*100</f>
        <v>1.5619558965477378</v>
      </c>
      <c r="J44" s="16">
        <f>H44/'- 7 -'!E44</f>
        <v>246.07402234636871</v>
      </c>
    </row>
    <row r="45" spans="1:11" ht="14.1" customHeight="1" x14ac:dyDescent="0.2">
      <c r="A45" s="271" t="s">
        <v>137</v>
      </c>
      <c r="B45" s="272">
        <f>SUM('- 30 -'!D45,'- 30 -'!B45,'- 29 -'!F45,'- 29 -'!D45,'- 29 -'!B45)</f>
        <v>831731</v>
      </c>
      <c r="C45" s="273">
        <f>B45/'- 3 -'!D45*100</f>
        <v>4.1120679430494134</v>
      </c>
      <c r="D45" s="272">
        <f>B45/'- 7 -'!E45</f>
        <v>480.21420323325634</v>
      </c>
      <c r="E45" s="272">
        <f>SUM('- 32 -'!D45,'- 32 -'!B45,'- 31 -'!F45,'- 31 -'!D45,'- 31 -'!B45)</f>
        <v>1866362</v>
      </c>
      <c r="F45" s="273">
        <f>E45/'- 3 -'!D45*100</f>
        <v>9.2272710171023906</v>
      </c>
      <c r="G45" s="272">
        <f>E45/'- 7 -'!E45</f>
        <v>1077.5762124711316</v>
      </c>
      <c r="H45" s="272">
        <f>SUM('- 33 -'!B45,'- 33 -'!D45)</f>
        <v>361612</v>
      </c>
      <c r="I45" s="273">
        <f>H45/'- 3 -'!D45*100</f>
        <v>1.787805327710503</v>
      </c>
      <c r="J45" s="272">
        <f>H45/'- 7 -'!E45</f>
        <v>208.78290993071593</v>
      </c>
    </row>
    <row r="46" spans="1:11" ht="14.1" customHeight="1" x14ac:dyDescent="0.2">
      <c r="A46" s="15" t="s">
        <v>138</v>
      </c>
      <c r="B46" s="16">
        <f>SUM('- 30 -'!D46,'- 30 -'!B46,'- 29 -'!F46,'- 29 -'!D46,'- 29 -'!B46)</f>
        <v>6429500</v>
      </c>
      <c r="C46" s="267">
        <f>B46/'- 3 -'!D46*100</f>
        <v>1.5975353802094452</v>
      </c>
      <c r="D46" s="16">
        <f>B46/'- 7 -'!E46</f>
        <v>212.47170403661539</v>
      </c>
      <c r="E46" s="16">
        <f>SUM('- 32 -'!D46,'- 32 -'!B46,'- 31 -'!F46,'- 31 -'!D46,'- 31 -'!B46)</f>
        <v>51344900</v>
      </c>
      <c r="F46" s="267">
        <f>E46/'- 3 -'!D46*100</f>
        <v>12.757647459882717</v>
      </c>
      <c r="G46" s="16">
        <f>E46/'- 7 -'!E46</f>
        <v>1696.7631070207035</v>
      </c>
      <c r="H46" s="16">
        <f>SUM('- 33 -'!B46,'- 33 -'!D46)</f>
        <v>7428350</v>
      </c>
      <c r="I46" s="267">
        <f>H46/'- 3 -'!D46*100</f>
        <v>1.8457192536867302</v>
      </c>
      <c r="J46" s="16">
        <f>H46/'- 7 -'!E46</f>
        <v>245.48008129409627</v>
      </c>
    </row>
    <row r="47" spans="1:11" ht="5.0999999999999996" customHeight="1" x14ac:dyDescent="0.2">
      <c r="A47"/>
      <c r="B47"/>
      <c r="C47"/>
      <c r="D47"/>
      <c r="E47"/>
      <c r="F47"/>
      <c r="G47"/>
      <c r="H47"/>
      <c r="I47"/>
      <c r="J47"/>
      <c r="K47"/>
    </row>
    <row r="48" spans="1:11" ht="14.1" customHeight="1" x14ac:dyDescent="0.2">
      <c r="A48" s="274" t="s">
        <v>139</v>
      </c>
      <c r="B48" s="275">
        <f>SUM(B11:B46)</f>
        <v>103311658</v>
      </c>
      <c r="C48" s="276">
        <f>B48/'- 3 -'!D48*100</f>
        <v>4.3549208158206492</v>
      </c>
      <c r="D48" s="275">
        <f>B48/'- 7 -'!E48</f>
        <v>582.19607336114734</v>
      </c>
      <c r="E48" s="275">
        <f>SUM(E11:E46)</f>
        <v>271540321</v>
      </c>
      <c r="F48" s="276">
        <f>E48/'- 3 -'!D48*100</f>
        <v>11.446303535826722</v>
      </c>
      <c r="G48" s="275">
        <f>E48/'- 7 -'!E48</f>
        <v>1530.2213874587655</v>
      </c>
      <c r="H48" s="275">
        <f>SUM(H11:H46)</f>
        <v>40330213</v>
      </c>
      <c r="I48" s="276">
        <f>H48/'- 3 -'!D48*100</f>
        <v>1.7000490312543488</v>
      </c>
      <c r="J48" s="275">
        <f>H48/'- 7 -'!E48</f>
        <v>227.27436671685876</v>
      </c>
    </row>
    <row r="49" spans="1:10" ht="5.0999999999999996" customHeight="1" x14ac:dyDescent="0.2">
      <c r="A49" s="17" t="s">
        <v>1</v>
      </c>
      <c r="B49" s="18"/>
      <c r="C49" s="266"/>
      <c r="D49" s="18"/>
      <c r="E49" s="18"/>
      <c r="F49" s="266"/>
      <c r="H49" s="18"/>
      <c r="I49" s="266"/>
      <c r="J49" s="18"/>
    </row>
    <row r="50" spans="1:10" ht="14.1" customHeight="1" x14ac:dyDescent="0.2">
      <c r="A50" s="15" t="s">
        <v>140</v>
      </c>
      <c r="B50" s="16">
        <f>SUM('- 30 -'!D50,'- 30 -'!B50,'- 29 -'!F50,'- 29 -'!D50,'- 29 -'!B50)</f>
        <v>55251</v>
      </c>
      <c r="C50" s="267">
        <f>B50/'- 3 -'!D50*100</f>
        <v>1.5520990179113199</v>
      </c>
      <c r="D50" s="16">
        <f>B50/'- 7 -'!E50</f>
        <v>341.05555555555554</v>
      </c>
      <c r="E50" s="16">
        <f>SUM('- 32 -'!D50,'- 32 -'!B50,'- 31 -'!F50,'- 31 -'!D50,'- 31 -'!B50)</f>
        <v>488852</v>
      </c>
      <c r="F50" s="267">
        <f>E50/'- 3 -'!D50*100</f>
        <v>13.732723554396925</v>
      </c>
      <c r="G50" s="16">
        <f>E50/'- 7 -'!E50</f>
        <v>3017.6049382716051</v>
      </c>
      <c r="H50" s="16">
        <f>SUM('- 33 -'!B50,'- 33 -'!D50)</f>
        <v>49900</v>
      </c>
      <c r="I50" s="267">
        <f>H50/'- 3 -'!D50*100</f>
        <v>1.4017798952738385</v>
      </c>
      <c r="J50" s="16">
        <f>H50/'- 7 -'!E50</f>
        <v>308.02469135802471</v>
      </c>
    </row>
    <row r="51" spans="1:10" ht="14.1" customHeight="1" x14ac:dyDescent="0.2">
      <c r="A51" s="360" t="s">
        <v>516</v>
      </c>
      <c r="B51" s="272">
        <f>SUM('- 30 -'!D51,'- 30 -'!B51,'- 29 -'!F51,'- 29 -'!D51,'- 29 -'!B51)</f>
        <v>0</v>
      </c>
      <c r="C51" s="273">
        <f>B51/'- 3 -'!D51*100</f>
        <v>0</v>
      </c>
      <c r="D51" s="272">
        <f>B51/'- 7 -'!E51</f>
        <v>0</v>
      </c>
      <c r="E51" s="272">
        <f>SUM('- 32 -'!D51,'- 32 -'!B51,'- 31 -'!F51,'- 31 -'!D51,'- 31 -'!B51)</f>
        <v>3793575</v>
      </c>
      <c r="F51" s="273">
        <f>E51/'- 3 -'!D51*100</f>
        <v>12.394034083753001</v>
      </c>
      <c r="G51" s="272">
        <f>E51/'- 7 -'!E51</f>
        <v>3558.7007504690432</v>
      </c>
      <c r="H51" s="272">
        <f>SUM('- 33 -'!B51,'- 33 -'!D51)</f>
        <v>541205</v>
      </c>
      <c r="I51" s="273">
        <f>H51/'- 3 -'!D51*100</f>
        <v>1.7681773040726871</v>
      </c>
      <c r="J51" s="272">
        <f>H51/'- 7 -'!E51</f>
        <v>507.69699812382737</v>
      </c>
    </row>
    <row r="52" spans="1:10" ht="50.1" customHeight="1" x14ac:dyDescent="0.2">
      <c r="B52" s="396" t="str">
        <f>IF(B48='- 10 -'!K22,"","check with page 10")</f>
        <v/>
      </c>
      <c r="C52" s="396"/>
      <c r="D52" s="396"/>
      <c r="E52" s="396"/>
      <c r="F52" s="396"/>
      <c r="G52" s="396"/>
      <c r="H52" s="396" t="str">
        <f>IF($H$48='- 10 -'!K24," ","check with page 10")</f>
        <v xml:space="preserve"> </v>
      </c>
    </row>
    <row r="53" spans="1:10" ht="15" customHeight="1" x14ac:dyDescent="0.2">
      <c r="B53" s="1">
        <f>B48-'- 10 -'!K22</f>
        <v>0</v>
      </c>
    </row>
    <row r="54" spans="1:10" ht="14.45" customHeight="1" x14ac:dyDescent="0.2">
      <c r="B54" s="72"/>
      <c r="C54" s="72"/>
      <c r="E54" s="72"/>
      <c r="F54" s="72"/>
      <c r="H54" s="72"/>
    </row>
    <row r="55" spans="1:10" ht="14.45" customHeight="1" x14ac:dyDescent="0.2"/>
    <row r="56" spans="1:10" ht="14.45" customHeight="1" x14ac:dyDescent="0.2"/>
    <row r="57" spans="1:10" ht="14.45" customHeight="1" x14ac:dyDescent="0.2"/>
    <row r="58" spans="1:10" ht="14.45" customHeight="1" x14ac:dyDescent="0.2"/>
    <row r="59" spans="1:10" ht="14.45" customHeight="1" x14ac:dyDescent="0.2"/>
  </sheetData>
  <mergeCells count="6">
    <mergeCell ref="D8:D9"/>
    <mergeCell ref="G8:G9"/>
    <mergeCell ref="J8:J9"/>
    <mergeCell ref="H6:J7"/>
    <mergeCell ref="E6:G7"/>
    <mergeCell ref="B6:D7"/>
  </mergeCells>
  <phoneticPr fontId="0" type="noConversion"/>
  <printOptions horizontalCentered="1"/>
  <pageMargins left="0.5" right="0.5" top="0.6" bottom="0" header="0.3" footer="0"/>
  <pageSetup scale="90" orientation="portrait" r:id="rId1"/>
  <headerFooter alignWithMargins="0">
    <oddHeader>&amp;C&amp;"Arial,Bold"&amp;10&amp;A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B59"/>
  <sheetViews>
    <sheetView showGridLines="0" showZeros="0" workbookViewId="0"/>
  </sheetViews>
  <sheetFormatPr defaultColWidth="15.83203125" defaultRowHeight="12" x14ac:dyDescent="0.2"/>
  <cols>
    <col min="1" max="1" width="35.83203125" style="1" customWidth="1"/>
    <col min="2" max="2" width="17.5" style="1" customWidth="1"/>
    <col min="3" max="3" width="9.33203125" style="1" customWidth="1"/>
    <col min="4" max="4" width="13" style="1" customWidth="1"/>
    <col min="5" max="5" width="13.5" style="1" customWidth="1"/>
    <col min="6" max="6" width="10.1640625" style="1" customWidth="1"/>
    <col min="7" max="7" width="12" style="1" customWidth="1"/>
    <col min="8" max="16384" width="15.83203125" style="1"/>
  </cols>
  <sheetData>
    <row r="1" spans="1:54" ht="6.95" customHeight="1" x14ac:dyDescent="0.2">
      <c r="A1" s="3"/>
      <c r="B1" s="32"/>
      <c r="C1" s="32"/>
      <c r="D1" s="32"/>
      <c r="E1" s="32"/>
      <c r="F1" s="32"/>
      <c r="G1" s="32"/>
    </row>
    <row r="2" spans="1:54" ht="15.95" customHeight="1" x14ac:dyDescent="0.2">
      <c r="A2" s="132"/>
      <c r="B2" s="5" t="str">
        <f>IF(Lang=1,BA2,BB2)</f>
        <v>ANALYSIS OF EXPENSE BY PROGRAM</v>
      </c>
      <c r="C2" s="155"/>
      <c r="D2" s="35"/>
      <c r="E2" s="35"/>
      <c r="F2" s="35"/>
      <c r="G2" s="503" t="s">
        <v>525</v>
      </c>
      <c r="BA2" s="456" t="s">
        <v>254</v>
      </c>
      <c r="BB2" s="456" t="s">
        <v>402</v>
      </c>
    </row>
    <row r="3" spans="1:54" ht="15.95" customHeight="1" x14ac:dyDescent="0.2">
      <c r="A3" s="135"/>
      <c r="B3" s="175" t="str">
        <f>OPYEAR</f>
        <v>OPERATING FUND 2017/2018 BUDGET</v>
      </c>
      <c r="C3" s="39"/>
      <c r="D3" s="156"/>
      <c r="E3" s="39"/>
      <c r="F3" s="39"/>
      <c r="G3" s="41"/>
    </row>
    <row r="4" spans="1:54" ht="15.95" customHeight="1" x14ac:dyDescent="0.2">
      <c r="B4" s="32"/>
      <c r="C4" s="32"/>
      <c r="D4" s="32"/>
      <c r="E4" s="32"/>
      <c r="F4" s="32"/>
      <c r="G4" s="32"/>
    </row>
    <row r="5" spans="1:54" ht="15.95" customHeight="1" x14ac:dyDescent="0.2">
      <c r="B5" s="637" t="s">
        <v>6</v>
      </c>
      <c r="C5" s="638"/>
      <c r="D5" s="638"/>
      <c r="E5" s="638"/>
      <c r="F5" s="638"/>
      <c r="G5" s="639"/>
    </row>
    <row r="6" spans="1:54" ht="15.95" customHeight="1" x14ac:dyDescent="0.2">
      <c r="B6" s="640" t="s">
        <v>14</v>
      </c>
      <c r="C6" s="641"/>
      <c r="D6" s="642"/>
      <c r="E6" s="646" t="s">
        <v>403</v>
      </c>
      <c r="F6" s="647"/>
      <c r="G6" s="648"/>
    </row>
    <row r="7" spans="1:54" ht="15.95" customHeight="1" x14ac:dyDescent="0.2">
      <c r="B7" s="643"/>
      <c r="C7" s="644"/>
      <c r="D7" s="645"/>
      <c r="E7" s="649"/>
      <c r="F7" s="650"/>
      <c r="G7" s="651"/>
    </row>
    <row r="8" spans="1:54" ht="15.95" customHeight="1" x14ac:dyDescent="0.2">
      <c r="A8" s="82"/>
      <c r="B8" s="160"/>
      <c r="C8" s="161"/>
      <c r="D8" s="538" t="s">
        <v>396</v>
      </c>
      <c r="E8" s="162"/>
      <c r="F8" s="161"/>
      <c r="G8" s="538" t="s">
        <v>396</v>
      </c>
    </row>
    <row r="9" spans="1:54" ht="15.95" customHeight="1" x14ac:dyDescent="0.2">
      <c r="A9" s="27" t="s">
        <v>37</v>
      </c>
      <c r="B9" s="43" t="s">
        <v>38</v>
      </c>
      <c r="C9" s="43" t="s">
        <v>39</v>
      </c>
      <c r="D9" s="578"/>
      <c r="E9" s="163" t="s">
        <v>38</v>
      </c>
      <c r="F9" s="43" t="s">
        <v>39</v>
      </c>
      <c r="G9" s="578"/>
    </row>
    <row r="10" spans="1:54" ht="5.0999999999999996" customHeight="1" x14ac:dyDescent="0.2">
      <c r="A10" s="29"/>
      <c r="B10" s="46"/>
      <c r="C10" s="46"/>
      <c r="D10" s="46"/>
      <c r="E10" s="46"/>
      <c r="F10" s="46"/>
      <c r="G10" s="46"/>
    </row>
    <row r="11" spans="1:54" ht="14.1" customHeight="1" x14ac:dyDescent="0.2">
      <c r="A11" s="271" t="s">
        <v>104</v>
      </c>
      <c r="B11" s="272">
        <v>1320213</v>
      </c>
      <c r="C11" s="273">
        <f>B11/'- 3 -'!$D11*100</f>
        <v>6.5445806874607326</v>
      </c>
      <c r="D11" s="272">
        <f>B11/'- 7 -'!$C11</f>
        <v>735.08518930957689</v>
      </c>
      <c r="E11" s="272">
        <v>0</v>
      </c>
      <c r="F11" s="273">
        <f>E11/'- 3 -'!$D11*100</f>
        <v>0</v>
      </c>
      <c r="G11" s="272" t="str">
        <f>IF('- 7 -'!$B11=0,"",E11/'- 7 -'!$B11)</f>
        <v/>
      </c>
    </row>
    <row r="12" spans="1:54" ht="14.1" customHeight="1" x14ac:dyDescent="0.2">
      <c r="A12" s="15" t="s">
        <v>105</v>
      </c>
      <c r="B12" s="16">
        <v>2908320</v>
      </c>
      <c r="C12" s="267">
        <f>B12/'- 3 -'!$D12*100</f>
        <v>8.3019795387855755</v>
      </c>
      <c r="D12" s="16">
        <f>B12/'- 7 -'!$C12</f>
        <v>1352.706976744186</v>
      </c>
      <c r="E12" s="16">
        <v>1532002</v>
      </c>
      <c r="F12" s="267">
        <f>E12/'- 3 -'!$D12*100</f>
        <v>4.373194578787265</v>
      </c>
      <c r="G12" s="16">
        <f>IF('- 7 -'!$B12=0,"",E12/'- 7 -'!$B12)</f>
        <v>8148.9468085106382</v>
      </c>
    </row>
    <row r="13" spans="1:54" ht="14.1" customHeight="1" x14ac:dyDescent="0.2">
      <c r="A13" s="271" t="s">
        <v>106</v>
      </c>
      <c r="B13" s="272">
        <v>6806000</v>
      </c>
      <c r="C13" s="273">
        <f>B13/'- 3 -'!$D13*100</f>
        <v>6.6829009642387218</v>
      </c>
      <c r="D13" s="272">
        <f>B13/'- 7 -'!$C13</f>
        <v>797.88980070339971</v>
      </c>
      <c r="E13" s="272">
        <v>3668500</v>
      </c>
      <c r="F13" s="273">
        <f>E13/'- 3 -'!$D13*100</f>
        <v>3.6021484259932053</v>
      </c>
      <c r="G13" s="272">
        <f>IF('- 7 -'!$B13=0,"",E13/'- 7 -'!$B13)</f>
        <v>8472.2863741339497</v>
      </c>
    </row>
    <row r="14" spans="1:54" ht="14.1" customHeight="1" x14ac:dyDescent="0.2">
      <c r="A14" s="15" t="s">
        <v>315</v>
      </c>
      <c r="B14" s="16">
        <v>6507888</v>
      </c>
      <c r="C14" s="267">
        <f>B14/'- 3 -'!$D14*100</f>
        <v>7.2089235159486549</v>
      </c>
      <c r="D14" s="16">
        <f>B14/'- 7 -'!$C14</f>
        <v>1168.3820466786356</v>
      </c>
      <c r="E14" s="16">
        <v>238741</v>
      </c>
      <c r="F14" s="267">
        <f>E14/'- 3 -'!$D14*100</f>
        <v>0.26445839404751553</v>
      </c>
      <c r="G14" s="16">
        <f>IF('- 7 -'!$B14=0,"",E14/'- 7 -'!$B14)</f>
        <v>11937.05</v>
      </c>
    </row>
    <row r="15" spans="1:54" ht="14.1" customHeight="1" x14ac:dyDescent="0.2">
      <c r="A15" s="271" t="s">
        <v>107</v>
      </c>
      <c r="B15" s="272">
        <v>1613900</v>
      </c>
      <c r="C15" s="273">
        <f>B15/'- 3 -'!$D15*100</f>
        <v>7.791335305200783</v>
      </c>
      <c r="D15" s="272">
        <f>B15/'- 7 -'!$C15</f>
        <v>1171.1901306240929</v>
      </c>
      <c r="E15" s="272">
        <v>114200</v>
      </c>
      <c r="F15" s="273">
        <f>E15/'- 3 -'!$D15*100</f>
        <v>0.55131699104896792</v>
      </c>
      <c r="G15" s="272">
        <f>IF('- 7 -'!$B15=0,"",E15/'- 7 -'!$B15)</f>
        <v>5710</v>
      </c>
    </row>
    <row r="16" spans="1:54" ht="14.1" customHeight="1" x14ac:dyDescent="0.2">
      <c r="A16" s="15" t="s">
        <v>108</v>
      </c>
      <c r="B16" s="16">
        <v>1126160</v>
      </c>
      <c r="C16" s="267">
        <f>B16/'- 3 -'!$D16*100</f>
        <v>7.6139242269313971</v>
      </c>
      <c r="D16" s="16">
        <f>B16/'- 7 -'!$C16</f>
        <v>1214.1886792452831</v>
      </c>
      <c r="E16" s="16">
        <v>44800</v>
      </c>
      <c r="F16" s="267">
        <f>E16/'- 3 -'!$D16*100</f>
        <v>0.30289106820214406</v>
      </c>
      <c r="G16" s="16">
        <f>IF('- 7 -'!$B16=0,"",E16/'- 7 -'!$B16)</f>
        <v>4072.7272727272725</v>
      </c>
    </row>
    <row r="17" spans="1:7" ht="14.1" customHeight="1" x14ac:dyDescent="0.2">
      <c r="A17" s="271" t="s">
        <v>109</v>
      </c>
      <c r="B17" s="272">
        <v>1404644</v>
      </c>
      <c r="C17" s="273">
        <f>B17/'- 3 -'!$D17*100</f>
        <v>7.5113182276753303</v>
      </c>
      <c r="D17" s="272">
        <f>B17/'- 7 -'!$C17</f>
        <v>997.26233581824636</v>
      </c>
      <c r="E17" s="272">
        <v>204200</v>
      </c>
      <c r="F17" s="273">
        <f>E17/'- 3 -'!$D17*100</f>
        <v>1.0919572376283972</v>
      </c>
      <c r="G17" s="272">
        <f>IF('- 7 -'!$B17=0,"",E17/'- 7 -'!$B17)</f>
        <v>6806.666666666667</v>
      </c>
    </row>
    <row r="18" spans="1:7" ht="14.1" customHeight="1" x14ac:dyDescent="0.2">
      <c r="A18" s="15" t="s">
        <v>110</v>
      </c>
      <c r="B18" s="16">
        <v>7361165</v>
      </c>
      <c r="C18" s="267">
        <f>B18/'- 3 -'!$D18*100</f>
        <v>5.5871603511867125</v>
      </c>
      <c r="D18" s="16">
        <f>B18/'- 7 -'!$C18</f>
        <v>1203.8275986132007</v>
      </c>
      <c r="E18" s="16">
        <v>529711</v>
      </c>
      <c r="F18" s="267">
        <f>E18/'- 3 -'!$D18*100</f>
        <v>0.40205324792848207</v>
      </c>
      <c r="G18" s="16">
        <f>IF('- 7 -'!$B18=0,"",E18/'- 7 -'!$B18)</f>
        <v>10810.428571428571</v>
      </c>
    </row>
    <row r="19" spans="1:7" ht="14.1" customHeight="1" x14ac:dyDescent="0.2">
      <c r="A19" s="271" t="s">
        <v>111</v>
      </c>
      <c r="B19" s="272">
        <v>3071114</v>
      </c>
      <c r="C19" s="273">
        <f>B19/'- 3 -'!$D19*100</f>
        <v>6.3019552141941935</v>
      </c>
      <c r="D19" s="272">
        <f>B19/'- 7 -'!$C19</f>
        <v>707.87461104068223</v>
      </c>
      <c r="E19" s="272">
        <v>1458874</v>
      </c>
      <c r="F19" s="273">
        <f>E19/'- 3 -'!$D19*100</f>
        <v>2.9936233598467332</v>
      </c>
      <c r="G19" s="272">
        <f>IF('- 7 -'!$B19=0,"",E19/'- 7 -'!$B19)</f>
        <v>11670.992</v>
      </c>
    </row>
    <row r="20" spans="1:7" ht="14.1" customHeight="1" x14ac:dyDescent="0.2">
      <c r="A20" s="15" t="s">
        <v>112</v>
      </c>
      <c r="B20" s="16">
        <v>6090700</v>
      </c>
      <c r="C20" s="267">
        <f>B20/'- 3 -'!$D20*100</f>
        <v>7.1740707760298141</v>
      </c>
      <c r="D20" s="16">
        <f>B20/'- 7 -'!$C20</f>
        <v>786.40413169786962</v>
      </c>
      <c r="E20" s="16">
        <v>3141400</v>
      </c>
      <c r="F20" s="267">
        <f>E20/'- 3 -'!$D20*100</f>
        <v>3.7001700848539674</v>
      </c>
      <c r="G20" s="16">
        <f>IF('- 7 -'!$B20=0,"",E20/'- 7 -'!$B20)</f>
        <v>6375.8879642784659</v>
      </c>
    </row>
    <row r="21" spans="1:7" ht="14.1" customHeight="1" x14ac:dyDescent="0.2">
      <c r="A21" s="271" t="s">
        <v>113</v>
      </c>
      <c r="B21" s="272">
        <v>3207955</v>
      </c>
      <c r="C21" s="273">
        <f>B21/'- 3 -'!$D21*100</f>
        <v>8.6376058848554376</v>
      </c>
      <c r="D21" s="272">
        <f>B21/'- 7 -'!$C21</f>
        <v>1164.2006895300308</v>
      </c>
      <c r="E21" s="272">
        <v>0</v>
      </c>
      <c r="F21" s="273">
        <f>E21/'- 3 -'!$D21*100</f>
        <v>0</v>
      </c>
      <c r="G21" s="272" t="str">
        <f>IF('- 7 -'!$B21=0,"",E21/'- 7 -'!$B21)</f>
        <v/>
      </c>
    </row>
    <row r="22" spans="1:7" ht="14.1" customHeight="1" x14ac:dyDescent="0.2">
      <c r="A22" s="15" t="s">
        <v>114</v>
      </c>
      <c r="B22" s="16">
        <v>1610010</v>
      </c>
      <c r="C22" s="267">
        <f>B22/'- 3 -'!$D22*100</f>
        <v>7.5515035137724968</v>
      </c>
      <c r="D22" s="16">
        <f>B22/'- 7 -'!$C22</f>
        <v>1059.7748815165876</v>
      </c>
      <c r="E22" s="16">
        <v>0</v>
      </c>
      <c r="F22" s="267">
        <f>E22/'- 3 -'!$D22*100</f>
        <v>0</v>
      </c>
      <c r="G22" s="16" t="str">
        <f>IF('- 7 -'!$B22=0,"",E22/'- 7 -'!$B22)</f>
        <v/>
      </c>
    </row>
    <row r="23" spans="1:7" ht="14.1" customHeight="1" x14ac:dyDescent="0.2">
      <c r="A23" s="271" t="s">
        <v>115</v>
      </c>
      <c r="B23" s="272">
        <v>1098800</v>
      </c>
      <c r="C23" s="273">
        <f>B23/'- 3 -'!$D23*100</f>
        <v>6.527013835926863</v>
      </c>
      <c r="D23" s="272">
        <f>B23/'- 7 -'!$C23</f>
        <v>994.38914027149326</v>
      </c>
      <c r="E23" s="272">
        <v>135500</v>
      </c>
      <c r="F23" s="273">
        <f>E23/'- 3 -'!$D23*100</f>
        <v>0.80488749068810517</v>
      </c>
      <c r="G23" s="272">
        <f>IF('- 7 -'!$B23=0,"",E23/'- 7 -'!$B23)</f>
        <v>9678.5714285714294</v>
      </c>
    </row>
    <row r="24" spans="1:7" ht="14.1" customHeight="1" x14ac:dyDescent="0.2">
      <c r="A24" s="15" t="s">
        <v>116</v>
      </c>
      <c r="B24" s="16">
        <v>4619458</v>
      </c>
      <c r="C24" s="267">
        <f>B24/'- 3 -'!$D24*100</f>
        <v>7.9074083786733196</v>
      </c>
      <c r="D24" s="16">
        <f>B24/'- 7 -'!$C24</f>
        <v>1186.1491847477212</v>
      </c>
      <c r="E24" s="16">
        <v>1911540</v>
      </c>
      <c r="F24" s="267">
        <f>E24/'- 3 -'!$D24*100</f>
        <v>3.2720997597919923</v>
      </c>
      <c r="G24" s="16">
        <f>IF('- 7 -'!$B24=0,"",E24/'- 7 -'!$B24)</f>
        <v>7186.2406015037595</v>
      </c>
    </row>
    <row r="25" spans="1:7" ht="14.1" customHeight="1" x14ac:dyDescent="0.2">
      <c r="A25" s="271" t="s">
        <v>117</v>
      </c>
      <c r="B25" s="272">
        <v>14438351</v>
      </c>
      <c r="C25" s="273">
        <f>B25/'- 3 -'!$D25*100</f>
        <v>7.9317621567258758</v>
      </c>
      <c r="D25" s="272">
        <f>B25/'- 7 -'!$C25</f>
        <v>997.64042148903093</v>
      </c>
      <c r="E25" s="272">
        <v>1768837</v>
      </c>
      <c r="F25" s="273">
        <f>E25/'- 3 -'!$D25*100</f>
        <v>0.97171722574250552</v>
      </c>
      <c r="G25" s="272">
        <f>IF('- 7 -'!$B25=0,"",E25/'- 7 -'!$B25)</f>
        <v>12292.126476719945</v>
      </c>
    </row>
    <row r="26" spans="1:7" ht="14.1" customHeight="1" x14ac:dyDescent="0.2">
      <c r="A26" s="15" t="s">
        <v>118</v>
      </c>
      <c r="B26" s="16">
        <v>3455795</v>
      </c>
      <c r="C26" s="267">
        <f>B26/'- 3 -'!$D26*100</f>
        <v>8.3940747627543395</v>
      </c>
      <c r="D26" s="16">
        <f>B26/'- 7 -'!$C26</f>
        <v>1133.0475409836065</v>
      </c>
      <c r="E26" s="16">
        <v>761972</v>
      </c>
      <c r="F26" s="267">
        <f>E26/'- 3 -'!$D26*100</f>
        <v>1.8508186785169405</v>
      </c>
      <c r="G26" s="16">
        <f>IF('- 7 -'!$B26=0,"",E26/'- 7 -'!$B26)</f>
        <v>5619.2625368731569</v>
      </c>
    </row>
    <row r="27" spans="1:7" ht="14.1" customHeight="1" x14ac:dyDescent="0.2">
      <c r="A27" s="271" t="s">
        <v>119</v>
      </c>
      <c r="B27" s="272">
        <v>2955625</v>
      </c>
      <c r="C27" s="273">
        <f>B27/'- 3 -'!$D27*100</f>
        <v>6.7104019704748445</v>
      </c>
      <c r="D27" s="272">
        <f>B27/'- 7 -'!$C27</f>
        <v>988.35223472760981</v>
      </c>
      <c r="E27" s="272">
        <v>1038956</v>
      </c>
      <c r="F27" s="273">
        <f>E27/'- 3 -'!$D27*100</f>
        <v>2.3588284676292366</v>
      </c>
      <c r="G27" s="272">
        <f>IF('- 7 -'!$B27=0,"",E27/'- 7 -'!$B27)</f>
        <v>5046.9757113115893</v>
      </c>
    </row>
    <row r="28" spans="1:7" ht="14.1" customHeight="1" x14ac:dyDescent="0.2">
      <c r="A28" s="15" t="s">
        <v>120</v>
      </c>
      <c r="B28" s="16">
        <v>2166980</v>
      </c>
      <c r="C28" s="267">
        <f>B28/'- 3 -'!$D28*100</f>
        <v>7.4992435799289883</v>
      </c>
      <c r="D28" s="16">
        <f>B28/'- 7 -'!$C28</f>
        <v>1106.1664114344053</v>
      </c>
      <c r="E28" s="16">
        <v>0</v>
      </c>
      <c r="F28" s="267">
        <f>E28/'- 3 -'!$D28*100</f>
        <v>0</v>
      </c>
      <c r="G28" s="16" t="str">
        <f>IF('- 7 -'!$B28=0,"",E28/'- 7 -'!$B28)</f>
        <v/>
      </c>
    </row>
    <row r="29" spans="1:7" ht="14.1" customHeight="1" x14ac:dyDescent="0.2">
      <c r="A29" s="271" t="s">
        <v>121</v>
      </c>
      <c r="B29" s="272">
        <v>12276040</v>
      </c>
      <c r="C29" s="273">
        <f>B29/'- 3 -'!$D29*100</f>
        <v>7.4682014950942692</v>
      </c>
      <c r="D29" s="272">
        <f>B29/'- 7 -'!$C29</f>
        <v>939.69182250323411</v>
      </c>
      <c r="E29" s="272">
        <v>0</v>
      </c>
      <c r="F29" s="273">
        <f>E29/'- 3 -'!$D29*100</f>
        <v>0</v>
      </c>
      <c r="G29" s="272" t="str">
        <f>IF('- 7 -'!$B29=0,"",E29/'- 7 -'!$B29)</f>
        <v/>
      </c>
    </row>
    <row r="30" spans="1:7" ht="14.1" customHeight="1" x14ac:dyDescent="0.2">
      <c r="A30" s="15" t="s">
        <v>122</v>
      </c>
      <c r="B30" s="16">
        <v>1101941</v>
      </c>
      <c r="C30" s="267">
        <f>B30/'- 3 -'!$D30*100</f>
        <v>7.2749012174624665</v>
      </c>
      <c r="D30" s="16">
        <f>B30/'- 7 -'!$C30</f>
        <v>1085.121614967996</v>
      </c>
      <c r="E30" s="16">
        <v>0</v>
      </c>
      <c r="F30" s="267">
        <f>E30/'- 3 -'!$D30*100</f>
        <v>0</v>
      </c>
      <c r="G30" s="16" t="str">
        <f>IF('- 7 -'!$B30=0,"",E30/'- 7 -'!$B30)</f>
        <v/>
      </c>
    </row>
    <row r="31" spans="1:7" ht="14.1" customHeight="1" x14ac:dyDescent="0.2">
      <c r="A31" s="271" t="s">
        <v>123</v>
      </c>
      <c r="B31" s="272">
        <v>3077146</v>
      </c>
      <c r="C31" s="273">
        <f>B31/'- 3 -'!$D31*100</f>
        <v>8.0370517407997504</v>
      </c>
      <c r="D31" s="272">
        <f>B31/'- 7 -'!$C31</f>
        <v>936.86892982189067</v>
      </c>
      <c r="E31" s="272">
        <v>802860</v>
      </c>
      <c r="F31" s="273">
        <f>E31/'- 3 -'!$D31*100</f>
        <v>2.0969519680309241</v>
      </c>
      <c r="G31" s="272">
        <f>IF('- 7 -'!$B31=0,"",E31/'- 7 -'!$B31)</f>
        <v>5424.72972972973</v>
      </c>
    </row>
    <row r="32" spans="1:7" ht="14.1" customHeight="1" x14ac:dyDescent="0.2">
      <c r="A32" s="15" t="s">
        <v>124</v>
      </c>
      <c r="B32" s="16">
        <v>2383666</v>
      </c>
      <c r="C32" s="267">
        <f>B32/'- 3 -'!$D32*100</f>
        <v>7.6123267737434244</v>
      </c>
      <c r="D32" s="16">
        <f>B32/'- 7 -'!$C32</f>
        <v>1077.1197469498418</v>
      </c>
      <c r="E32" s="16">
        <v>380407</v>
      </c>
      <c r="F32" s="267">
        <f>E32/'- 3 -'!$D32*100</f>
        <v>1.2148440221991734</v>
      </c>
      <c r="G32" s="16">
        <f>IF('- 7 -'!$B32=0,"",E32/'- 7 -'!$B32)</f>
        <v>3172.7022518765639</v>
      </c>
    </row>
    <row r="33" spans="1:7" ht="14.1" customHeight="1" x14ac:dyDescent="0.2">
      <c r="A33" s="271" t="s">
        <v>125</v>
      </c>
      <c r="B33" s="272">
        <v>2722700</v>
      </c>
      <c r="C33" s="273">
        <f>B33/'- 3 -'!$D33*100</f>
        <v>9.5955537699209845</v>
      </c>
      <c r="D33" s="272">
        <f>B33/'- 7 -'!$C33</f>
        <v>1372.328629032258</v>
      </c>
      <c r="E33" s="272">
        <v>238500</v>
      </c>
      <c r="F33" s="273">
        <f>E33/'- 3 -'!$D33*100</f>
        <v>0.84054048339007414</v>
      </c>
      <c r="G33" s="272">
        <f>IF('- 7 -'!$B33=0,"",E33/'- 7 -'!$B33)</f>
        <v>4770</v>
      </c>
    </row>
    <row r="34" spans="1:7" ht="14.1" customHeight="1" x14ac:dyDescent="0.2">
      <c r="A34" s="15" t="s">
        <v>126</v>
      </c>
      <c r="B34" s="16">
        <v>2660352</v>
      </c>
      <c r="C34" s="267">
        <f>B34/'- 3 -'!$D34*100</f>
        <v>8.6529790314017987</v>
      </c>
      <c r="D34" s="16">
        <f>B34/'- 7 -'!$C34</f>
        <v>1294.5751824817519</v>
      </c>
      <c r="E34" s="16">
        <v>346198</v>
      </c>
      <c r="F34" s="267">
        <f>E34/'- 3 -'!$D34*100</f>
        <v>1.1260329590645299</v>
      </c>
      <c r="G34" s="16">
        <f>IF('- 7 -'!$B34=0,"",E34/'- 7 -'!$B34)</f>
        <v>15386.577777777778</v>
      </c>
    </row>
    <row r="35" spans="1:7" ht="14.1" customHeight="1" x14ac:dyDescent="0.2">
      <c r="A35" s="271" t="s">
        <v>127</v>
      </c>
      <c r="B35" s="272">
        <v>13533595</v>
      </c>
      <c r="C35" s="273">
        <f>B35/'- 3 -'!$D35*100</f>
        <v>7.3068639242783675</v>
      </c>
      <c r="D35" s="272">
        <f>B35/'- 7 -'!$C35</f>
        <v>861.87517911160649</v>
      </c>
      <c r="E35" s="272">
        <v>4034814</v>
      </c>
      <c r="F35" s="273">
        <f>E35/'- 3 -'!$D35*100</f>
        <v>2.1784187318870778</v>
      </c>
      <c r="G35" s="272">
        <f>IF('- 7 -'!$B35=0,"",E35/'- 7 -'!$B35)</f>
        <v>5651</v>
      </c>
    </row>
    <row r="36" spans="1:7" ht="14.1" customHeight="1" x14ac:dyDescent="0.2">
      <c r="A36" s="15" t="s">
        <v>128</v>
      </c>
      <c r="B36" s="16">
        <v>2022885</v>
      </c>
      <c r="C36" s="267">
        <f>B36/'- 3 -'!$D36*100</f>
        <v>8.4377387326530062</v>
      </c>
      <c r="D36" s="16">
        <f>B36/'- 7 -'!$C36</f>
        <v>1203.0240856378234</v>
      </c>
      <c r="E36" s="16">
        <v>134895</v>
      </c>
      <c r="F36" s="267">
        <f>E36/'- 3 -'!$D36*100</f>
        <v>0.56266607658924128</v>
      </c>
      <c r="G36" s="16">
        <f>IF('- 7 -'!$B36=0,"",E36/'- 7 -'!$B36)</f>
        <v>19550</v>
      </c>
    </row>
    <row r="37" spans="1:7" ht="14.1" customHeight="1" x14ac:dyDescent="0.2">
      <c r="A37" s="271" t="s">
        <v>129</v>
      </c>
      <c r="B37" s="272">
        <v>4394899</v>
      </c>
      <c r="C37" s="273">
        <f>B37/'- 3 -'!$D37*100</f>
        <v>8.4304904950988853</v>
      </c>
      <c r="D37" s="272">
        <f>B37/'- 7 -'!$C37</f>
        <v>1033.1943954674755</v>
      </c>
      <c r="E37" s="272">
        <v>0</v>
      </c>
      <c r="F37" s="273">
        <f>E37/'- 3 -'!$D37*100</f>
        <v>0</v>
      </c>
      <c r="G37" s="272" t="str">
        <f>IF('- 7 -'!$B37=0,"",E37/'- 7 -'!$B37)</f>
        <v/>
      </c>
    </row>
    <row r="38" spans="1:7" ht="14.1" customHeight="1" x14ac:dyDescent="0.2">
      <c r="A38" s="15" t="s">
        <v>130</v>
      </c>
      <c r="B38" s="16">
        <v>11363040</v>
      </c>
      <c r="C38" s="267">
        <f>B38/'- 3 -'!$D38*100</f>
        <v>8.0466661086493669</v>
      </c>
      <c r="D38" s="16">
        <f>B38/'- 7 -'!$C38</f>
        <v>1006.4694419840567</v>
      </c>
      <c r="E38" s="16">
        <v>1168650</v>
      </c>
      <c r="F38" s="267">
        <f>E38/'- 3 -'!$D38*100</f>
        <v>0.82757222960344101</v>
      </c>
      <c r="G38" s="16">
        <f>IF('- 7 -'!$B38=0,"",E38/'- 7 -'!$B38)</f>
        <v>5565</v>
      </c>
    </row>
    <row r="39" spans="1:7" ht="14.1" customHeight="1" x14ac:dyDescent="0.2">
      <c r="A39" s="271" t="s">
        <v>131</v>
      </c>
      <c r="B39" s="272">
        <v>1523200</v>
      </c>
      <c r="C39" s="273">
        <f>B39/'- 3 -'!$D39*100</f>
        <v>6.5456123727200266</v>
      </c>
      <c r="D39" s="272">
        <f>B39/'- 7 -'!$C39</f>
        <v>1010.079575596817</v>
      </c>
      <c r="E39" s="272">
        <v>265600</v>
      </c>
      <c r="F39" s="273">
        <f>E39/'- 3 -'!$D39*100</f>
        <v>1.1413567792768113</v>
      </c>
      <c r="G39" s="272">
        <f>IF('- 7 -'!$B39=0,"",E39/'- 7 -'!$B39)</f>
        <v>7377.7777777777774</v>
      </c>
    </row>
    <row r="40" spans="1:7" ht="14.1" customHeight="1" x14ac:dyDescent="0.2">
      <c r="A40" s="15" t="s">
        <v>132</v>
      </c>
      <c r="B40" s="16">
        <v>8955192</v>
      </c>
      <c r="C40" s="267">
        <f>B40/'- 3 -'!$D40*100</f>
        <v>8.3071594620942459</v>
      </c>
      <c r="D40" s="16">
        <f>B40/'- 7 -'!$C40</f>
        <v>1089.4924327217868</v>
      </c>
      <c r="E40" s="16">
        <v>1735416</v>
      </c>
      <c r="F40" s="267">
        <f>E40/'- 3 -'!$D40*100</f>
        <v>1.6098345457104382</v>
      </c>
      <c r="G40" s="16">
        <f>IF('- 7 -'!$B40=0,"",E40/'- 7 -'!$B40)</f>
        <v>6837.7304964539007</v>
      </c>
    </row>
    <row r="41" spans="1:7" ht="14.1" customHeight="1" x14ac:dyDescent="0.2">
      <c r="A41" s="271" t="s">
        <v>133</v>
      </c>
      <c r="B41" s="272">
        <v>4257876</v>
      </c>
      <c r="C41" s="273">
        <f>B41/'- 3 -'!$D41*100</f>
        <v>6.592660427301376</v>
      </c>
      <c r="D41" s="272">
        <f>B41/'- 7 -'!$C41</f>
        <v>961.57994579945796</v>
      </c>
      <c r="E41" s="272">
        <v>0</v>
      </c>
      <c r="F41" s="273">
        <f>E41/'- 3 -'!$D41*100</f>
        <v>0</v>
      </c>
      <c r="G41" s="272" t="str">
        <f>IF('- 7 -'!$B41=0,"",E41/'- 7 -'!$B41)</f>
        <v/>
      </c>
    </row>
    <row r="42" spans="1:7" ht="14.1" customHeight="1" x14ac:dyDescent="0.2">
      <c r="A42" s="15" t="s">
        <v>134</v>
      </c>
      <c r="B42" s="16">
        <v>1850182</v>
      </c>
      <c r="C42" s="267">
        <f>B42/'- 3 -'!$D42*100</f>
        <v>8.6243846757242704</v>
      </c>
      <c r="D42" s="16">
        <f>B42/'- 7 -'!$C42</f>
        <v>1333.9452054794519</v>
      </c>
      <c r="E42" s="16">
        <v>1048925</v>
      </c>
      <c r="F42" s="267">
        <f>E42/'- 3 -'!$D42*100</f>
        <v>4.8894285513447215</v>
      </c>
      <c r="G42" s="16">
        <f>IF('- 7 -'!$B42=0,"",E42/'- 7 -'!$B42)</f>
        <v>8391.4</v>
      </c>
    </row>
    <row r="43" spans="1:7" ht="14.1" customHeight="1" x14ac:dyDescent="0.2">
      <c r="A43" s="271" t="s">
        <v>135</v>
      </c>
      <c r="B43" s="272">
        <v>815828</v>
      </c>
      <c r="C43" s="273">
        <f>B43/'- 3 -'!$D43*100</f>
        <v>5.9683642195457436</v>
      </c>
      <c r="D43" s="272">
        <f>B43/'- 7 -'!$C43</f>
        <v>856.51233595800522</v>
      </c>
      <c r="E43" s="272">
        <v>139451</v>
      </c>
      <c r="F43" s="273">
        <f>E43/'- 3 -'!$D43*100</f>
        <v>1.020183615639416</v>
      </c>
      <c r="G43" s="272">
        <f>IF('- 7 -'!$B43=0,"",E43/'- 7 -'!$B43)</f>
        <v>4498.4193548387093</v>
      </c>
    </row>
    <row r="44" spans="1:7" ht="14.1" customHeight="1" x14ac:dyDescent="0.2">
      <c r="A44" s="15" t="s">
        <v>136</v>
      </c>
      <c r="B44" s="16">
        <v>631280</v>
      </c>
      <c r="C44" s="267">
        <f>B44/'- 3 -'!$D44*100</f>
        <v>5.59644199338583</v>
      </c>
      <c r="D44" s="16">
        <f>B44/'- 7 -'!$C44</f>
        <v>881.67597765363132</v>
      </c>
      <c r="E44" s="16">
        <v>0</v>
      </c>
      <c r="F44" s="267">
        <f>E44/'- 3 -'!$D44*100</f>
        <v>0</v>
      </c>
      <c r="G44" s="16" t="str">
        <f>IF('- 7 -'!$B44=0,"",E44/'- 7 -'!$B44)</f>
        <v/>
      </c>
    </row>
    <row r="45" spans="1:7" ht="14.1" customHeight="1" x14ac:dyDescent="0.2">
      <c r="A45" s="271" t="s">
        <v>137</v>
      </c>
      <c r="B45" s="272">
        <v>1443016</v>
      </c>
      <c r="C45" s="273">
        <f>B45/'- 3 -'!$D45*100</f>
        <v>7.1342535446044355</v>
      </c>
      <c r="D45" s="272">
        <f>B45/'- 7 -'!$C45</f>
        <v>833.15011547344113</v>
      </c>
      <c r="E45" s="272">
        <v>353480</v>
      </c>
      <c r="F45" s="273">
        <f>E45/'- 3 -'!$D45*100</f>
        <v>1.7476008186650571</v>
      </c>
      <c r="G45" s="272">
        <f>IF('- 7 -'!$B45=0,"",E45/'- 7 -'!$B45)</f>
        <v>8837</v>
      </c>
    </row>
    <row r="46" spans="1:7" ht="14.1" customHeight="1" x14ac:dyDescent="0.2">
      <c r="A46" s="15" t="s">
        <v>138</v>
      </c>
      <c r="B46" s="16">
        <v>29431400</v>
      </c>
      <c r="C46" s="267">
        <f>B46/'- 3 -'!$D46*100</f>
        <v>7.3128085837306571</v>
      </c>
      <c r="D46" s="16">
        <f>B46/'- 7 -'!$C46</f>
        <v>972.60124584854839</v>
      </c>
      <c r="E46" s="16">
        <v>6206800</v>
      </c>
      <c r="F46" s="267">
        <f>E46/'- 3 -'!$D46*100</f>
        <v>1.5422011972756797</v>
      </c>
      <c r="G46" s="16">
        <f>IF('- 7 -'!$B46=0,"",E46/'- 7 -'!$B46)</f>
        <v>8890.989829537315</v>
      </c>
    </row>
    <row r="47" spans="1:7" ht="5.0999999999999996" customHeight="1" x14ac:dyDescent="0.2">
      <c r="A47"/>
      <c r="B47"/>
      <c r="C47"/>
      <c r="D47"/>
      <c r="E47"/>
      <c r="F47"/>
      <c r="G47"/>
    </row>
    <row r="48" spans="1:7" ht="14.1" customHeight="1" x14ac:dyDescent="0.2">
      <c r="A48" s="274" t="s">
        <v>139</v>
      </c>
      <c r="B48" s="275">
        <f>SUM(B11:B46)</f>
        <v>176207316</v>
      </c>
      <c r="C48" s="276">
        <f>B48/'- 3 -'!$D48*100</f>
        <v>7.4277087717272625</v>
      </c>
      <c r="D48" s="275">
        <f>B48/'- 7 -'!$C48</f>
        <v>992.98771754013342</v>
      </c>
      <c r="E48" s="275">
        <f>SUM(E11:E46)</f>
        <v>33405229</v>
      </c>
      <c r="F48" s="276">
        <f>E48/'- 3 -'!$D48*100</f>
        <v>1.4081385387247936</v>
      </c>
      <c r="G48" s="275">
        <f>E48/'- 7 -'!$B48</f>
        <v>7279.0057214363969</v>
      </c>
    </row>
    <row r="49" spans="1:7" ht="5.0999999999999996" customHeight="1" x14ac:dyDescent="0.2">
      <c r="A49" s="17" t="s">
        <v>1</v>
      </c>
      <c r="B49" s="18"/>
      <c r="C49" s="266"/>
      <c r="D49" s="18"/>
      <c r="E49" s="18"/>
      <c r="F49" s="266"/>
    </row>
    <row r="50" spans="1:7" ht="14.1" customHeight="1" x14ac:dyDescent="0.2">
      <c r="A50" s="15" t="s">
        <v>140</v>
      </c>
      <c r="B50" s="16">
        <v>274521</v>
      </c>
      <c r="C50" s="267">
        <f>B50/'- 3 -'!$D50*100</f>
        <v>7.7117839404903705</v>
      </c>
      <c r="D50" s="16">
        <f>B50/'- 7 -'!$C50</f>
        <v>1694.5740740740741</v>
      </c>
      <c r="E50" s="16">
        <v>0</v>
      </c>
      <c r="F50" s="267">
        <f>E50/'- 3 -'!$D50*100</f>
        <v>0</v>
      </c>
      <c r="G50" s="16" t="str">
        <f>IF('- 7 -'!$B50=0,"",E50/'- 7 -'!$B50)</f>
        <v/>
      </c>
    </row>
    <row r="51" spans="1:7" ht="14.1" customHeight="1" x14ac:dyDescent="0.2">
      <c r="A51" s="360" t="s">
        <v>516</v>
      </c>
      <c r="B51" s="272">
        <v>1404150</v>
      </c>
      <c r="C51" s="273">
        <f>B51/'- 3 -'!$D51*100</f>
        <v>4.5875151957459064</v>
      </c>
      <c r="D51" s="272">
        <f>B51/'- 7 -'!$C51</f>
        <v>1317.2138836772983</v>
      </c>
      <c r="E51" s="272">
        <v>5206656</v>
      </c>
      <c r="F51" s="273">
        <f>E51/'- 3 -'!$D51*100</f>
        <v>17.010727856013673</v>
      </c>
      <c r="G51" s="272">
        <f>IF('- 7 -'!$B51=0,"",E51/'- 7 -'!$B51)</f>
        <v>5495.1514511873347</v>
      </c>
    </row>
    <row r="52" spans="1:7" ht="50.1" customHeight="1" x14ac:dyDescent="0.2">
      <c r="B52" s="46"/>
      <c r="C52" s="46"/>
      <c r="D52" s="46"/>
      <c r="E52" s="46"/>
      <c r="F52" s="46"/>
      <c r="G52" s="46"/>
    </row>
    <row r="53" spans="1:7" ht="15" customHeight="1" x14ac:dyDescent="0.2">
      <c r="C53" s="46"/>
      <c r="D53" s="46"/>
      <c r="E53" s="46"/>
      <c r="F53" s="46"/>
      <c r="G53" s="46"/>
    </row>
    <row r="54" spans="1:7" ht="14.45" customHeight="1" x14ac:dyDescent="0.2"/>
    <row r="55" spans="1:7" ht="14.45" customHeight="1" x14ac:dyDescent="0.2"/>
    <row r="56" spans="1:7" ht="14.45" customHeight="1" x14ac:dyDescent="0.2"/>
    <row r="57" spans="1:7" ht="14.45" customHeight="1" x14ac:dyDescent="0.2"/>
    <row r="58" spans="1:7" ht="14.45" customHeight="1" x14ac:dyDescent="0.2"/>
    <row r="59" spans="1:7" ht="14.45" customHeight="1" x14ac:dyDescent="0.2"/>
  </sheetData>
  <mergeCells count="5">
    <mergeCell ref="B5:G5"/>
    <mergeCell ref="B6:D7"/>
    <mergeCell ref="E6:G7"/>
    <mergeCell ref="D8:D9"/>
    <mergeCell ref="G8:G9"/>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59"/>
  <sheetViews>
    <sheetView showGridLines="0" showZeros="0" workbookViewId="0"/>
  </sheetViews>
  <sheetFormatPr defaultColWidth="15.83203125" defaultRowHeight="12" x14ac:dyDescent="0.2"/>
  <cols>
    <col min="1" max="1" width="32.83203125" style="1" customWidth="1"/>
    <col min="2" max="2" width="14.83203125" style="1" customWidth="1"/>
    <col min="3" max="3" width="7.83203125" style="1" customWidth="1"/>
    <col min="4" max="4" width="9.83203125" style="1" customWidth="1"/>
    <col min="5" max="5" width="12.33203125" style="1" customWidth="1"/>
    <col min="6" max="6" width="7.83203125" style="1" customWidth="1"/>
    <col min="7" max="7" width="9.83203125" style="1" customWidth="1"/>
    <col min="8" max="8" width="12.5" style="1" customWidth="1"/>
    <col min="9" max="9" width="7.83203125" style="1" customWidth="1"/>
    <col min="10" max="10" width="9.83203125" style="1" customWidth="1"/>
    <col min="11" max="16384" width="15.83203125" style="1"/>
  </cols>
  <sheetData>
    <row r="1" spans="1:10" ht="6.95" customHeight="1" x14ac:dyDescent="0.2">
      <c r="A1" s="3"/>
      <c r="B1" s="3"/>
      <c r="C1" s="3"/>
      <c r="D1" s="3"/>
      <c r="E1" s="3"/>
      <c r="F1" s="3"/>
      <c r="G1" s="3"/>
      <c r="H1" s="32"/>
      <c r="I1" s="32"/>
      <c r="J1" s="32"/>
    </row>
    <row r="2" spans="1:10" ht="15.95" customHeight="1" x14ac:dyDescent="0.2">
      <c r="A2" s="132"/>
      <c r="B2" s="5" t="str">
        <f>AEXP_BP</f>
        <v>ANALYSIS OF EXPENSE BY PROGRAM</v>
      </c>
      <c r="C2" s="35"/>
      <c r="D2" s="35"/>
      <c r="E2" s="152"/>
      <c r="F2" s="152"/>
      <c r="G2" s="152"/>
      <c r="H2" s="152"/>
      <c r="I2" s="33"/>
      <c r="J2" s="503" t="s">
        <v>526</v>
      </c>
    </row>
    <row r="3" spans="1:10" ht="15.95" customHeight="1" x14ac:dyDescent="0.2">
      <c r="A3" s="135"/>
      <c r="B3" s="86" t="str">
        <f>OPYEAR</f>
        <v>OPERATING FUND 2017/2018 BUDGET</v>
      </c>
      <c r="C3" s="39"/>
      <c r="D3" s="39"/>
      <c r="E3" s="153"/>
      <c r="F3" s="153"/>
      <c r="G3" s="153"/>
      <c r="H3" s="153"/>
      <c r="I3" s="37"/>
      <c r="J3" s="167"/>
    </row>
    <row r="4" spans="1:10" ht="15.95" customHeight="1" x14ac:dyDescent="0.2">
      <c r="H4" s="32"/>
      <c r="I4" s="32"/>
      <c r="J4" s="32"/>
    </row>
    <row r="5" spans="1:10" ht="15.95" customHeight="1" x14ac:dyDescent="0.2">
      <c r="B5" s="466" t="s">
        <v>235</v>
      </c>
      <c r="C5" s="191"/>
      <c r="D5" s="191"/>
      <c r="E5" s="191"/>
      <c r="F5" s="191"/>
      <c r="G5" s="191"/>
      <c r="H5" s="191"/>
      <c r="I5" s="467"/>
      <c r="J5" s="468"/>
    </row>
    <row r="6" spans="1:10" ht="15.95" customHeight="1" x14ac:dyDescent="0.2">
      <c r="B6" s="652" t="s">
        <v>237</v>
      </c>
      <c r="C6" s="653"/>
      <c r="D6" s="653"/>
      <c r="E6" s="653"/>
      <c r="F6" s="653"/>
      <c r="G6" s="653"/>
      <c r="H6" s="653"/>
      <c r="I6" s="653"/>
      <c r="J6" s="654"/>
    </row>
    <row r="7" spans="1:10" ht="15.95" customHeight="1" x14ac:dyDescent="0.2">
      <c r="B7" s="655" t="s">
        <v>15</v>
      </c>
      <c r="C7" s="653"/>
      <c r="D7" s="654"/>
      <c r="E7" s="655" t="s">
        <v>16</v>
      </c>
      <c r="F7" s="653"/>
      <c r="G7" s="654"/>
      <c r="H7" s="655" t="s">
        <v>17</v>
      </c>
      <c r="I7" s="653"/>
      <c r="J7" s="654"/>
    </row>
    <row r="8" spans="1:10" ht="15.95" customHeight="1" x14ac:dyDescent="0.2">
      <c r="A8" s="82"/>
      <c r="B8" s="174"/>
      <c r="C8" s="169"/>
      <c r="D8" s="538" t="s">
        <v>396</v>
      </c>
      <c r="E8" s="174"/>
      <c r="F8" s="169"/>
      <c r="G8" s="538" t="s">
        <v>396</v>
      </c>
      <c r="H8" s="162"/>
      <c r="I8" s="161"/>
      <c r="J8" s="538" t="s">
        <v>396</v>
      </c>
    </row>
    <row r="9" spans="1:10" ht="15.95" customHeight="1" x14ac:dyDescent="0.2">
      <c r="A9" s="27" t="s">
        <v>37</v>
      </c>
      <c r="B9" s="43" t="s">
        <v>38</v>
      </c>
      <c r="C9" s="43" t="s">
        <v>39</v>
      </c>
      <c r="D9" s="578"/>
      <c r="E9" s="43" t="s">
        <v>38</v>
      </c>
      <c r="F9" s="43" t="s">
        <v>39</v>
      </c>
      <c r="G9" s="578"/>
      <c r="H9" s="163" t="s">
        <v>38</v>
      </c>
      <c r="I9" s="43" t="s">
        <v>39</v>
      </c>
      <c r="J9" s="578"/>
    </row>
    <row r="10" spans="1:10" ht="5.0999999999999996" customHeight="1" x14ac:dyDescent="0.2">
      <c r="A10" s="29"/>
      <c r="B10" s="46"/>
      <c r="C10" s="46"/>
      <c r="D10" s="46"/>
      <c r="E10" s="46"/>
      <c r="F10" s="46"/>
      <c r="G10" s="46"/>
      <c r="H10" s="46"/>
      <c r="I10" s="46"/>
      <c r="J10" s="46"/>
    </row>
    <row r="11" spans="1:10" ht="14.1" customHeight="1" x14ac:dyDescent="0.2">
      <c r="A11" s="271" t="s">
        <v>104</v>
      </c>
      <c r="B11" s="272">
        <v>11514395</v>
      </c>
      <c r="C11" s="273">
        <f>B11/'- 3 -'!$D11*100</f>
        <v>57.079340337350423</v>
      </c>
      <c r="D11" s="272">
        <f>B11/'- 6 -'!$B11</f>
        <v>6411.1330734966596</v>
      </c>
      <c r="E11" s="272">
        <v>0</v>
      </c>
      <c r="F11" s="273">
        <f>E11/'- 3 -'!$D11*100</f>
        <v>0</v>
      </c>
      <c r="G11" s="272" t="str">
        <f>IF('- 6 -'!$C11=0,"",E11/'- 6 -'!$C11)</f>
        <v/>
      </c>
      <c r="H11" s="272">
        <v>0</v>
      </c>
      <c r="I11" s="273">
        <f>H11/'- 3 -'!$D11*100</f>
        <v>0</v>
      </c>
      <c r="J11" s="272" t="str">
        <f>IF('- 6 -'!$D11=0,"",H11/'- 6 -'!$D11)</f>
        <v/>
      </c>
    </row>
    <row r="12" spans="1:10" ht="14.1" customHeight="1" x14ac:dyDescent="0.2">
      <c r="A12" s="15" t="s">
        <v>105</v>
      </c>
      <c r="B12" s="16">
        <v>15168038</v>
      </c>
      <c r="C12" s="267">
        <f>B12/'- 3 -'!$D12*100</f>
        <v>43.298103757331404</v>
      </c>
      <c r="D12" s="16">
        <f>B12/'- 6 -'!$B12</f>
        <v>7730.9062181447498</v>
      </c>
      <c r="E12" s="16">
        <v>0</v>
      </c>
      <c r="F12" s="267">
        <f>E12/'- 3 -'!$D12*100</f>
        <v>0</v>
      </c>
      <c r="G12" s="16" t="str">
        <f>IF('- 6 -'!$C12=0,"",E12/'- 6 -'!$C12)</f>
        <v/>
      </c>
      <c r="H12" s="16">
        <v>0</v>
      </c>
      <c r="I12" s="267">
        <f>H12/'- 3 -'!$D12*100</f>
        <v>0</v>
      </c>
      <c r="J12" s="16" t="str">
        <f>IF('- 6 -'!$D12=0,"",H12/'- 6 -'!$D12)</f>
        <v/>
      </c>
    </row>
    <row r="13" spans="1:10" ht="14.1" customHeight="1" x14ac:dyDescent="0.2">
      <c r="A13" s="271" t="s">
        <v>106</v>
      </c>
      <c r="B13" s="272">
        <v>40578800</v>
      </c>
      <c r="C13" s="273">
        <f>B13/'- 3 -'!$D13*100</f>
        <v>39.844857720783175</v>
      </c>
      <c r="D13" s="272">
        <f>B13/'- 6 -'!$B13</f>
        <v>6484.8262085497399</v>
      </c>
      <c r="E13" s="272">
        <v>0</v>
      </c>
      <c r="F13" s="273">
        <f>E13/'- 3 -'!$D13*100</f>
        <v>0</v>
      </c>
      <c r="G13" s="272" t="str">
        <f>IF('- 6 -'!$C13=0,"",E13/'- 6 -'!$C13)</f>
        <v/>
      </c>
      <c r="H13" s="272">
        <v>1945000</v>
      </c>
      <c r="I13" s="273">
        <f>H13/'- 3 -'!$D13*100</f>
        <v>1.9098210954223209</v>
      </c>
      <c r="J13" s="272">
        <f>IF('- 6 -'!$D13=0,"",H13/'- 6 -'!$D13)</f>
        <v>5589.0804597701153</v>
      </c>
    </row>
    <row r="14" spans="1:10" ht="14.1" customHeight="1" x14ac:dyDescent="0.2">
      <c r="A14" s="15" t="s">
        <v>315</v>
      </c>
      <c r="B14" s="16">
        <v>0</v>
      </c>
      <c r="C14" s="267">
        <f>B14/'- 3 -'!$D14*100</f>
        <v>0</v>
      </c>
      <c r="D14" s="16"/>
      <c r="E14" s="16">
        <v>43064032</v>
      </c>
      <c r="F14" s="267">
        <f>E14/'- 3 -'!$D14*100</f>
        <v>47.702928043071026</v>
      </c>
      <c r="G14" s="16">
        <f>IF('- 6 -'!$C14=0,"",E14/'- 6 -'!$C14)</f>
        <v>7759.2850450450451</v>
      </c>
      <c r="H14" s="16">
        <v>0</v>
      </c>
      <c r="I14" s="267">
        <f>H14/'- 3 -'!$D14*100</f>
        <v>0</v>
      </c>
      <c r="J14" s="16" t="str">
        <f>IF('- 6 -'!$D14=0,"",H14/'- 6 -'!$D14)</f>
        <v/>
      </c>
    </row>
    <row r="15" spans="1:10" ht="14.1" customHeight="1" x14ac:dyDescent="0.2">
      <c r="A15" s="271" t="s">
        <v>107</v>
      </c>
      <c r="B15" s="272">
        <v>9231686</v>
      </c>
      <c r="C15" s="273">
        <f>B15/'- 3 -'!$D15*100</f>
        <v>44.567297266452563</v>
      </c>
      <c r="D15" s="272">
        <f>B15/'- 6 -'!$B15</f>
        <v>6798.0014727540502</v>
      </c>
      <c r="E15" s="272">
        <v>0</v>
      </c>
      <c r="F15" s="273">
        <f>E15/'- 3 -'!$D15*100</f>
        <v>0</v>
      </c>
      <c r="G15" s="272" t="str">
        <f>IF('- 6 -'!$C15=0,"",E15/'- 6 -'!$C15)</f>
        <v/>
      </c>
      <c r="H15" s="272">
        <v>0</v>
      </c>
      <c r="I15" s="273">
        <f>H15/'- 3 -'!$D15*100</f>
        <v>0</v>
      </c>
      <c r="J15" s="272" t="str">
        <f>IF('- 6 -'!$D15=0,"",H15/'- 6 -'!$D15)</f>
        <v/>
      </c>
    </row>
    <row r="16" spans="1:10" ht="14.1" customHeight="1" x14ac:dyDescent="0.2">
      <c r="A16" s="15" t="s">
        <v>108</v>
      </c>
      <c r="B16" s="16">
        <v>4354787</v>
      </c>
      <c r="C16" s="267">
        <f>B16/'- 3 -'!$D16*100</f>
        <v>29.44254656747345</v>
      </c>
      <c r="D16" s="16">
        <f>B16/'- 6 -'!$B16</f>
        <v>7896.2592928377153</v>
      </c>
      <c r="E16" s="16">
        <v>0</v>
      </c>
      <c r="F16" s="267">
        <f>E16/'- 3 -'!$D16*100</f>
        <v>0</v>
      </c>
      <c r="G16" s="16" t="str">
        <f>IF('- 6 -'!$C16=0,"",E16/'- 6 -'!$C16)</f>
        <v/>
      </c>
      <c r="H16" s="16">
        <v>0</v>
      </c>
      <c r="I16" s="267">
        <f>H16/'- 3 -'!$D16*100</f>
        <v>0</v>
      </c>
      <c r="J16" s="16" t="str">
        <f>IF('- 6 -'!$D16=0,"",H16/'- 6 -'!$D16)</f>
        <v/>
      </c>
    </row>
    <row r="17" spans="1:10" ht="14.1" customHeight="1" x14ac:dyDescent="0.2">
      <c r="A17" s="271" t="s">
        <v>109</v>
      </c>
      <c r="B17" s="272">
        <v>9074356</v>
      </c>
      <c r="C17" s="273">
        <f>B17/'- 3 -'!$D17*100</f>
        <v>48.525018173441097</v>
      </c>
      <c r="D17" s="272">
        <f>B17/'- 6 -'!$B17</f>
        <v>6582.7754805948498</v>
      </c>
      <c r="E17" s="272">
        <v>0</v>
      </c>
      <c r="F17" s="273">
        <f>E17/'- 3 -'!$D17*100</f>
        <v>0</v>
      </c>
      <c r="G17" s="272" t="str">
        <f>IF('- 6 -'!$C17=0,"",E17/'- 6 -'!$C17)</f>
        <v/>
      </c>
      <c r="H17" s="272">
        <v>0</v>
      </c>
      <c r="I17" s="273">
        <f>H17/'- 3 -'!$D17*100</f>
        <v>0</v>
      </c>
      <c r="J17" s="272" t="str">
        <f>IF('- 6 -'!$D17=0,"",H17/'- 6 -'!$D17)</f>
        <v/>
      </c>
    </row>
    <row r="18" spans="1:10" ht="14.1" customHeight="1" x14ac:dyDescent="0.2">
      <c r="A18" s="15" t="s">
        <v>110</v>
      </c>
      <c r="B18" s="16">
        <v>47453289</v>
      </c>
      <c r="C18" s="267">
        <f>B18/'- 3 -'!$D18*100</f>
        <v>36.017279171734984</v>
      </c>
      <c r="D18" s="16">
        <f>B18/'- 6 -'!$B18</f>
        <v>7823.0882983283327</v>
      </c>
      <c r="E18" s="16">
        <v>0</v>
      </c>
      <c r="F18" s="267">
        <f>E18/'- 3 -'!$D18*100</f>
        <v>0</v>
      </c>
      <c r="G18" s="16" t="str">
        <f>IF('- 6 -'!$C18=0,"",E18/'- 6 -'!$C18)</f>
        <v/>
      </c>
      <c r="H18" s="16">
        <v>0</v>
      </c>
      <c r="I18" s="267">
        <f>H18/'- 3 -'!$D18*100</f>
        <v>0</v>
      </c>
      <c r="J18" s="16" t="str">
        <f>IF('- 6 -'!$D18=0,"",H18/'- 6 -'!$D18)</f>
        <v/>
      </c>
    </row>
    <row r="19" spans="1:10" ht="14.1" customHeight="1" x14ac:dyDescent="0.2">
      <c r="A19" s="271" t="s">
        <v>111</v>
      </c>
      <c r="B19" s="272">
        <v>22969228</v>
      </c>
      <c r="C19" s="273">
        <f>B19/'- 3 -'!$D19*100</f>
        <v>47.133074890940307</v>
      </c>
      <c r="D19" s="272">
        <f>B19/'- 6 -'!$B19</f>
        <v>5451.3416399667731</v>
      </c>
      <c r="E19" s="272">
        <v>0</v>
      </c>
      <c r="F19" s="273">
        <f>E19/'- 3 -'!$D19*100</f>
        <v>0</v>
      </c>
      <c r="G19" s="272" t="str">
        <f>IF('- 6 -'!$C19=0,"",E19/'- 6 -'!$C19)</f>
        <v/>
      </c>
      <c r="H19" s="272">
        <v>0</v>
      </c>
      <c r="I19" s="273">
        <f>H19/'- 3 -'!$D19*100</f>
        <v>0</v>
      </c>
      <c r="J19" s="272" t="str">
        <f>IF('- 6 -'!$D19=0,"",H19/'- 6 -'!$D19)</f>
        <v/>
      </c>
    </row>
    <row r="20" spans="1:10" ht="14.1" customHeight="1" x14ac:dyDescent="0.2">
      <c r="A20" s="15" t="s">
        <v>112</v>
      </c>
      <c r="B20" s="16">
        <v>42794600</v>
      </c>
      <c r="C20" s="267">
        <f>B20/'- 3 -'!$D20*100</f>
        <v>50.406601742309661</v>
      </c>
      <c r="D20" s="16">
        <f>B20/'- 6 -'!$B20</f>
        <v>5900.8314603642984</v>
      </c>
      <c r="E20" s="16">
        <v>0</v>
      </c>
      <c r="F20" s="267">
        <f>E20/'- 3 -'!$D20*100</f>
        <v>0</v>
      </c>
      <c r="G20" s="16" t="str">
        <f>IF('- 6 -'!$C20=0,"",E20/'- 6 -'!$C20)</f>
        <v/>
      </c>
      <c r="H20" s="16">
        <v>0</v>
      </c>
      <c r="I20" s="267">
        <f>H20/'- 3 -'!$D20*100</f>
        <v>0</v>
      </c>
      <c r="J20" s="16" t="str">
        <f>IF('- 6 -'!$D20=0,"",H20/'- 6 -'!$D20)</f>
        <v/>
      </c>
    </row>
    <row r="21" spans="1:10" ht="14.1" customHeight="1" x14ac:dyDescent="0.2">
      <c r="A21" s="271" t="s">
        <v>113</v>
      </c>
      <c r="B21" s="272">
        <v>14361933</v>
      </c>
      <c r="C21" s="273">
        <f>B21/'- 3 -'!$D21*100</f>
        <v>38.670342008756201</v>
      </c>
      <c r="D21" s="272">
        <f>B21/'- 6 -'!$B21</f>
        <v>7012.66259765625</v>
      </c>
      <c r="E21" s="272">
        <v>0</v>
      </c>
      <c r="F21" s="273">
        <f>E21/'- 3 -'!$D21*100</f>
        <v>0</v>
      </c>
      <c r="G21" s="272" t="str">
        <f>IF('- 6 -'!$C21=0,"",E21/'- 6 -'!$C21)</f>
        <v/>
      </c>
      <c r="H21" s="272">
        <v>0</v>
      </c>
      <c r="I21" s="273">
        <f>H21/'- 3 -'!$D21*100</f>
        <v>0</v>
      </c>
      <c r="J21" s="272" t="str">
        <f>IF('- 6 -'!$D21=0,"",H21/'- 6 -'!$D21)</f>
        <v/>
      </c>
    </row>
    <row r="22" spans="1:10" ht="14.1" customHeight="1" x14ac:dyDescent="0.2">
      <c r="A22" s="15" t="s">
        <v>114</v>
      </c>
      <c r="B22" s="16">
        <v>4817859</v>
      </c>
      <c r="C22" s="267">
        <f>B22/'- 3 -'!$D22*100</f>
        <v>22.597424343550941</v>
      </c>
      <c r="D22" s="16">
        <f>B22/'- 6 -'!$B22</f>
        <v>5415.1500505788463</v>
      </c>
      <c r="E22" s="16">
        <v>0</v>
      </c>
      <c r="F22" s="267">
        <f>E22/'- 3 -'!$D22*100</f>
        <v>0</v>
      </c>
      <c r="G22" s="16" t="str">
        <f>IF('- 6 -'!$C22=0,"",E22/'- 6 -'!$C22)</f>
        <v/>
      </c>
      <c r="H22" s="16">
        <v>0</v>
      </c>
      <c r="I22" s="267">
        <f>H22/'- 3 -'!$D22*100</f>
        <v>0</v>
      </c>
      <c r="J22" s="16" t="str">
        <f>IF('- 6 -'!$D22=0,"",H22/'- 6 -'!$D22)</f>
        <v/>
      </c>
    </row>
    <row r="23" spans="1:10" ht="14.1" customHeight="1" x14ac:dyDescent="0.2">
      <c r="A23" s="271" t="s">
        <v>115</v>
      </c>
      <c r="B23" s="272">
        <v>7593449</v>
      </c>
      <c r="C23" s="273">
        <f>B23/'- 3 -'!$D23*100</f>
        <v>45.10606724190481</v>
      </c>
      <c r="D23" s="272">
        <f>B23/'- 6 -'!$B23</f>
        <v>6960.0815765352891</v>
      </c>
      <c r="E23" s="272">
        <v>0</v>
      </c>
      <c r="F23" s="273">
        <f>E23/'- 3 -'!$D23*100</f>
        <v>0</v>
      </c>
      <c r="G23" s="272" t="str">
        <f>IF('- 6 -'!$C23=0,"",E23/'- 6 -'!$C23)</f>
        <v/>
      </c>
      <c r="H23" s="272">
        <v>0</v>
      </c>
      <c r="I23" s="273">
        <f>H23/'- 3 -'!$D23*100</f>
        <v>0</v>
      </c>
      <c r="J23" s="272" t="str">
        <f>IF('- 6 -'!$D23=0,"",H23/'- 6 -'!$D23)</f>
        <v/>
      </c>
    </row>
    <row r="24" spans="1:10" ht="14.1" customHeight="1" x14ac:dyDescent="0.2">
      <c r="A24" s="15" t="s">
        <v>116</v>
      </c>
      <c r="B24" s="16">
        <v>20959875</v>
      </c>
      <c r="C24" s="267">
        <f>B24/'- 3 -'!$D24*100</f>
        <v>35.878298101410479</v>
      </c>
      <c r="D24" s="16">
        <f>B24/'- 6 -'!$B24</f>
        <v>7592.7821046911795</v>
      </c>
      <c r="E24" s="16">
        <v>0</v>
      </c>
      <c r="F24" s="267">
        <f>E24/'- 3 -'!$D24*100</f>
        <v>0</v>
      </c>
      <c r="G24" s="16" t="str">
        <f>IF('- 6 -'!$C24=0,"",E24/'- 6 -'!$C24)</f>
        <v/>
      </c>
      <c r="H24" s="16">
        <v>1680760</v>
      </c>
      <c r="I24" s="267">
        <f>H24/'- 3 -'!$D24*100</f>
        <v>2.8770595395691374</v>
      </c>
      <c r="J24" s="16">
        <f>IF('- 6 -'!$D24=0,"",H24/'- 6 -'!$D24)</f>
        <v>7062.0168067226887</v>
      </c>
    </row>
    <row r="25" spans="1:10" ht="14.1" customHeight="1" x14ac:dyDescent="0.2">
      <c r="A25" s="271" t="s">
        <v>117</v>
      </c>
      <c r="B25" s="272">
        <v>60862075</v>
      </c>
      <c r="C25" s="273">
        <f>B25/'- 3 -'!$D25*100</f>
        <v>33.434808674814178</v>
      </c>
      <c r="D25" s="272">
        <f>B25/'- 6 -'!$B25</f>
        <v>6488.42496348653</v>
      </c>
      <c r="E25" s="272">
        <v>0</v>
      </c>
      <c r="F25" s="273">
        <f>E25/'- 3 -'!$D25*100</f>
        <v>0</v>
      </c>
      <c r="G25" s="272" t="str">
        <f>IF('- 6 -'!$C25=0,"",E25/'- 6 -'!$C25)</f>
        <v/>
      </c>
      <c r="H25" s="272">
        <v>25286994</v>
      </c>
      <c r="I25" s="273">
        <f>H25/'- 3 -'!$D25*100</f>
        <v>13.891504789331849</v>
      </c>
      <c r="J25" s="272">
        <f>IF('- 6 -'!$D25=0,"",H25/'- 6 -'!$D25)</f>
        <v>5686.9434386596204</v>
      </c>
    </row>
    <row r="26" spans="1:10" ht="14.1" customHeight="1" x14ac:dyDescent="0.2">
      <c r="A26" s="15" t="s">
        <v>118</v>
      </c>
      <c r="B26" s="16">
        <v>15934120</v>
      </c>
      <c r="C26" s="267">
        <f>B26/'- 3 -'!$D26*100</f>
        <v>38.703740979629629</v>
      </c>
      <c r="D26" s="16">
        <f>B26/'- 6 -'!$B26</f>
        <v>6677.0533020449211</v>
      </c>
      <c r="E26" s="16">
        <v>0</v>
      </c>
      <c r="F26" s="267">
        <f>E26/'- 3 -'!$D26*100</f>
        <v>0</v>
      </c>
      <c r="G26" s="16" t="str">
        <f>IF('- 6 -'!$C26=0,"",E26/'- 6 -'!$C26)</f>
        <v/>
      </c>
      <c r="H26" s="16">
        <v>1166177</v>
      </c>
      <c r="I26" s="267">
        <f>H26/'- 3 -'!$D26*100</f>
        <v>2.8326266241500342</v>
      </c>
      <c r="J26" s="16">
        <f>IF('- 6 -'!$D26=0,"",H26/'- 6 -'!$D26)</f>
        <v>5830.8850000000002</v>
      </c>
    </row>
    <row r="27" spans="1:10" ht="14.1" customHeight="1" x14ac:dyDescent="0.2">
      <c r="A27" s="271" t="s">
        <v>119</v>
      </c>
      <c r="B27" s="272">
        <v>17910543</v>
      </c>
      <c r="C27" s="273">
        <f>B27/'- 3 -'!$D27*100</f>
        <v>40.66379971731002</v>
      </c>
      <c r="D27" s="272">
        <f>B27/'- 6 -'!$B27</f>
        <v>7377.8806228373705</v>
      </c>
      <c r="E27" s="272">
        <v>0</v>
      </c>
      <c r="F27" s="273">
        <f>E27/'- 3 -'!$D27*100</f>
        <v>0</v>
      </c>
      <c r="G27" s="272" t="str">
        <f>IF('- 6 -'!$C27=0,"",E27/'- 6 -'!$C27)</f>
        <v/>
      </c>
      <c r="H27" s="272">
        <v>0</v>
      </c>
      <c r="I27" s="273">
        <f>H27/'- 3 -'!$D27*100</f>
        <v>0</v>
      </c>
      <c r="J27" s="272" t="str">
        <f>IF('- 6 -'!$D27=0,"",H27/'- 6 -'!$D27)</f>
        <v/>
      </c>
    </row>
    <row r="28" spans="1:10" ht="14.1" customHeight="1" x14ac:dyDescent="0.2">
      <c r="A28" s="15" t="s">
        <v>120</v>
      </c>
      <c r="B28" s="16">
        <v>14844848</v>
      </c>
      <c r="C28" s="267">
        <f>B28/'- 3 -'!$D28*100</f>
        <v>51.373400335499944</v>
      </c>
      <c r="D28" s="16">
        <f>B28/'- 6 -'!$B28</f>
        <v>7577.7682491066871</v>
      </c>
      <c r="E28" s="16">
        <v>0</v>
      </c>
      <c r="F28" s="267">
        <f>E28/'- 3 -'!$D28*100</f>
        <v>0</v>
      </c>
      <c r="G28" s="16" t="str">
        <f>IF('- 6 -'!$C28=0,"",E28/'- 6 -'!$C28)</f>
        <v/>
      </c>
      <c r="H28" s="16">
        <v>0</v>
      </c>
      <c r="I28" s="267">
        <f>H28/'- 3 -'!$D28*100</f>
        <v>0</v>
      </c>
      <c r="J28" s="16" t="str">
        <f>IF('- 6 -'!$D28=0,"",H28/'- 6 -'!$D28)</f>
        <v/>
      </c>
    </row>
    <row r="29" spans="1:10" ht="14.1" customHeight="1" x14ac:dyDescent="0.2">
      <c r="A29" s="271" t="s">
        <v>121</v>
      </c>
      <c r="B29" s="272">
        <v>51504815</v>
      </c>
      <c r="C29" s="273">
        <f>B29/'- 3 -'!$D29*100</f>
        <v>31.333258639394607</v>
      </c>
      <c r="D29" s="272">
        <f>B29/'- 6 -'!$B29</f>
        <v>6583.3469674698026</v>
      </c>
      <c r="E29" s="272">
        <v>0</v>
      </c>
      <c r="F29" s="273">
        <f>E29/'- 3 -'!$D29*100</f>
        <v>0</v>
      </c>
      <c r="G29" s="272" t="str">
        <f>IF('- 6 -'!$C29=0,"",E29/'- 6 -'!$C29)</f>
        <v/>
      </c>
      <c r="H29" s="272">
        <v>7250002</v>
      </c>
      <c r="I29" s="273">
        <f>H29/'- 3 -'!$D29*100</f>
        <v>4.4105815699392021</v>
      </c>
      <c r="J29" s="272">
        <f>IF('- 6 -'!$D29=0,"",H29/'- 6 -'!$D29)</f>
        <v>6337.4143356643353</v>
      </c>
    </row>
    <row r="30" spans="1:10" ht="14.1" customHeight="1" x14ac:dyDescent="0.2">
      <c r="A30" s="15" t="s">
        <v>122</v>
      </c>
      <c r="B30" s="16">
        <v>7798021</v>
      </c>
      <c r="C30" s="267">
        <f>B30/'- 3 -'!$D30*100</f>
        <v>51.481733111571202</v>
      </c>
      <c r="D30" s="16">
        <f>B30/'- 6 -'!$B30</f>
        <v>7678.99655342196</v>
      </c>
      <c r="E30" s="16">
        <v>0</v>
      </c>
      <c r="F30" s="267">
        <f>E30/'- 3 -'!$D30*100</f>
        <v>0</v>
      </c>
      <c r="G30" s="16" t="str">
        <f>IF('- 6 -'!$C30=0,"",E30/'- 6 -'!$C30)</f>
        <v/>
      </c>
      <c r="H30" s="16">
        <v>0</v>
      </c>
      <c r="I30" s="267">
        <f>H30/'- 3 -'!$D30*100</f>
        <v>0</v>
      </c>
      <c r="J30" s="16" t="str">
        <f>IF('- 6 -'!$D30=0,"",H30/'- 6 -'!$D30)</f>
        <v/>
      </c>
    </row>
    <row r="31" spans="1:10" ht="14.1" customHeight="1" x14ac:dyDescent="0.2">
      <c r="A31" s="271" t="s">
        <v>123</v>
      </c>
      <c r="B31" s="272">
        <v>14963504</v>
      </c>
      <c r="C31" s="273">
        <f>B31/'- 3 -'!$D31*100</f>
        <v>39.082466633583202</v>
      </c>
      <c r="D31" s="272">
        <f>B31/'- 6 -'!$B31</f>
        <v>6156.5537955153259</v>
      </c>
      <c r="E31" s="272">
        <v>0</v>
      </c>
      <c r="F31" s="273">
        <f>E31/'- 3 -'!$D31*100</f>
        <v>0</v>
      </c>
      <c r="G31" s="272" t="str">
        <f>IF('- 6 -'!$C31=0,"",E31/'- 6 -'!$C31)</f>
        <v/>
      </c>
      <c r="H31" s="272">
        <v>0</v>
      </c>
      <c r="I31" s="273">
        <f>H31/'- 3 -'!$D31*100</f>
        <v>0</v>
      </c>
      <c r="J31" s="272" t="str">
        <f>IF('- 6 -'!$D31=0,"",H31/'- 6 -'!$D31)</f>
        <v/>
      </c>
    </row>
    <row r="32" spans="1:10" ht="14.1" customHeight="1" x14ac:dyDescent="0.2">
      <c r="A32" s="15" t="s">
        <v>124</v>
      </c>
      <c r="B32" s="16">
        <v>13262419</v>
      </c>
      <c r="C32" s="267">
        <f>B32/'- 3 -'!$D32*100</f>
        <v>42.354032502164102</v>
      </c>
      <c r="D32" s="16">
        <f>B32/'- 6 -'!$B32</f>
        <v>7469.2605316512736</v>
      </c>
      <c r="E32" s="16">
        <v>0</v>
      </c>
      <c r="F32" s="267">
        <f>E32/'- 3 -'!$D32*100</f>
        <v>0</v>
      </c>
      <c r="G32" s="16" t="str">
        <f>IF('- 6 -'!$C32=0,"",E32/'- 6 -'!$C32)</f>
        <v/>
      </c>
      <c r="H32" s="16">
        <v>722864</v>
      </c>
      <c r="I32" s="267">
        <f>H32/'- 3 -'!$D32*100</f>
        <v>2.3084932960302602</v>
      </c>
      <c r="J32" s="16">
        <f>IF('- 6 -'!$D32=0,"",H32/'- 6 -'!$D32)</f>
        <v>5714.339920948617</v>
      </c>
    </row>
    <row r="33" spans="1:10" ht="14.1" customHeight="1" x14ac:dyDescent="0.2">
      <c r="A33" s="271" t="s">
        <v>125</v>
      </c>
      <c r="B33" s="272">
        <v>10531600</v>
      </c>
      <c r="C33" s="273">
        <f>B33/'- 3 -'!$D33*100</f>
        <v>37.116294150402119</v>
      </c>
      <c r="D33" s="272">
        <f>B33/'- 6 -'!$B33</f>
        <v>7025.7505003335555</v>
      </c>
      <c r="E33" s="272">
        <v>0</v>
      </c>
      <c r="F33" s="273">
        <f>E33/'- 3 -'!$D33*100</f>
        <v>0</v>
      </c>
      <c r="G33" s="272" t="str">
        <f>IF('- 6 -'!$C33=0,"",E33/'- 6 -'!$C33)</f>
        <v/>
      </c>
      <c r="H33" s="272">
        <v>0</v>
      </c>
      <c r="I33" s="273">
        <f>H33/'- 3 -'!$D33*100</f>
        <v>0</v>
      </c>
      <c r="J33" s="272" t="str">
        <f>IF('- 6 -'!$D33=0,"",H33/'- 6 -'!$D33)</f>
        <v/>
      </c>
    </row>
    <row r="34" spans="1:10" ht="14.1" customHeight="1" x14ac:dyDescent="0.2">
      <c r="A34" s="15" t="s">
        <v>126</v>
      </c>
      <c r="B34" s="16">
        <v>10616650</v>
      </c>
      <c r="C34" s="267">
        <f>B34/'- 3 -'!$D34*100</f>
        <v>34.531389016841345</v>
      </c>
      <c r="D34" s="16">
        <f>B34/'- 6 -'!$B34</f>
        <v>6687.6535433070867</v>
      </c>
      <c r="E34" s="16">
        <v>0</v>
      </c>
      <c r="F34" s="267">
        <f>E34/'- 3 -'!$D34*100</f>
        <v>0</v>
      </c>
      <c r="G34" s="16" t="str">
        <f>IF('- 6 -'!$C34=0,"",E34/'- 6 -'!$C34)</f>
        <v/>
      </c>
      <c r="H34" s="16">
        <v>1809611</v>
      </c>
      <c r="I34" s="267">
        <f>H34/'- 3 -'!$D34*100</f>
        <v>5.8858850400225391</v>
      </c>
      <c r="J34" s="16">
        <f>IF('- 6 -'!$D34=0,"",H34/'- 6 -'!$D34)</f>
        <v>7571.5941422594142</v>
      </c>
    </row>
    <row r="35" spans="1:10" ht="14.1" customHeight="1" x14ac:dyDescent="0.2">
      <c r="A35" s="271" t="s">
        <v>127</v>
      </c>
      <c r="B35" s="272">
        <v>57323130</v>
      </c>
      <c r="C35" s="273">
        <f>B35/'- 3 -'!$D35*100</f>
        <v>30.949079725211149</v>
      </c>
      <c r="D35" s="272">
        <f>B35/'- 6 -'!$B35</f>
        <v>6241.2902172137838</v>
      </c>
      <c r="E35" s="272">
        <v>0</v>
      </c>
      <c r="F35" s="273">
        <f>E35/'- 3 -'!$D35*100</f>
        <v>0</v>
      </c>
      <c r="G35" s="272" t="str">
        <f>IF('- 6 -'!$C35=0,"",E35/'- 6 -'!$C35)</f>
        <v/>
      </c>
      <c r="H35" s="272">
        <v>5972450</v>
      </c>
      <c r="I35" s="273">
        <f>H35/'- 3 -'!$D35*100</f>
        <v>3.2245592870598196</v>
      </c>
      <c r="J35" s="272">
        <f>IF('- 6 -'!$D35=0,"",H35/'- 6 -'!$D35)</f>
        <v>4770.3274760383383</v>
      </c>
    </row>
    <row r="36" spans="1:10" ht="14.1" customHeight="1" x14ac:dyDescent="0.2">
      <c r="A36" s="15" t="s">
        <v>128</v>
      </c>
      <c r="B36" s="16">
        <v>11978345</v>
      </c>
      <c r="C36" s="267">
        <f>B36/'- 3 -'!$D36*100</f>
        <v>49.963366953425663</v>
      </c>
      <c r="D36" s="16">
        <f>B36/'- 6 -'!$B36</f>
        <v>7152.958915561926</v>
      </c>
      <c r="E36" s="16">
        <v>0</v>
      </c>
      <c r="F36" s="267">
        <f>E36/'- 3 -'!$D36*100</f>
        <v>0</v>
      </c>
      <c r="G36" s="16" t="str">
        <f>IF('- 6 -'!$C36=0,"",E36/'- 6 -'!$C36)</f>
        <v/>
      </c>
      <c r="H36" s="16">
        <v>0</v>
      </c>
      <c r="I36" s="267">
        <f>H36/'- 3 -'!$D36*100</f>
        <v>0</v>
      </c>
      <c r="J36" s="16" t="str">
        <f>IF('- 6 -'!$D36=0,"",H36/'- 6 -'!$D36)</f>
        <v/>
      </c>
    </row>
    <row r="37" spans="1:10" ht="14.1" customHeight="1" x14ac:dyDescent="0.2">
      <c r="A37" s="271" t="s">
        <v>129</v>
      </c>
      <c r="B37" s="272">
        <v>12918911</v>
      </c>
      <c r="C37" s="273">
        <f>B37/'- 3 -'!$D37*100</f>
        <v>24.781628973163762</v>
      </c>
      <c r="D37" s="272">
        <f>B37/'- 6 -'!$B37</f>
        <v>6004.6065535672788</v>
      </c>
      <c r="E37" s="272">
        <v>0</v>
      </c>
      <c r="F37" s="273">
        <f>E37/'- 3 -'!$D37*100</f>
        <v>0</v>
      </c>
      <c r="G37" s="272" t="str">
        <f>IF('- 6 -'!$C37=0,"",E37/'- 6 -'!$C37)</f>
        <v/>
      </c>
      <c r="H37" s="272">
        <v>4656481</v>
      </c>
      <c r="I37" s="273">
        <f>H37/'- 3 -'!$D37*100</f>
        <v>8.9322687076787322</v>
      </c>
      <c r="J37" s="272">
        <f>IF('- 6 -'!$D37=0,"",H37/'- 6 -'!$D37)</f>
        <v>5995.2117934852577</v>
      </c>
    </row>
    <row r="38" spans="1:10" ht="14.1" customHeight="1" x14ac:dyDescent="0.2">
      <c r="A38" s="15" t="s">
        <v>130</v>
      </c>
      <c r="B38" s="16">
        <v>43529091</v>
      </c>
      <c r="C38" s="267">
        <f>B38/'- 3 -'!$D38*100</f>
        <v>30.824855081915949</v>
      </c>
      <c r="D38" s="16">
        <f>B38/'- 6 -'!$B38</f>
        <v>6629.4686262564728</v>
      </c>
      <c r="E38" s="16">
        <v>0</v>
      </c>
      <c r="F38" s="267">
        <f>E38/'- 3 -'!$D38*100</f>
        <v>0</v>
      </c>
      <c r="G38" s="16" t="str">
        <f>IF('- 6 -'!$C38=0,"",E38/'- 6 -'!$C38)</f>
        <v/>
      </c>
      <c r="H38" s="16">
        <v>3992144</v>
      </c>
      <c r="I38" s="267">
        <f>H38/'- 3 -'!$D38*100</f>
        <v>2.8270119462439558</v>
      </c>
      <c r="J38" s="16">
        <f>IF('- 6 -'!$D38=0,"",H38/'- 6 -'!$D38)</f>
        <v>6194.1722265321951</v>
      </c>
    </row>
    <row r="39" spans="1:10" ht="14.1" customHeight="1" x14ac:dyDescent="0.2">
      <c r="A39" s="271" t="s">
        <v>131</v>
      </c>
      <c r="B39" s="272">
        <v>11540200</v>
      </c>
      <c r="C39" s="273">
        <f>B39/'- 3 -'!$D39*100</f>
        <v>49.591436386333797</v>
      </c>
      <c r="D39" s="272">
        <f>B39/'- 6 -'!$B39</f>
        <v>7839.809782608696</v>
      </c>
      <c r="E39" s="272">
        <v>0</v>
      </c>
      <c r="F39" s="273">
        <f>E39/'- 3 -'!$D39*100</f>
        <v>0</v>
      </c>
      <c r="G39" s="272" t="str">
        <f>IF('- 6 -'!$C39=0,"",E39/'- 6 -'!$C39)</f>
        <v/>
      </c>
      <c r="H39" s="272">
        <v>0</v>
      </c>
      <c r="I39" s="273">
        <f>H39/'- 3 -'!$D39*100</f>
        <v>0</v>
      </c>
      <c r="J39" s="272" t="str">
        <f>IF('- 6 -'!$D39=0,"",H39/'- 6 -'!$D39)</f>
        <v/>
      </c>
    </row>
    <row r="40" spans="1:10" ht="14.1" customHeight="1" x14ac:dyDescent="0.2">
      <c r="A40" s="15" t="s">
        <v>132</v>
      </c>
      <c r="B40" s="16">
        <v>34913694</v>
      </c>
      <c r="C40" s="267">
        <f>B40/'- 3 -'!$D40*100</f>
        <v>32.387203252455457</v>
      </c>
      <c r="D40" s="16">
        <f>B40/'- 6 -'!$B40</f>
        <v>6407.358047348137</v>
      </c>
      <c r="E40" s="16">
        <v>0</v>
      </c>
      <c r="F40" s="267">
        <f>E40/'- 3 -'!$D40*100</f>
        <v>0</v>
      </c>
      <c r="G40" s="16" t="str">
        <f>IF('- 6 -'!$C40=0,"",E40/'- 6 -'!$C40)</f>
        <v/>
      </c>
      <c r="H40" s="16">
        <v>5332694</v>
      </c>
      <c r="I40" s="267">
        <f>H40/'- 3 -'!$D40*100</f>
        <v>4.9467995125680408</v>
      </c>
      <c r="J40" s="16">
        <f>IF('- 6 -'!$D40=0,"",H40/'- 6 -'!$D40)</f>
        <v>5534.7109496626881</v>
      </c>
    </row>
    <row r="41" spans="1:10" ht="14.1" customHeight="1" x14ac:dyDescent="0.2">
      <c r="A41" s="271" t="s">
        <v>133</v>
      </c>
      <c r="B41" s="272">
        <v>14779775</v>
      </c>
      <c r="C41" s="273">
        <f>B41/'- 3 -'!$D41*100</f>
        <v>22.884188681614543</v>
      </c>
      <c r="D41" s="272">
        <f>B41/'- 6 -'!$B41</f>
        <v>7152.0808129687875</v>
      </c>
      <c r="E41" s="272">
        <v>0</v>
      </c>
      <c r="F41" s="273">
        <f>E41/'- 3 -'!$D41*100</f>
        <v>0</v>
      </c>
      <c r="G41" s="272" t="str">
        <f>IF('- 6 -'!$C41=0,"",E41/'- 6 -'!$C41)</f>
        <v/>
      </c>
      <c r="H41" s="272">
        <v>0</v>
      </c>
      <c r="I41" s="273">
        <f>H41/'- 3 -'!$D41*100</f>
        <v>0</v>
      </c>
      <c r="J41" s="272" t="str">
        <f>IF('- 6 -'!$D41=0,"",H41/'- 6 -'!$D41)</f>
        <v/>
      </c>
    </row>
    <row r="42" spans="1:10" ht="14.1" customHeight="1" x14ac:dyDescent="0.2">
      <c r="A42" s="15" t="s">
        <v>134</v>
      </c>
      <c r="B42" s="16">
        <v>7557780</v>
      </c>
      <c r="C42" s="267">
        <f>B42/'- 3 -'!$D42*100</f>
        <v>35.229616337471327</v>
      </c>
      <c r="D42" s="16">
        <f>B42/'- 6 -'!$B42</f>
        <v>7599.5776772247364</v>
      </c>
      <c r="E42" s="16">
        <v>0</v>
      </c>
      <c r="F42" s="267">
        <f>E42/'- 3 -'!$D42*100</f>
        <v>0</v>
      </c>
      <c r="G42" s="16" t="str">
        <f>IF('- 6 -'!$C42=0,"",E42/'- 6 -'!$C42)</f>
        <v/>
      </c>
      <c r="H42" s="16">
        <v>0</v>
      </c>
      <c r="I42" s="267">
        <f>H42/'- 3 -'!$D42*100</f>
        <v>0</v>
      </c>
      <c r="J42" s="16" t="str">
        <f>IF('- 6 -'!$D42=0,"",H42/'- 6 -'!$D42)</f>
        <v/>
      </c>
    </row>
    <row r="43" spans="1:10" ht="14.1" customHeight="1" x14ac:dyDescent="0.2">
      <c r="A43" s="271" t="s">
        <v>135</v>
      </c>
      <c r="B43" s="272">
        <v>6794808</v>
      </c>
      <c r="C43" s="273">
        <f>B43/'- 3 -'!$D43*100</f>
        <v>49.708871166328166</v>
      </c>
      <c r="D43" s="272">
        <f>B43/'- 6 -'!$B43</f>
        <v>7373.638632664135</v>
      </c>
      <c r="E43" s="272">
        <v>0</v>
      </c>
      <c r="F43" s="273">
        <f>E43/'- 3 -'!$D43*100</f>
        <v>0</v>
      </c>
      <c r="G43" s="272" t="str">
        <f>IF('- 6 -'!$C43=0,"",E43/'- 6 -'!$C43)</f>
        <v/>
      </c>
      <c r="H43" s="272">
        <v>0</v>
      </c>
      <c r="I43" s="273">
        <f>H43/'- 3 -'!$D43*100</f>
        <v>0</v>
      </c>
      <c r="J43" s="272" t="str">
        <f>IF('- 6 -'!$D43=0,"",H43/'- 6 -'!$D43)</f>
        <v/>
      </c>
    </row>
    <row r="44" spans="1:10" ht="14.1" customHeight="1" x14ac:dyDescent="0.2">
      <c r="A44" s="15" t="s">
        <v>136</v>
      </c>
      <c r="B44" s="16">
        <v>5202370</v>
      </c>
      <c r="C44" s="267">
        <f>B44/'- 3 -'!$D44*100</f>
        <v>46.120203290347611</v>
      </c>
      <c r="D44" s="16">
        <f>B44/'- 6 -'!$B44</f>
        <v>7628.1085043988269</v>
      </c>
      <c r="E44" s="16">
        <v>0</v>
      </c>
      <c r="F44" s="267">
        <f>E44/'- 3 -'!$D44*100</f>
        <v>0</v>
      </c>
      <c r="G44" s="16" t="str">
        <f>IF('- 6 -'!$C44=0,"",E44/'- 6 -'!$C44)</f>
        <v/>
      </c>
      <c r="H44" s="16">
        <v>358701</v>
      </c>
      <c r="I44" s="267">
        <f>H44/'- 3 -'!$D44*100</f>
        <v>3.1799666383688545</v>
      </c>
      <c r="J44" s="16">
        <f>IF('- 6 -'!$D44=0,"",H44/'- 6 -'!$D44)</f>
        <v>10550.029411764706</v>
      </c>
    </row>
    <row r="45" spans="1:10" ht="14.1" customHeight="1" x14ac:dyDescent="0.2">
      <c r="A45" s="271" t="s">
        <v>137</v>
      </c>
      <c r="B45" s="272">
        <v>5122385</v>
      </c>
      <c r="C45" s="273">
        <f>B45/'- 3 -'!$D45*100</f>
        <v>25.325009108061579</v>
      </c>
      <c r="D45" s="272">
        <f>B45/'- 6 -'!$B45</f>
        <v>6669.772135416667</v>
      </c>
      <c r="E45" s="272">
        <v>0</v>
      </c>
      <c r="F45" s="273">
        <f>E45/'- 3 -'!$D45*100</f>
        <v>0</v>
      </c>
      <c r="G45" s="272" t="str">
        <f>IF('- 6 -'!$C45=0,"",E45/'- 6 -'!$C45)</f>
        <v/>
      </c>
      <c r="H45" s="272">
        <v>0</v>
      </c>
      <c r="I45" s="273">
        <f>H45/'- 3 -'!$D45*100</f>
        <v>0</v>
      </c>
      <c r="J45" s="272" t="str">
        <f>IF('- 6 -'!$D45=0,"",H45/'- 6 -'!$D45)</f>
        <v/>
      </c>
    </row>
    <row r="46" spans="1:10" ht="14.1" customHeight="1" x14ac:dyDescent="0.2">
      <c r="A46" s="15" t="s">
        <v>138</v>
      </c>
      <c r="B46" s="16">
        <v>138882050</v>
      </c>
      <c r="C46" s="267">
        <f>B46/'- 3 -'!$D46*100</f>
        <v>34.507969290149646</v>
      </c>
      <c r="D46" s="16">
        <f>B46/'- 6 -'!$B46</f>
        <v>6171.8772219852099</v>
      </c>
      <c r="E46" s="16">
        <v>0</v>
      </c>
      <c r="F46" s="267">
        <f>E46/'- 3 -'!$D46*100</f>
        <v>0</v>
      </c>
      <c r="G46" s="16" t="str">
        <f>IF('- 6 -'!$C46=0,"",E46/'- 6 -'!$C46)</f>
        <v/>
      </c>
      <c r="H46" s="16">
        <v>7469200</v>
      </c>
      <c r="I46" s="267">
        <f>H46/'- 3 -'!$D46*100</f>
        <v>1.8558692373995469</v>
      </c>
      <c r="J46" s="16">
        <f>IF('- 6 -'!$D46=0,"",H46/'- 6 -'!$D46)</f>
        <v>5732.3100537221799</v>
      </c>
    </row>
    <row r="47" spans="1:10" ht="5.0999999999999996" customHeight="1" x14ac:dyDescent="0.2">
      <c r="A47"/>
      <c r="B47"/>
      <c r="C47"/>
      <c r="D47"/>
      <c r="E47"/>
      <c r="F47"/>
      <c r="G47"/>
      <c r="H47" s="508"/>
      <c r="I47"/>
      <c r="J47"/>
    </row>
    <row r="48" spans="1:10" ht="14.1" customHeight="1" x14ac:dyDescent="0.2">
      <c r="A48" s="274" t="s">
        <v>139</v>
      </c>
      <c r="B48" s="275">
        <f>SUM(B11:B46)</f>
        <v>819643429</v>
      </c>
      <c r="C48" s="276">
        <f>B48/'- 3 -'!$D48*100</f>
        <v>34.550623807651164</v>
      </c>
      <c r="D48" s="275">
        <f>B48/'- 6 -'!$B48</f>
        <v>6591.8734211827914</v>
      </c>
      <c r="E48" s="275">
        <f>SUM(E11:E46)</f>
        <v>43064032</v>
      </c>
      <c r="F48" s="276">
        <f>E48/'- 3 -'!$D48*100</f>
        <v>1.8152883517750393</v>
      </c>
      <c r="G48" s="275">
        <f>E48/'- 6 -'!$C48</f>
        <v>7759.2850450450451</v>
      </c>
      <c r="H48" s="275">
        <f>SUM(H11:H46)</f>
        <v>67643078</v>
      </c>
      <c r="I48" s="276">
        <f>H48/'- 3 -'!$D48*100</f>
        <v>2.851374705731466</v>
      </c>
      <c r="J48" s="275">
        <f>H48/'- 6 -'!$D48</f>
        <v>5773.7120274503441</v>
      </c>
    </row>
    <row r="49" spans="1:10" ht="5.0999999999999996" customHeight="1" x14ac:dyDescent="0.2">
      <c r="A49" s="17" t="s">
        <v>1</v>
      </c>
      <c r="B49" s="18"/>
      <c r="C49" s="266"/>
      <c r="D49" s="18"/>
      <c r="E49" s="18"/>
      <c r="F49" s="266"/>
      <c r="H49" s="18"/>
      <c r="I49" s="266"/>
      <c r="J49" s="18"/>
    </row>
    <row r="50" spans="1:10" ht="14.1" customHeight="1" x14ac:dyDescent="0.2">
      <c r="A50" s="15" t="s">
        <v>140</v>
      </c>
      <c r="B50" s="16">
        <v>1779575</v>
      </c>
      <c r="C50" s="267">
        <f>B50/'- 3 -'!$D50*100</f>
        <v>49.991432006652133</v>
      </c>
      <c r="D50" s="16">
        <f>B50/'- 6 -'!$B50</f>
        <v>10985.030864197532</v>
      </c>
      <c r="E50" s="16">
        <v>0</v>
      </c>
      <c r="F50" s="267">
        <f>E50/'- 3 -'!$D50*100</f>
        <v>0</v>
      </c>
      <c r="G50" s="16" t="str">
        <f>IF('- 6 -'!$C50=0,"",E50/'- 6 -'!$C50)</f>
        <v/>
      </c>
      <c r="H50" s="16">
        <v>0</v>
      </c>
      <c r="I50" s="267">
        <f>H50/'- 3 -'!$D50*100</f>
        <v>0</v>
      </c>
      <c r="J50" s="16" t="str">
        <f>IF('- 6 -'!$D50=0,"",H50/'- 6 -'!$D50)</f>
        <v/>
      </c>
    </row>
    <row r="51" spans="1:10" ht="14.1" customHeight="1" x14ac:dyDescent="0.2">
      <c r="A51" s="360" t="s">
        <v>516</v>
      </c>
      <c r="B51" s="272">
        <v>518733</v>
      </c>
      <c r="C51" s="273">
        <f>B51/'- 3 -'!$D51*100</f>
        <v>1.6947587651140275</v>
      </c>
      <c r="D51" s="272">
        <f>B51/'- 6 -'!$B51</f>
        <v>4377.493670886076</v>
      </c>
      <c r="E51" s="272">
        <v>0</v>
      </c>
      <c r="F51" s="273">
        <f>E51/'- 3 -'!$D51*100</f>
        <v>0</v>
      </c>
      <c r="G51" s="272" t="str">
        <f>IF('- 6 -'!$C51=0,"",E51/'- 6 -'!$C51)</f>
        <v/>
      </c>
      <c r="H51" s="272">
        <v>0</v>
      </c>
      <c r="I51" s="273">
        <f>H51/'- 3 -'!$D51*100</f>
        <v>0</v>
      </c>
      <c r="J51" s="272" t="str">
        <f>IF('- 6 -'!$D51=0,"",H51/'- 6 -'!$D51)</f>
        <v/>
      </c>
    </row>
    <row r="52" spans="1:10" ht="50.1" customHeight="1" x14ac:dyDescent="0.2">
      <c r="A52" s="19"/>
      <c r="B52" s="19"/>
      <c r="C52" s="19"/>
      <c r="D52" s="19"/>
      <c r="E52" s="19"/>
      <c r="F52" s="19"/>
      <c r="G52" s="19"/>
      <c r="H52" s="51"/>
      <c r="I52" s="51"/>
      <c r="J52" s="51"/>
    </row>
    <row r="53" spans="1:10" ht="15" customHeight="1" x14ac:dyDescent="0.2">
      <c r="A53" s="46" t="s">
        <v>335</v>
      </c>
      <c r="B53" s="46"/>
      <c r="C53" s="46"/>
      <c r="D53" s="46"/>
      <c r="E53" s="46"/>
      <c r="F53" s="46"/>
      <c r="G53" s="46"/>
      <c r="I53" s="46"/>
      <c r="J53" s="46"/>
    </row>
    <row r="54" spans="1:10" ht="14.45" customHeight="1" x14ac:dyDescent="0.2"/>
    <row r="55" spans="1:10" ht="14.45" customHeight="1" x14ac:dyDescent="0.2">
      <c r="A55" s="20"/>
    </row>
    <row r="56" spans="1:10" ht="14.45" customHeight="1" x14ac:dyDescent="0.2"/>
    <row r="57" spans="1:10" ht="14.45" customHeight="1" x14ac:dyDescent="0.2"/>
    <row r="58" spans="1:10" ht="14.45" customHeight="1" x14ac:dyDescent="0.2"/>
    <row r="59" spans="1:10" ht="14.45" customHeight="1" x14ac:dyDescent="0.2"/>
  </sheetData>
  <mergeCells count="7">
    <mergeCell ref="B6:J6"/>
    <mergeCell ref="D8:D9"/>
    <mergeCell ref="G8:G9"/>
    <mergeCell ref="J8:J9"/>
    <mergeCell ref="B7:D7"/>
    <mergeCell ref="E7:G7"/>
    <mergeCell ref="H7:J7"/>
  </mergeCells>
  <phoneticPr fontId="0" type="noConversion"/>
  <printOptions horizontalCentered="1"/>
  <pageMargins left="0.5" right="0.5" top="0.6" bottom="0" header="0.3" footer="0"/>
  <pageSetup scale="90" orientation="portrait" r:id="rId1"/>
  <headerFooter alignWithMargins="0">
    <oddHeader>&amp;C&amp;"Arial,Bold"&amp;10&amp;A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I59"/>
  <sheetViews>
    <sheetView showGridLines="0" showZeros="0" workbookViewId="0"/>
  </sheetViews>
  <sheetFormatPr defaultColWidth="15.83203125" defaultRowHeight="12" x14ac:dyDescent="0.2"/>
  <cols>
    <col min="1" max="1" width="31.83203125" style="1" customWidth="1"/>
    <col min="2" max="2" width="14.33203125" style="1" customWidth="1"/>
    <col min="3" max="3" width="7.83203125" style="1" customWidth="1"/>
    <col min="4" max="4" width="9.83203125" style="1" customWidth="1"/>
    <col min="5" max="5" width="10.83203125" style="1" customWidth="1"/>
    <col min="6" max="6" width="10.1640625" style="1" customWidth="1"/>
    <col min="7" max="7" width="11.83203125" style="1" customWidth="1"/>
    <col min="8" max="8" width="14.83203125" style="1" customWidth="1"/>
    <col min="9" max="9" width="11" style="1" customWidth="1"/>
    <col min="10" max="16384" width="15.83203125" style="1"/>
  </cols>
  <sheetData>
    <row r="1" spans="1:9" ht="6.95" customHeight="1" x14ac:dyDescent="0.2">
      <c r="A1" s="3"/>
      <c r="B1" s="32"/>
      <c r="C1" s="32"/>
      <c r="D1" s="32"/>
      <c r="E1" s="32"/>
      <c r="F1" s="32"/>
      <c r="G1" s="32"/>
      <c r="H1" s="32"/>
      <c r="I1" s="32"/>
    </row>
    <row r="2" spans="1:9" ht="15.95" customHeight="1" x14ac:dyDescent="0.2">
      <c r="A2" s="132"/>
      <c r="B2" s="5" t="str">
        <f>AEXP_BP</f>
        <v>ANALYSIS OF EXPENSE BY PROGRAM</v>
      </c>
      <c r="C2" s="35"/>
      <c r="D2" s="35"/>
      <c r="E2" s="35"/>
      <c r="F2" s="35"/>
      <c r="G2" s="35"/>
      <c r="H2" s="166"/>
      <c r="I2" s="503" t="s">
        <v>527</v>
      </c>
    </row>
    <row r="3" spans="1:9" ht="15.95" customHeight="1" x14ac:dyDescent="0.2">
      <c r="A3" s="135"/>
      <c r="B3" s="86" t="str">
        <f>OPYEAR</f>
        <v>OPERATING FUND 2017/2018 BUDGET</v>
      </c>
      <c r="C3" s="39"/>
      <c r="D3" s="39"/>
      <c r="E3" s="39"/>
      <c r="F3" s="39"/>
      <c r="G3" s="39"/>
      <c r="H3" s="167"/>
      <c r="I3" s="168"/>
    </row>
    <row r="4" spans="1:9" ht="15.95" customHeight="1" x14ac:dyDescent="0.2">
      <c r="B4" s="32"/>
      <c r="C4" s="32"/>
      <c r="D4" s="32"/>
      <c r="E4" s="32"/>
      <c r="F4" s="32"/>
      <c r="G4" s="32"/>
      <c r="H4" s="32"/>
      <c r="I4" s="32"/>
    </row>
    <row r="5" spans="1:9" ht="15.95" customHeight="1" x14ac:dyDescent="0.2">
      <c r="B5" s="637" t="s">
        <v>235</v>
      </c>
      <c r="C5" s="638"/>
      <c r="D5" s="638"/>
      <c r="E5" s="638"/>
      <c r="F5" s="638"/>
      <c r="G5" s="638"/>
      <c r="H5" s="638"/>
      <c r="I5" s="639"/>
    </row>
    <row r="6" spans="1:9" ht="15.95" customHeight="1" x14ac:dyDescent="0.2">
      <c r="B6" s="655" t="s">
        <v>236</v>
      </c>
      <c r="C6" s="653"/>
      <c r="D6" s="653"/>
      <c r="E6" s="653"/>
      <c r="F6" s="653"/>
      <c r="G6" s="653"/>
      <c r="H6" s="653"/>
      <c r="I6" s="654"/>
    </row>
    <row r="7" spans="1:9" ht="15.95" customHeight="1" x14ac:dyDescent="0.2">
      <c r="B7" s="162"/>
      <c r="C7" s="169"/>
      <c r="D7" s="656" t="s">
        <v>396</v>
      </c>
      <c r="E7" s="659" t="s">
        <v>404</v>
      </c>
      <c r="F7" s="664" t="s">
        <v>72</v>
      </c>
      <c r="G7" s="665"/>
      <c r="H7" s="665"/>
      <c r="I7" s="666"/>
    </row>
    <row r="8" spans="1:9" ht="15.95" customHeight="1" x14ac:dyDescent="0.2">
      <c r="A8" s="82"/>
      <c r="B8" s="170"/>
      <c r="C8" s="170"/>
      <c r="D8" s="657"/>
      <c r="E8" s="660"/>
      <c r="F8" s="662" t="s">
        <v>33</v>
      </c>
      <c r="G8" s="662" t="s">
        <v>16</v>
      </c>
      <c r="H8" s="550" t="s">
        <v>17</v>
      </c>
      <c r="I8" s="662" t="s">
        <v>19</v>
      </c>
    </row>
    <row r="9" spans="1:9" ht="15.95" customHeight="1" x14ac:dyDescent="0.2">
      <c r="A9" s="27" t="s">
        <v>37</v>
      </c>
      <c r="B9" s="43" t="s">
        <v>38</v>
      </c>
      <c r="C9" s="43" t="s">
        <v>39</v>
      </c>
      <c r="D9" s="658"/>
      <c r="E9" s="661"/>
      <c r="F9" s="663"/>
      <c r="G9" s="663"/>
      <c r="H9" s="551"/>
      <c r="I9" s="663"/>
    </row>
    <row r="10" spans="1:9" ht="5.0999999999999996" customHeight="1" x14ac:dyDescent="0.2">
      <c r="A10" s="29"/>
      <c r="B10" s="46"/>
      <c r="C10" s="46"/>
      <c r="D10" s="46"/>
      <c r="E10" s="46"/>
      <c r="F10" s="46"/>
      <c r="G10" s="46"/>
      <c r="H10" s="46"/>
      <c r="I10" s="46"/>
    </row>
    <row r="11" spans="1:9" ht="14.1" customHeight="1" x14ac:dyDescent="0.2">
      <c r="A11" s="271" t="s">
        <v>104</v>
      </c>
      <c r="B11" s="272">
        <v>0</v>
      </c>
      <c r="C11" s="273">
        <f>B11/'- 3 -'!$D11*100</f>
        <v>0</v>
      </c>
      <c r="D11" s="298" t="str">
        <f>IF(E11=0,"",B11/E11)</f>
        <v/>
      </c>
      <c r="E11" s="299">
        <f>SUM('- 6 -'!$E11:H11)</f>
        <v>0</v>
      </c>
      <c r="F11" s="273" t="str">
        <f>IF(E11=0,"",'- 6 -'!$E11/E11*100)</f>
        <v/>
      </c>
      <c r="G11" s="273" t="str">
        <f>IF(E11=0,"",'- 6 -'!$F11/E11*100)</f>
        <v/>
      </c>
      <c r="H11" s="273" t="str">
        <f>IF(E11=0,"",'- 6 -'!$G11/E11*100)</f>
        <v/>
      </c>
      <c r="I11" s="273" t="str">
        <f>IF(E11=0,"",'- 6 -'!$H11/E11*100)</f>
        <v/>
      </c>
    </row>
    <row r="12" spans="1:9" ht="14.1" customHeight="1" x14ac:dyDescent="0.2">
      <c r="A12" s="15" t="s">
        <v>105</v>
      </c>
      <c r="B12" s="16">
        <v>0</v>
      </c>
      <c r="C12" s="267">
        <f>B12/'- 3 -'!$D12*100</f>
        <v>0</v>
      </c>
      <c r="D12" s="171" t="str">
        <f t="shared" ref="D12:D46" si="0">IF(E12=0,"",B12/E12)</f>
        <v/>
      </c>
      <c r="E12" s="172">
        <f>SUM('- 6 -'!$E12:H12)</f>
        <v>0</v>
      </c>
      <c r="F12" s="267" t="str">
        <f>IF(E12=0,"",'- 6 -'!$E12/E12*100)</f>
        <v/>
      </c>
      <c r="G12" s="267" t="str">
        <f>IF(E12=0,"",'- 6 -'!$F12/E12*100)</f>
        <v/>
      </c>
      <c r="H12" s="267" t="str">
        <f>IF(E12=0,"",'- 6 -'!$G12/E12*100)</f>
        <v/>
      </c>
      <c r="I12" s="267" t="str">
        <f>IF(E12=0,"",'- 6 -'!$H12/E12*100)</f>
        <v/>
      </c>
    </row>
    <row r="13" spans="1:9" ht="14.1" customHeight="1" x14ac:dyDescent="0.2">
      <c r="A13" s="271" t="s">
        <v>106</v>
      </c>
      <c r="B13" s="272">
        <v>7454200</v>
      </c>
      <c r="C13" s="273">
        <f>B13/'- 3 -'!$D13*100</f>
        <v>7.31937707429155</v>
      </c>
      <c r="D13" s="298">
        <f t="shared" si="0"/>
        <v>4997.7874622862892</v>
      </c>
      <c r="E13" s="299">
        <f>SUM('- 6 -'!$E13:H13)</f>
        <v>1491.5</v>
      </c>
      <c r="F13" s="273">
        <f>IF(E13=0,"",'- 6 -'!$E13/E13*100)</f>
        <v>71.538719409989952</v>
      </c>
      <c r="G13" s="273">
        <f>IF(E13=0,"",'- 6 -'!$F13/E13*100)</f>
        <v>0</v>
      </c>
      <c r="H13" s="273">
        <f>IF(E13=0,"",'- 6 -'!$G13/E13*100)</f>
        <v>28.461280590010059</v>
      </c>
      <c r="I13" s="273">
        <f>IF(E13=0,"",'- 6 -'!$H13/E13*100)</f>
        <v>0</v>
      </c>
    </row>
    <row r="14" spans="1:9" ht="14.1" customHeight="1" x14ac:dyDescent="0.2">
      <c r="A14" s="15" t="s">
        <v>315</v>
      </c>
      <c r="B14" s="16">
        <v>0</v>
      </c>
      <c r="C14" s="267">
        <f>B14/'- 3 -'!$D14*100</f>
        <v>0</v>
      </c>
      <c r="D14" s="171" t="str">
        <f t="shared" si="0"/>
        <v/>
      </c>
      <c r="E14" s="172">
        <f>SUM('- 6 -'!$E14:H14)</f>
        <v>0</v>
      </c>
      <c r="F14" s="267" t="str">
        <f>IF(E14=0,"",'- 6 -'!$E14/E14*100)</f>
        <v/>
      </c>
      <c r="G14" s="267" t="str">
        <f>IF(E14=0,"",'- 6 -'!$F14/E14*100)</f>
        <v/>
      </c>
      <c r="H14" s="267" t="str">
        <f>IF(E14=0,"",'- 6 -'!$G14/E14*100)</f>
        <v/>
      </c>
      <c r="I14" s="267" t="str">
        <f>IF(E14=0,"",'- 6 -'!$H14/E14*100)</f>
        <v/>
      </c>
    </row>
    <row r="15" spans="1:9" ht="14.1" customHeight="1" x14ac:dyDescent="0.2">
      <c r="A15" s="271" t="s">
        <v>107</v>
      </c>
      <c r="B15" s="272">
        <v>0</v>
      </c>
      <c r="C15" s="273">
        <f>B15/'- 3 -'!$D15*100</f>
        <v>0</v>
      </c>
      <c r="D15" s="298" t="str">
        <f t="shared" si="0"/>
        <v/>
      </c>
      <c r="E15" s="299">
        <f>SUM('- 6 -'!$E15:H15)</f>
        <v>0</v>
      </c>
      <c r="F15" s="273" t="str">
        <f>IF(E15=0,"",'- 6 -'!$E15/E15*100)</f>
        <v/>
      </c>
      <c r="G15" s="273" t="str">
        <f>IF(E15=0,"",'- 6 -'!$F15/E15*100)</f>
        <v/>
      </c>
      <c r="H15" s="273" t="str">
        <f>IF(E15=0,"",'- 6 -'!$G15/E15*100)</f>
        <v/>
      </c>
      <c r="I15" s="273" t="str">
        <f>IF(E15=0,"",'- 6 -'!$H15/E15*100)</f>
        <v/>
      </c>
    </row>
    <row r="16" spans="1:9" ht="14.1" customHeight="1" x14ac:dyDescent="0.2">
      <c r="A16" s="15" t="s">
        <v>108</v>
      </c>
      <c r="B16" s="16">
        <v>2361528</v>
      </c>
      <c r="C16" s="267">
        <f>B16/'- 3 -'!$D16*100</f>
        <v>15.96619952029627</v>
      </c>
      <c r="D16" s="171">
        <f t="shared" si="0"/>
        <v>6469.9397260273972</v>
      </c>
      <c r="E16" s="172">
        <f>SUM('- 6 -'!$E16:H16)</f>
        <v>365</v>
      </c>
      <c r="F16" s="267">
        <f>IF(E16=0,"",'- 6 -'!$E16/E16*100)</f>
        <v>73.561643835616437</v>
      </c>
      <c r="G16" s="267">
        <f>IF(E16=0,"",'- 6 -'!$F16/E16*100)</f>
        <v>0</v>
      </c>
      <c r="H16" s="267">
        <f>IF(E16=0,"",'- 6 -'!$G16/E16*100)</f>
        <v>26.438356164383563</v>
      </c>
      <c r="I16" s="267">
        <f>IF(E16=0,"",'- 6 -'!$H16/E16*100)</f>
        <v>0</v>
      </c>
    </row>
    <row r="17" spans="1:9" ht="14.1" customHeight="1" x14ac:dyDescent="0.2">
      <c r="A17" s="271" t="s">
        <v>109</v>
      </c>
      <c r="B17" s="272">
        <v>0</v>
      </c>
      <c r="C17" s="273">
        <f>B17/'- 3 -'!$D17*100</f>
        <v>0</v>
      </c>
      <c r="D17" s="298" t="str">
        <f t="shared" si="0"/>
        <v/>
      </c>
      <c r="E17" s="299">
        <f>SUM('- 6 -'!$E17:H17)</f>
        <v>0</v>
      </c>
      <c r="F17" s="273" t="str">
        <f>IF(E17=0,"",'- 6 -'!$E17/E17*100)</f>
        <v/>
      </c>
      <c r="G17" s="273" t="str">
        <f>IF(E17=0,"",'- 6 -'!$F17/E17*100)</f>
        <v/>
      </c>
      <c r="H17" s="273" t="str">
        <f>IF(E17=0,"",'- 6 -'!$G17/E17*100)</f>
        <v/>
      </c>
      <c r="I17" s="273" t="str">
        <f>IF(E17=0,"",'- 6 -'!$H17/E17*100)</f>
        <v/>
      </c>
    </row>
    <row r="18" spans="1:9" ht="14.1" customHeight="1" x14ac:dyDescent="0.2">
      <c r="A18" s="15" t="s">
        <v>110</v>
      </c>
      <c r="B18" s="16">
        <v>0</v>
      </c>
      <c r="C18" s="267">
        <f>B18/'- 3 -'!$D18*100</f>
        <v>0</v>
      </c>
      <c r="D18" s="171" t="str">
        <f t="shared" si="0"/>
        <v/>
      </c>
      <c r="E18" s="172">
        <f>SUM('- 6 -'!$E18:H18)</f>
        <v>0</v>
      </c>
      <c r="F18" s="267" t="str">
        <f>IF(E18=0,"",'- 6 -'!$E18/E18*100)</f>
        <v/>
      </c>
      <c r="G18" s="267" t="str">
        <f>IF(E18=0,"",'- 6 -'!$F18/E18*100)</f>
        <v/>
      </c>
      <c r="H18" s="267" t="str">
        <f>IF(E18=0,"",'- 6 -'!$G18/E18*100)</f>
        <v/>
      </c>
      <c r="I18" s="267" t="str">
        <f>IF(E18=0,"",'- 6 -'!$H18/E18*100)</f>
        <v/>
      </c>
    </row>
    <row r="19" spans="1:9" ht="14.1" customHeight="1" x14ac:dyDescent="0.2">
      <c r="A19" s="271" t="s">
        <v>111</v>
      </c>
      <c r="B19" s="272">
        <v>0</v>
      </c>
      <c r="C19" s="273">
        <f>B19/'- 3 -'!$D19*100</f>
        <v>0</v>
      </c>
      <c r="D19" s="298" t="str">
        <f t="shared" si="0"/>
        <v/>
      </c>
      <c r="E19" s="299">
        <f>SUM('- 6 -'!$E19:H19)</f>
        <v>0</v>
      </c>
      <c r="F19" s="273" t="str">
        <f>IF(E19=0,"",'- 6 -'!$E19/E19*100)</f>
        <v/>
      </c>
      <c r="G19" s="273" t="str">
        <f>IF(E19=0,"",'- 6 -'!$F19/E19*100)</f>
        <v/>
      </c>
      <c r="H19" s="273" t="str">
        <f>IF(E19=0,"",'- 6 -'!$G19/E19*100)</f>
        <v/>
      </c>
      <c r="I19" s="273" t="str">
        <f>IF(E19=0,"",'- 6 -'!$H19/E19*100)</f>
        <v/>
      </c>
    </row>
    <row r="20" spans="1:9" ht="14.1" customHeight="1" x14ac:dyDescent="0.2">
      <c r="A20" s="15" t="s">
        <v>112</v>
      </c>
      <c r="B20" s="16">
        <v>0</v>
      </c>
      <c r="C20" s="267">
        <f>B20/'- 3 -'!$D20*100</f>
        <v>0</v>
      </c>
      <c r="D20" s="171" t="str">
        <f t="shared" si="0"/>
        <v/>
      </c>
      <c r="E20" s="172">
        <f>SUM('- 6 -'!$E20:H20)</f>
        <v>0</v>
      </c>
      <c r="F20" s="267" t="str">
        <f>IF(E20=0,"",'- 6 -'!$E20/E20*100)</f>
        <v/>
      </c>
      <c r="G20" s="267" t="str">
        <f>IF(E20=0,"",'- 6 -'!$F20/E20*100)</f>
        <v/>
      </c>
      <c r="H20" s="267" t="str">
        <f>IF(E20=0,"",'- 6 -'!$G20/E20*100)</f>
        <v/>
      </c>
      <c r="I20" s="267" t="str">
        <f>IF(E20=0,"",'- 6 -'!$H20/E20*100)</f>
        <v/>
      </c>
    </row>
    <row r="21" spans="1:9" ht="14.1" customHeight="1" x14ac:dyDescent="0.2">
      <c r="A21" s="271" t="s">
        <v>113</v>
      </c>
      <c r="B21" s="272">
        <v>4150012</v>
      </c>
      <c r="C21" s="273">
        <f>B21/'- 3 -'!$D21*100</f>
        <v>11.174149286202793</v>
      </c>
      <c r="D21" s="298">
        <f t="shared" si="0"/>
        <v>5865.7413427561842</v>
      </c>
      <c r="E21" s="299">
        <f>SUM('- 6 -'!$E21:H21)</f>
        <v>707.5</v>
      </c>
      <c r="F21" s="273">
        <f>IF(E21=0,"",'- 6 -'!$E21/E21*100)</f>
        <v>62.190812720848058</v>
      </c>
      <c r="G21" s="273">
        <f>IF(E21=0,"",'- 6 -'!$F21/E21*100)</f>
        <v>0</v>
      </c>
      <c r="H21" s="273">
        <f>IF(E21=0,"",'- 6 -'!$G21/E21*100)</f>
        <v>37.809187279151942</v>
      </c>
      <c r="I21" s="273">
        <f>IF(E21=0,"",'- 6 -'!$H21/E21*100)</f>
        <v>0</v>
      </c>
    </row>
    <row r="22" spans="1:9" ht="14.1" customHeight="1" x14ac:dyDescent="0.2">
      <c r="A22" s="15" t="s">
        <v>114</v>
      </c>
      <c r="B22" s="16">
        <v>4360762</v>
      </c>
      <c r="C22" s="267">
        <f>B22/'- 3 -'!$D22*100</f>
        <v>20.453481385659455</v>
      </c>
      <c r="D22" s="171">
        <f t="shared" si="0"/>
        <v>6927.3423351866559</v>
      </c>
      <c r="E22" s="172">
        <f>SUM('- 6 -'!$E22:H22)</f>
        <v>629.5</v>
      </c>
      <c r="F22" s="267">
        <f>IF(E22=0,"",'- 6 -'!$E22/E22*100)</f>
        <v>78.792692613185068</v>
      </c>
      <c r="G22" s="267">
        <f>IF(E22=0,"",'- 6 -'!$F22/E22*100)</f>
        <v>0</v>
      </c>
      <c r="H22" s="267">
        <f>IF(E22=0,"",'- 6 -'!$G22/E22*100)</f>
        <v>21.207307386814932</v>
      </c>
      <c r="I22" s="267">
        <f>IF(E22=0,"",'- 6 -'!$H22/E22*100)</f>
        <v>0</v>
      </c>
    </row>
    <row r="23" spans="1:9" ht="14.1" customHeight="1" x14ac:dyDescent="0.2">
      <c r="A23" s="271" t="s">
        <v>115</v>
      </c>
      <c r="B23" s="272">
        <v>0</v>
      </c>
      <c r="C23" s="273">
        <f>B23/'- 3 -'!$D23*100</f>
        <v>0</v>
      </c>
      <c r="D23" s="298" t="str">
        <f t="shared" si="0"/>
        <v/>
      </c>
      <c r="E23" s="299">
        <f>SUM('- 6 -'!$E23:H23)</f>
        <v>0</v>
      </c>
      <c r="F23" s="273" t="str">
        <f>IF(E23=0,"",'- 6 -'!$E23/E23*100)</f>
        <v/>
      </c>
      <c r="G23" s="273" t="str">
        <f>IF(E23=0,"",'- 6 -'!$F23/E23*100)</f>
        <v/>
      </c>
      <c r="H23" s="273" t="str">
        <f>IF(E23=0,"",'- 6 -'!$G23/E23*100)</f>
        <v/>
      </c>
      <c r="I23" s="273" t="str">
        <f>IF(E23=0,"",'- 6 -'!$H23/E23*100)</f>
        <v/>
      </c>
    </row>
    <row r="24" spans="1:9" ht="14.1" customHeight="1" x14ac:dyDescent="0.2">
      <c r="A24" s="15" t="s">
        <v>116</v>
      </c>
      <c r="B24" s="16">
        <v>4637087</v>
      </c>
      <c r="C24" s="267">
        <f>B24/'- 3 -'!$D24*100</f>
        <v>7.9375850146136457</v>
      </c>
      <c r="D24" s="171">
        <f t="shared" si="0"/>
        <v>7360.4555555555553</v>
      </c>
      <c r="E24" s="172">
        <f>SUM('- 6 -'!$E24:H24)</f>
        <v>630</v>
      </c>
      <c r="F24" s="267">
        <f>IF(E24=0,"",'- 6 -'!$E24/E24*100)</f>
        <v>72.301587301587304</v>
      </c>
      <c r="G24" s="267">
        <f>IF(E24=0,"",'- 6 -'!$F24/E24*100)</f>
        <v>0</v>
      </c>
      <c r="H24" s="267">
        <f>IF(E24=0,"",'- 6 -'!$G24/E24*100)</f>
        <v>14.920634920634921</v>
      </c>
      <c r="I24" s="267">
        <f>IF(E24=0,"",'- 6 -'!$H24/E24*100)</f>
        <v>12.777777777777777</v>
      </c>
    </row>
    <row r="25" spans="1:9" ht="14.1" customHeight="1" x14ac:dyDescent="0.2">
      <c r="A25" s="271" t="s">
        <v>117</v>
      </c>
      <c r="B25" s="272">
        <v>2774318</v>
      </c>
      <c r="C25" s="273">
        <f>B25/'- 3 -'!$D25*100</f>
        <v>1.5240819760596913</v>
      </c>
      <c r="D25" s="298">
        <f t="shared" si="0"/>
        <v>5526.5298804780878</v>
      </c>
      <c r="E25" s="299">
        <f>SUM('- 6 -'!$E25:H25)</f>
        <v>502</v>
      </c>
      <c r="F25" s="273">
        <f>IF(E25=0,"",'- 6 -'!$E25/E25*100)</f>
        <v>52.39043824701195</v>
      </c>
      <c r="G25" s="273">
        <f>IF(E25=0,"",'- 6 -'!$F25/E25*100)</f>
        <v>0</v>
      </c>
      <c r="H25" s="273">
        <f>IF(E25=0,"",'- 6 -'!$G25/E25*100)</f>
        <v>47.60956175298805</v>
      </c>
      <c r="I25" s="273">
        <f>IF(E25=0,"",'- 6 -'!$H25/E25*100)</f>
        <v>0</v>
      </c>
    </row>
    <row r="26" spans="1:9" ht="14.1" customHeight="1" x14ac:dyDescent="0.2">
      <c r="A26" s="15" t="s">
        <v>118</v>
      </c>
      <c r="B26" s="16">
        <v>1858728</v>
      </c>
      <c r="C26" s="267">
        <f>B26/'- 3 -'!$D26*100</f>
        <v>4.5148227240403003</v>
      </c>
      <c r="D26" s="171">
        <f t="shared" si="0"/>
        <v>5666.8536585365855</v>
      </c>
      <c r="E26" s="172">
        <f>SUM('- 6 -'!$E26:H26)</f>
        <v>328</v>
      </c>
      <c r="F26" s="267">
        <f>IF(E26=0,"",'- 6 -'!$E26/E26*100)</f>
        <v>62.195121951219512</v>
      </c>
      <c r="G26" s="267">
        <f>IF(E26=0,"",'- 6 -'!$F26/E26*100)</f>
        <v>0</v>
      </c>
      <c r="H26" s="267">
        <f>IF(E26=0,"",'- 6 -'!$G26/E26*100)</f>
        <v>14.939024390243901</v>
      </c>
      <c r="I26" s="267">
        <f>IF(E26=0,"",'- 6 -'!$H26/E26*100)</f>
        <v>22.865853658536587</v>
      </c>
    </row>
    <row r="27" spans="1:9" ht="14.1" customHeight="1" x14ac:dyDescent="0.2">
      <c r="A27" s="271" t="s">
        <v>119</v>
      </c>
      <c r="B27" s="272">
        <v>2622608</v>
      </c>
      <c r="C27" s="273">
        <f>B27/'- 3 -'!$D27*100</f>
        <v>5.954325697943105</v>
      </c>
      <c r="D27" s="298">
        <f t="shared" si="0"/>
        <v>7346.2408963585431</v>
      </c>
      <c r="E27" s="299">
        <f>SUM('- 6 -'!$E27:H27)</f>
        <v>357</v>
      </c>
      <c r="F27" s="273">
        <f>IF(E27=0,"",'- 6 -'!$E27/E27*100)</f>
        <v>34.87394957983193</v>
      </c>
      <c r="G27" s="273">
        <f>IF(E27=0,"",'- 6 -'!$F27/E27*100)</f>
        <v>0</v>
      </c>
      <c r="H27" s="273">
        <f>IF(E27=0,"",'- 6 -'!$G27/E27*100)</f>
        <v>65.12605042016807</v>
      </c>
      <c r="I27" s="273">
        <f>IF(E27=0,"",'- 6 -'!$H27/E27*100)</f>
        <v>0</v>
      </c>
    </row>
    <row r="28" spans="1:9" ht="14.1" customHeight="1" x14ac:dyDescent="0.2">
      <c r="A28" s="15" t="s">
        <v>120</v>
      </c>
      <c r="B28" s="16">
        <v>0</v>
      </c>
      <c r="C28" s="267">
        <f>B28/'- 3 -'!$D28*100</f>
        <v>0</v>
      </c>
      <c r="D28" s="171" t="str">
        <f t="shared" si="0"/>
        <v/>
      </c>
      <c r="E28" s="172">
        <f>SUM('- 6 -'!$E28:H28)</f>
        <v>0</v>
      </c>
      <c r="F28" s="267" t="str">
        <f>IF(E28=0,"",'- 6 -'!$E28/E28*100)</f>
        <v/>
      </c>
      <c r="G28" s="267" t="str">
        <f>IF(E28=0,"",'- 6 -'!$F28/E28*100)</f>
        <v/>
      </c>
      <c r="H28" s="267" t="str">
        <f>IF(E28=0,"",'- 6 -'!$G28/E28*100)</f>
        <v/>
      </c>
      <c r="I28" s="267" t="str">
        <f>IF(E28=0,"",'- 6 -'!$H28/E28*100)</f>
        <v/>
      </c>
    </row>
    <row r="29" spans="1:9" ht="14.1" customHeight="1" x14ac:dyDescent="0.2">
      <c r="A29" s="271" t="s">
        <v>121</v>
      </c>
      <c r="B29" s="272">
        <v>24267158</v>
      </c>
      <c r="C29" s="273">
        <f>B29/'- 3 -'!$D29*100</f>
        <v>14.763069007374435</v>
      </c>
      <c r="D29" s="298">
        <f t="shared" si="0"/>
        <v>5924.0206034566945</v>
      </c>
      <c r="E29" s="299">
        <f>SUM('- 6 -'!$E29:H29)</f>
        <v>4096.3999999999996</v>
      </c>
      <c r="F29" s="273">
        <f>IF(E29=0,"",'- 6 -'!$E29/E29*100)</f>
        <v>60.13572893272142</v>
      </c>
      <c r="G29" s="273">
        <f>IF(E29=0,"",'- 6 -'!$F29/E29*100)</f>
        <v>0</v>
      </c>
      <c r="H29" s="273">
        <f>IF(E29=0,"",'- 6 -'!$G29/E29*100)</f>
        <v>39.864271067278587</v>
      </c>
      <c r="I29" s="273">
        <f>IF(E29=0,"",'- 6 -'!$H29/E29*100)</f>
        <v>0</v>
      </c>
    </row>
    <row r="30" spans="1:9" ht="14.1" customHeight="1" x14ac:dyDescent="0.2">
      <c r="A30" s="15" t="s">
        <v>122</v>
      </c>
      <c r="B30" s="16">
        <v>0</v>
      </c>
      <c r="C30" s="267">
        <f>B30/'- 3 -'!$D30*100</f>
        <v>0</v>
      </c>
      <c r="D30" s="171" t="str">
        <f t="shared" si="0"/>
        <v/>
      </c>
      <c r="E30" s="172">
        <f>SUM('- 6 -'!$E30:H30)</f>
        <v>0</v>
      </c>
      <c r="F30" s="267" t="str">
        <f>IF(E30=0,"",'- 6 -'!$E30/E30*100)</f>
        <v/>
      </c>
      <c r="G30" s="267" t="str">
        <f>IF(E30=0,"",'- 6 -'!$F30/E30*100)</f>
        <v/>
      </c>
      <c r="H30" s="267" t="str">
        <f>IF(E30=0,"",'- 6 -'!$G30/E30*100)</f>
        <v/>
      </c>
      <c r="I30" s="267" t="str">
        <f>IF(E30=0,"",'- 6 -'!$H30/E30*100)</f>
        <v/>
      </c>
    </row>
    <row r="31" spans="1:9" ht="14.1" customHeight="1" x14ac:dyDescent="0.2">
      <c r="A31" s="271" t="s">
        <v>123</v>
      </c>
      <c r="B31" s="272">
        <v>3317156</v>
      </c>
      <c r="C31" s="273">
        <f>B31/'- 3 -'!$D31*100</f>
        <v>8.6639224802152164</v>
      </c>
      <c r="D31" s="298">
        <f t="shared" si="0"/>
        <v>4698.5212464589231</v>
      </c>
      <c r="E31" s="299">
        <f>SUM('- 6 -'!$E31:H31)</f>
        <v>706</v>
      </c>
      <c r="F31" s="273">
        <f>IF(E31=0,"",'- 6 -'!$E31/E31*100)</f>
        <v>56.940509915014161</v>
      </c>
      <c r="G31" s="273">
        <f>IF(E31=0,"",'- 6 -'!$F31/E31*100)</f>
        <v>0</v>
      </c>
      <c r="H31" s="273">
        <f>IF(E31=0,"",'- 6 -'!$G31/E31*100)</f>
        <v>43.059490084985832</v>
      </c>
      <c r="I31" s="273">
        <f>IF(E31=0,"",'- 6 -'!$H31/E31*100)</f>
        <v>0</v>
      </c>
    </row>
    <row r="32" spans="1:9" ht="14.1" customHeight="1" x14ac:dyDescent="0.2">
      <c r="A32" s="15" t="s">
        <v>124</v>
      </c>
      <c r="B32" s="16">
        <v>1207825</v>
      </c>
      <c r="C32" s="267">
        <f>B32/'- 3 -'!$D32*100</f>
        <v>3.8572344386741482</v>
      </c>
      <c r="D32" s="171">
        <f t="shared" si="0"/>
        <v>6323.6910994764394</v>
      </c>
      <c r="E32" s="172">
        <f>SUM('- 6 -'!$E32:H32)</f>
        <v>191</v>
      </c>
      <c r="F32" s="267">
        <f>IF(E32=0,"",'- 6 -'!$E32/E32*100)</f>
        <v>70.157068062827221</v>
      </c>
      <c r="G32" s="267">
        <f>IF(E32=0,"",'- 6 -'!$F32/E32*100)</f>
        <v>0</v>
      </c>
      <c r="H32" s="267">
        <f>IF(E32=0,"",'- 6 -'!$G32/E32*100)</f>
        <v>29.842931937172771</v>
      </c>
      <c r="I32" s="267">
        <f>IF(E32=0,"",'- 6 -'!$H32/E32*100)</f>
        <v>0</v>
      </c>
    </row>
    <row r="33" spans="1:9" ht="14.1" customHeight="1" x14ac:dyDescent="0.2">
      <c r="A33" s="271" t="s">
        <v>125</v>
      </c>
      <c r="B33" s="272">
        <v>2902400</v>
      </c>
      <c r="C33" s="273">
        <f>B33/'- 3 -'!$D33*100</f>
        <v>10.228866662437532</v>
      </c>
      <c r="D33" s="298">
        <f t="shared" si="0"/>
        <v>6672.1839080459768</v>
      </c>
      <c r="E33" s="299">
        <f>SUM('- 6 -'!$E33:H33)</f>
        <v>435</v>
      </c>
      <c r="F33" s="273">
        <f>IF(E33=0,"",'- 6 -'!$E33/E33*100)</f>
        <v>54.022988505747129</v>
      </c>
      <c r="G33" s="273">
        <f>IF(E33=0,"",'- 6 -'!$F33/E33*100)</f>
        <v>22.988505747126435</v>
      </c>
      <c r="H33" s="273">
        <f>IF(E33=0,"",'- 6 -'!$G33/E33*100)</f>
        <v>22.988505747126435</v>
      </c>
      <c r="I33" s="273">
        <f>IF(E33=0,"",'- 6 -'!$H33/E33*100)</f>
        <v>0</v>
      </c>
    </row>
    <row r="34" spans="1:9" ht="14.1" customHeight="1" x14ac:dyDescent="0.2">
      <c r="A34" s="15" t="s">
        <v>126</v>
      </c>
      <c r="B34" s="16">
        <v>1576220</v>
      </c>
      <c r="C34" s="267">
        <f>B34/'- 3 -'!$D34*100</f>
        <v>5.1267646570364169</v>
      </c>
      <c r="D34" s="171">
        <f t="shared" si="0"/>
        <v>7651.5533980582522</v>
      </c>
      <c r="E34" s="172">
        <f>SUM('- 6 -'!$E34:H34)</f>
        <v>206</v>
      </c>
      <c r="F34" s="267">
        <f>IF(E34=0,"",'- 6 -'!$E34/E34*100)</f>
        <v>32.038834951456316</v>
      </c>
      <c r="G34" s="267">
        <f>IF(E34=0,"",'- 6 -'!$F34/E34*100)</f>
        <v>67.961165048543691</v>
      </c>
      <c r="H34" s="267">
        <f>IF(E34=0,"",'- 6 -'!$G34/E34*100)</f>
        <v>0</v>
      </c>
      <c r="I34" s="267">
        <f>IF(E34=0,"",'- 6 -'!$H34/E34*100)</f>
        <v>0</v>
      </c>
    </row>
    <row r="35" spans="1:9" ht="14.1" customHeight="1" x14ac:dyDescent="0.2">
      <c r="A35" s="271" t="s">
        <v>127</v>
      </c>
      <c r="B35" s="272">
        <v>26156412</v>
      </c>
      <c r="C35" s="273">
        <f>B35/'- 3 -'!$D35*100</f>
        <v>14.12199369283341</v>
      </c>
      <c r="D35" s="298">
        <f t="shared" si="0"/>
        <v>5746.136203866432</v>
      </c>
      <c r="E35" s="299">
        <f>SUM('- 6 -'!$E35:H35)</f>
        <v>4552</v>
      </c>
      <c r="F35" s="273">
        <f>IF(E35=0,"",'- 6 -'!$E35/E35*100)</f>
        <v>52.086994727592263</v>
      </c>
      <c r="G35" s="273">
        <f>IF(E35=0,"",'- 6 -'!$F35/E35*100)</f>
        <v>0</v>
      </c>
      <c r="H35" s="273">
        <f>IF(E35=0,"",'- 6 -'!$G35/E35*100)</f>
        <v>39.367311072056239</v>
      </c>
      <c r="I35" s="273">
        <f>IF(E35=0,"",'- 6 -'!$H35/E35*100)</f>
        <v>8.5456942003514929</v>
      </c>
    </row>
    <row r="36" spans="1:9" ht="14.1" customHeight="1" x14ac:dyDescent="0.2">
      <c r="A36" s="15" t="s">
        <v>128</v>
      </c>
      <c r="B36" s="16">
        <v>0</v>
      </c>
      <c r="C36" s="267">
        <f>B36/'- 3 -'!$D36*100</f>
        <v>0</v>
      </c>
      <c r="D36" s="171" t="str">
        <f t="shared" si="0"/>
        <v/>
      </c>
      <c r="E36" s="172">
        <f>SUM('- 6 -'!$E36:H36)</f>
        <v>0</v>
      </c>
      <c r="F36" s="267" t="str">
        <f>IF(E36=0,"",'- 6 -'!$E36/E36*100)</f>
        <v/>
      </c>
      <c r="G36" s="267" t="str">
        <f>IF(E36=0,"",'- 6 -'!$F36/E36*100)</f>
        <v/>
      </c>
      <c r="H36" s="267" t="str">
        <f>IF(E36=0,"",'- 6 -'!$G36/E36*100)</f>
        <v/>
      </c>
      <c r="I36" s="267" t="str">
        <f>IF(E36=0,"",'- 6 -'!$H36/E36*100)</f>
        <v/>
      </c>
    </row>
    <row r="37" spans="1:9" ht="14.1" customHeight="1" x14ac:dyDescent="0.2">
      <c r="A37" s="271" t="s">
        <v>129</v>
      </c>
      <c r="B37" s="272">
        <v>8144932</v>
      </c>
      <c r="C37" s="273">
        <f>B37/'- 3 -'!$D37*100</f>
        <v>15.623970382306112</v>
      </c>
      <c r="D37" s="298">
        <f t="shared" si="0"/>
        <v>6144.7996982270843</v>
      </c>
      <c r="E37" s="299">
        <f>SUM('- 6 -'!$E37:H37)</f>
        <v>1325.5</v>
      </c>
      <c r="F37" s="273">
        <f>IF(E37=0,"",'- 6 -'!$E37/E37*100)</f>
        <v>57.714070162202944</v>
      </c>
      <c r="G37" s="273">
        <f>IF(E37=0,"",'- 6 -'!$F37/E37*100)</f>
        <v>0</v>
      </c>
      <c r="H37" s="273">
        <f>IF(E37=0,"",'- 6 -'!$G37/E37*100)</f>
        <v>42.285929837797056</v>
      </c>
      <c r="I37" s="273">
        <f>IF(E37=0,"",'- 6 -'!$H37/E37*100)</f>
        <v>0</v>
      </c>
    </row>
    <row r="38" spans="1:9" ht="14.1" customHeight="1" x14ac:dyDescent="0.2">
      <c r="A38" s="15" t="s">
        <v>130</v>
      </c>
      <c r="B38" s="16">
        <v>24271095</v>
      </c>
      <c r="C38" s="267">
        <f>B38/'- 3 -'!$D38*100</f>
        <v>17.187424981018207</v>
      </c>
      <c r="D38" s="171">
        <f t="shared" si="0"/>
        <v>6272.4111642331054</v>
      </c>
      <c r="E38" s="172">
        <f>SUM('- 6 -'!$E38:H38)</f>
        <v>3869.5</v>
      </c>
      <c r="F38" s="267">
        <f>IF(E38=0,"",'- 6 -'!$E38/E38*100)</f>
        <v>63.871301201705641</v>
      </c>
      <c r="G38" s="267">
        <f>IF(E38=0,"",'- 6 -'!$F38/E38*100)</f>
        <v>0</v>
      </c>
      <c r="H38" s="267">
        <f>IF(E38=0,"",'- 6 -'!$G38/E38*100)</f>
        <v>31.438170306241116</v>
      </c>
      <c r="I38" s="267">
        <f>IF(E38=0,"",'- 6 -'!$H38/E38*100)</f>
        <v>4.6905284920532369</v>
      </c>
    </row>
    <row r="39" spans="1:9" ht="14.1" customHeight="1" x14ac:dyDescent="0.2">
      <c r="A39" s="271" t="s">
        <v>131</v>
      </c>
      <c r="B39" s="272">
        <v>0</v>
      </c>
      <c r="C39" s="273">
        <f>B39/'- 3 -'!$D39*100</f>
        <v>0</v>
      </c>
      <c r="D39" s="298" t="str">
        <f t="shared" si="0"/>
        <v/>
      </c>
      <c r="E39" s="299">
        <f>SUM('- 6 -'!$E39:H39)</f>
        <v>0</v>
      </c>
      <c r="F39" s="273" t="str">
        <f>IF(E39=0,"",'- 6 -'!$E39/E39*100)</f>
        <v/>
      </c>
      <c r="G39" s="273" t="str">
        <f>IF(E39=0,"",'- 6 -'!$F39/E39*100)</f>
        <v/>
      </c>
      <c r="H39" s="273" t="str">
        <f>IF(E39=0,"",'- 6 -'!$G39/E39*100)</f>
        <v/>
      </c>
      <c r="I39" s="273" t="str">
        <f>IF(E39=0,"",'- 6 -'!$H39/E39*100)</f>
        <v/>
      </c>
    </row>
    <row r="40" spans="1:9" ht="14.1" customHeight="1" x14ac:dyDescent="0.2">
      <c r="A40" s="15" t="s">
        <v>132</v>
      </c>
      <c r="B40" s="16">
        <v>9119435</v>
      </c>
      <c r="C40" s="267">
        <f>B40/'- 3 -'!$D40*100</f>
        <v>8.4595171995422831</v>
      </c>
      <c r="D40" s="171">
        <f t="shared" si="0"/>
        <v>5871.0068885598394</v>
      </c>
      <c r="E40" s="172">
        <f>SUM('- 6 -'!$E40:H40)</f>
        <v>1553.3000000000002</v>
      </c>
      <c r="F40" s="267">
        <f>IF(E40=0,"",'- 6 -'!$E40/E40*100)</f>
        <v>59.718019699993555</v>
      </c>
      <c r="G40" s="267">
        <f>IF(E40=0,"",'- 6 -'!$F40/E40*100)</f>
        <v>0</v>
      </c>
      <c r="H40" s="267">
        <f>IF(E40=0,"",'- 6 -'!$G40/E40*100)</f>
        <v>40.281980300006438</v>
      </c>
      <c r="I40" s="267">
        <f>IF(E40=0,"",'- 6 -'!$H40/E40*100)</f>
        <v>0</v>
      </c>
    </row>
    <row r="41" spans="1:9" ht="14.1" customHeight="1" x14ac:dyDescent="0.2">
      <c r="A41" s="271" t="s">
        <v>133</v>
      </c>
      <c r="B41" s="272">
        <v>15453608</v>
      </c>
      <c r="C41" s="273">
        <f>B41/'- 3 -'!$D41*100</f>
        <v>23.92751454495809</v>
      </c>
      <c r="D41" s="298">
        <f t="shared" si="0"/>
        <v>6543.9796739360572</v>
      </c>
      <c r="E41" s="299">
        <f>SUM('- 6 -'!$E41:H41)</f>
        <v>2361.5</v>
      </c>
      <c r="F41" s="273">
        <f>IF(E41=0,"",'- 6 -'!$E41/E41*100)</f>
        <v>65.657421130637303</v>
      </c>
      <c r="G41" s="273">
        <f>IF(E41=0,"",'- 6 -'!$F41/E41*100)</f>
        <v>0</v>
      </c>
      <c r="H41" s="273">
        <f>IF(E41=0,"",'- 6 -'!$G41/E41*100)</f>
        <v>30.997247512174464</v>
      </c>
      <c r="I41" s="273">
        <f>IF(E41=0,"",'- 6 -'!$H41/E41*100)</f>
        <v>3.3453313571882277</v>
      </c>
    </row>
    <row r="42" spans="1:9" ht="14.1" customHeight="1" x14ac:dyDescent="0.2">
      <c r="A42" s="15" t="s">
        <v>134</v>
      </c>
      <c r="B42" s="16">
        <v>1604783</v>
      </c>
      <c r="C42" s="267">
        <f>B42/'- 3 -'!$D42*100</f>
        <v>7.4804888995043841</v>
      </c>
      <c r="D42" s="171">
        <f t="shared" si="0"/>
        <v>5999.1887850467292</v>
      </c>
      <c r="E42" s="172">
        <f>SUM('- 6 -'!$E42:H42)</f>
        <v>267.5</v>
      </c>
      <c r="F42" s="267">
        <f>IF(E42=0,"",'- 6 -'!$E42/E42*100)</f>
        <v>69.345794392523359</v>
      </c>
      <c r="G42" s="267">
        <f>IF(E42=0,"",'- 6 -'!$F42/E42*100)</f>
        <v>0</v>
      </c>
      <c r="H42" s="267">
        <f>IF(E42=0,"",'- 6 -'!$G42/E42*100)</f>
        <v>30.654205607476637</v>
      </c>
      <c r="I42" s="267">
        <f>IF(E42=0,"",'- 6 -'!$H42/E42*100)</f>
        <v>0</v>
      </c>
    </row>
    <row r="43" spans="1:9" ht="14.1" customHeight="1" x14ac:dyDescent="0.2">
      <c r="A43" s="271" t="s">
        <v>135</v>
      </c>
      <c r="B43" s="272">
        <v>0</v>
      </c>
      <c r="C43" s="273">
        <f>B43/'- 3 -'!$D43*100</f>
        <v>0</v>
      </c>
      <c r="D43" s="298" t="str">
        <f t="shared" si="0"/>
        <v/>
      </c>
      <c r="E43" s="299">
        <f>SUM('- 6 -'!$E43:H43)</f>
        <v>0</v>
      </c>
      <c r="F43" s="273" t="str">
        <f>IF(E43=0,"",'- 6 -'!$E43/E43*100)</f>
        <v/>
      </c>
      <c r="G43" s="273" t="str">
        <f>IF(E43=0,"",'- 6 -'!$F43/E43*100)</f>
        <v/>
      </c>
      <c r="H43" s="273" t="str">
        <f>IF(E43=0,"",'- 6 -'!$G43/E43*100)</f>
        <v/>
      </c>
      <c r="I43" s="273" t="str">
        <f>IF(E43=0,"",'- 6 -'!$H43/E43*100)</f>
        <v/>
      </c>
    </row>
    <row r="44" spans="1:9" ht="14.1" customHeight="1" x14ac:dyDescent="0.2">
      <c r="A44" s="15" t="s">
        <v>136</v>
      </c>
      <c r="B44" s="16">
        <v>0</v>
      </c>
      <c r="C44" s="267">
        <f>B44/'- 3 -'!$D44*100</f>
        <v>0</v>
      </c>
      <c r="D44" s="171" t="str">
        <f t="shared" si="0"/>
        <v/>
      </c>
      <c r="E44" s="172">
        <f>SUM('- 6 -'!$E44:H44)</f>
        <v>0</v>
      </c>
      <c r="F44" s="267" t="str">
        <f>IF(E44=0,"",'- 6 -'!$E44/E44*100)</f>
        <v/>
      </c>
      <c r="G44" s="267" t="str">
        <f>IF(E44=0,"",'- 6 -'!$F44/E44*100)</f>
        <v/>
      </c>
      <c r="H44" s="267" t="str">
        <f>IF(E44=0,"",'- 6 -'!$G44/E44*100)</f>
        <v/>
      </c>
      <c r="I44" s="267" t="str">
        <f>IF(E44=0,"",'- 6 -'!$H44/E44*100)</f>
        <v/>
      </c>
    </row>
    <row r="45" spans="1:9" ht="14.1" customHeight="1" x14ac:dyDescent="0.2">
      <c r="A45" s="271" t="s">
        <v>137</v>
      </c>
      <c r="B45" s="272">
        <v>5278837</v>
      </c>
      <c r="C45" s="273">
        <f>B45/'- 3 -'!$D45*100</f>
        <v>26.098505892269419</v>
      </c>
      <c r="D45" s="298">
        <f t="shared" si="0"/>
        <v>5713.0270562770565</v>
      </c>
      <c r="E45" s="299">
        <f>SUM('- 6 -'!$E45:H45)</f>
        <v>924</v>
      </c>
      <c r="F45" s="273">
        <f>IF(E45=0,"",'- 6 -'!$E45/E45*100)</f>
        <v>71.915584415584405</v>
      </c>
      <c r="G45" s="273">
        <f>IF(E45=0,"",'- 6 -'!$F45/E45*100)</f>
        <v>0</v>
      </c>
      <c r="H45" s="273">
        <f>IF(E45=0,"",'- 6 -'!$G45/E45*100)</f>
        <v>28.084415584415584</v>
      </c>
      <c r="I45" s="273">
        <f>IF(E45=0,"",'- 6 -'!$H45/E45*100)</f>
        <v>0</v>
      </c>
    </row>
    <row r="46" spans="1:9" ht="14.1" customHeight="1" x14ac:dyDescent="0.2">
      <c r="A46" s="15" t="s">
        <v>138</v>
      </c>
      <c r="B46" s="16">
        <v>29715400</v>
      </c>
      <c r="C46" s="267">
        <f>B46/'- 3 -'!$D46*100</f>
        <v>7.3833739539739858</v>
      </c>
      <c r="D46" s="171">
        <f t="shared" si="0"/>
        <v>5161.611950668751</v>
      </c>
      <c r="E46" s="172">
        <f>SUM('- 6 -'!$E46:H46)</f>
        <v>5757</v>
      </c>
      <c r="F46" s="267">
        <f>IF(E46=0,"",'- 6 -'!$E46/E46*100)</f>
        <v>52.483932603786698</v>
      </c>
      <c r="G46" s="267">
        <f>IF(E46=0,"",'- 6 -'!$F46/E46*100)</f>
        <v>0</v>
      </c>
      <c r="H46" s="267">
        <f>IF(E46=0,"",'- 6 -'!$G46/E46*100)</f>
        <v>43.208268195240578</v>
      </c>
      <c r="I46" s="267">
        <f>IF(E46=0,"",'- 6 -'!$H46/E46*100)</f>
        <v>4.3077992009727293</v>
      </c>
    </row>
    <row r="47" spans="1:9" ht="5.0999999999999996" customHeight="1" x14ac:dyDescent="0.2">
      <c r="A47"/>
      <c r="B47"/>
      <c r="C47"/>
      <c r="D47"/>
      <c r="E47"/>
      <c r="F47"/>
      <c r="G47"/>
      <c r="H47"/>
      <c r="I47"/>
    </row>
    <row r="48" spans="1:9" ht="14.1" customHeight="1" x14ac:dyDescent="0.2">
      <c r="A48" s="274" t="s">
        <v>139</v>
      </c>
      <c r="B48" s="275">
        <f>SUM(B11:B46)</f>
        <v>183234504</v>
      </c>
      <c r="C48" s="439">
        <f>B48/'- 3 -'!$D48*100</f>
        <v>7.7239274937023286</v>
      </c>
      <c r="D48" s="440">
        <f>B48/E48</f>
        <v>5862.528603240421</v>
      </c>
      <c r="E48" s="441">
        <f>SUM(E11:E46)</f>
        <v>31255.200000000001</v>
      </c>
      <c r="F48" s="300">
        <f>IF(E48=0,"",'- 6 -'!$E48/E48*100)</f>
        <v>59.43331029716655</v>
      </c>
      <c r="G48" s="276">
        <f>IF(E48=0,"",'- 6 -'!$F48/E48*100)</f>
        <v>0.76787222606158334</v>
      </c>
      <c r="H48" s="276">
        <f>IF(E48=0,"",'- 6 -'!$G48/E48*100)</f>
        <v>36.429778084926667</v>
      </c>
      <c r="I48" s="276">
        <f>IF(E48=0,"",'- 6 -'!$H48/E48*100)</f>
        <v>3.3690393918451966</v>
      </c>
    </row>
    <row r="49" spans="1:9" ht="5.0999999999999996" customHeight="1" x14ac:dyDescent="0.2">
      <c r="A49" s="17" t="s">
        <v>1</v>
      </c>
      <c r="B49" s="18"/>
      <c r="C49" s="266"/>
      <c r="D49" s="18"/>
      <c r="E49" s="173"/>
      <c r="F49" s="266"/>
      <c r="G49" s="266"/>
      <c r="H49" s="266"/>
      <c r="I49" s="266"/>
    </row>
    <row r="50" spans="1:9" ht="14.1" customHeight="1" x14ac:dyDescent="0.2">
      <c r="A50" s="15" t="s">
        <v>140</v>
      </c>
      <c r="B50" s="16">
        <v>0</v>
      </c>
      <c r="C50" s="267">
        <f>B50/'- 3 -'!$D50*100</f>
        <v>0</v>
      </c>
      <c r="D50" s="171" t="str">
        <f>IF(E50=0,"",B50/E50)</f>
        <v/>
      </c>
      <c r="E50" s="172">
        <f>SUM('- 6 -'!$E50:H50)</f>
        <v>0</v>
      </c>
      <c r="F50" s="267" t="str">
        <f>IF(E50=0,"",'- 6 -'!$E50/E50*100)</f>
        <v/>
      </c>
      <c r="G50" s="267" t="str">
        <f>IF(E50=0,"",'- 6 -'!$F50/E50*100)</f>
        <v/>
      </c>
      <c r="H50" s="267" t="str">
        <f>IF(E50=0,"",'- 6 -'!$G50/E50*100)</f>
        <v/>
      </c>
      <c r="I50" s="267" t="str">
        <f>IF(E50=0,"",'- 6 -'!$H50/E50*100)</f>
        <v/>
      </c>
    </row>
    <row r="51" spans="1:9" ht="14.1" customHeight="1" x14ac:dyDescent="0.2">
      <c r="A51" s="360" t="s">
        <v>516</v>
      </c>
      <c r="B51" s="272">
        <v>0</v>
      </c>
      <c r="C51" s="273">
        <f>B51/'- 3 -'!$D51*100</f>
        <v>0</v>
      </c>
      <c r="D51" s="298" t="str">
        <f>IF(E51=0,"",B51/E51)</f>
        <v/>
      </c>
      <c r="E51" s="299">
        <f>SUM('- 6 -'!$E51:H51)</f>
        <v>0</v>
      </c>
      <c r="F51" s="273" t="str">
        <f>IF(E51=0,"",'- 6 -'!$E51/E51*100)</f>
        <v/>
      </c>
      <c r="G51" s="273" t="str">
        <f>IF(E51=0,"",'- 6 -'!$F51/E51*100)</f>
        <v/>
      </c>
      <c r="H51" s="273" t="str">
        <f>IF(E51=0,"",'- 6 -'!$G51/E51*100)</f>
        <v/>
      </c>
      <c r="I51" s="273" t="str">
        <f>IF(E51=0,"",'- 6 -'!$H51/E51*100)</f>
        <v/>
      </c>
    </row>
    <row r="52" spans="1:9" ht="50.1" customHeight="1" x14ac:dyDescent="0.2">
      <c r="A52" s="19"/>
      <c r="B52" s="51"/>
      <c r="C52" s="51"/>
      <c r="D52" s="51"/>
      <c r="E52" s="51"/>
      <c r="F52" s="51"/>
      <c r="G52" s="51"/>
      <c r="H52" s="51"/>
      <c r="I52" s="51"/>
    </row>
    <row r="53" spans="1:9" ht="15" customHeight="1" x14ac:dyDescent="0.2">
      <c r="A53" s="46" t="s">
        <v>334</v>
      </c>
      <c r="C53" s="46"/>
      <c r="D53" s="46"/>
      <c r="E53" s="46"/>
      <c r="F53" s="46"/>
      <c r="G53" s="46"/>
      <c r="H53" s="46"/>
      <c r="I53" s="46"/>
    </row>
    <row r="54" spans="1:9" ht="14.45" customHeight="1" x14ac:dyDescent="0.2"/>
    <row r="55" spans="1:9" ht="14.45" customHeight="1" x14ac:dyDescent="0.2"/>
    <row r="56" spans="1:9" ht="14.45" customHeight="1" x14ac:dyDescent="0.2"/>
    <row r="57" spans="1:9" ht="14.45" customHeight="1" x14ac:dyDescent="0.2">
      <c r="A57" s="20"/>
    </row>
    <row r="58" spans="1:9" ht="14.45" customHeight="1" x14ac:dyDescent="0.2"/>
    <row r="59" spans="1:9" ht="14.45" customHeight="1" x14ac:dyDescent="0.2">
      <c r="A59" s="20"/>
    </row>
  </sheetData>
  <mergeCells count="9">
    <mergeCell ref="D7:D9"/>
    <mergeCell ref="B5:I5"/>
    <mergeCell ref="E7:E9"/>
    <mergeCell ref="F8:F9"/>
    <mergeCell ref="G8:G9"/>
    <mergeCell ref="B6:I6"/>
    <mergeCell ref="F7:I7"/>
    <mergeCell ref="H8:H9"/>
    <mergeCell ref="I8:I9"/>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59"/>
  <sheetViews>
    <sheetView showGridLines="0" showZeros="0" workbookViewId="0"/>
  </sheetViews>
  <sheetFormatPr defaultColWidth="15.83203125" defaultRowHeight="12" x14ac:dyDescent="0.2"/>
  <cols>
    <col min="1" max="1" width="31.83203125" style="1" customWidth="1"/>
    <col min="2" max="2" width="15.6640625" style="1" customWidth="1"/>
    <col min="3" max="3" width="7.83203125" style="1" customWidth="1"/>
    <col min="4" max="4" width="8.6640625" style="1" customWidth="1"/>
    <col min="5" max="5" width="13" style="1" customWidth="1"/>
    <col min="6" max="6" width="7.83203125" style="1" customWidth="1"/>
    <col min="7" max="7" width="9.83203125" style="1" customWidth="1"/>
    <col min="8" max="8" width="14.6640625" style="1" customWidth="1"/>
    <col min="9" max="9" width="11.5" style="1" customWidth="1"/>
    <col min="10" max="16384" width="15.83203125" style="1"/>
  </cols>
  <sheetData>
    <row r="1" spans="1:9" ht="6.95" customHeight="1" x14ac:dyDescent="0.2">
      <c r="A1" s="3"/>
      <c r="B1" s="4"/>
      <c r="C1" s="4"/>
      <c r="D1" s="4"/>
      <c r="E1" s="4"/>
      <c r="F1" s="4"/>
      <c r="G1" s="4"/>
      <c r="H1" s="4"/>
      <c r="I1" s="4"/>
    </row>
    <row r="2" spans="1:9" ht="15.95" customHeight="1" x14ac:dyDescent="0.2">
      <c r="A2" s="132"/>
      <c r="B2" s="5" t="str">
        <f>AEXP_BP</f>
        <v>ANALYSIS OF EXPENSE BY PROGRAM</v>
      </c>
      <c r="C2" s="6"/>
      <c r="D2" s="6"/>
      <c r="E2" s="6"/>
      <c r="F2" s="6"/>
      <c r="G2" s="85"/>
      <c r="H2" s="85"/>
      <c r="I2" s="503" t="s">
        <v>528</v>
      </c>
    </row>
    <row r="3" spans="1:9" ht="15.95" customHeight="1" x14ac:dyDescent="0.2">
      <c r="A3" s="135"/>
      <c r="B3" s="7" t="str">
        <f>OPYEAR</f>
        <v>OPERATING FUND 2017/2018 BUDGET</v>
      </c>
      <c r="C3" s="8"/>
      <c r="D3" s="8"/>
      <c r="E3" s="8"/>
      <c r="F3" s="8"/>
      <c r="G3" s="87"/>
      <c r="H3" s="87"/>
      <c r="I3" s="81"/>
    </row>
    <row r="4" spans="1:9" ht="15.95" customHeight="1" x14ac:dyDescent="0.2">
      <c r="B4" s="4"/>
      <c r="C4" s="4"/>
      <c r="D4" s="81"/>
      <c r="E4" s="4"/>
      <c r="F4" s="4"/>
      <c r="G4" s="4"/>
      <c r="H4" s="4"/>
      <c r="I4" s="4"/>
    </row>
    <row r="5" spans="1:9" ht="15.95" customHeight="1" x14ac:dyDescent="0.2">
      <c r="B5" s="668" t="s">
        <v>239</v>
      </c>
      <c r="C5" s="669"/>
      <c r="D5" s="669"/>
      <c r="E5" s="669"/>
      <c r="F5" s="669"/>
      <c r="G5" s="669"/>
      <c r="H5" s="669"/>
      <c r="I5" s="670"/>
    </row>
    <row r="6" spans="1:9" ht="15.95" customHeight="1" x14ac:dyDescent="0.2">
      <c r="B6" s="624" t="s">
        <v>405</v>
      </c>
      <c r="C6" s="630"/>
      <c r="D6" s="621"/>
      <c r="E6" s="620" t="s">
        <v>406</v>
      </c>
      <c r="F6" s="630"/>
      <c r="G6" s="621"/>
      <c r="H6" s="620" t="s">
        <v>408</v>
      </c>
      <c r="I6" s="621"/>
    </row>
    <row r="7" spans="1:9" ht="15.95" customHeight="1" x14ac:dyDescent="0.2">
      <c r="B7" s="622"/>
      <c r="C7" s="631"/>
      <c r="D7" s="623"/>
      <c r="E7" s="622"/>
      <c r="F7" s="631"/>
      <c r="G7" s="623"/>
      <c r="H7" s="622"/>
      <c r="I7" s="623"/>
    </row>
    <row r="8" spans="1:9" ht="15.95" customHeight="1" x14ac:dyDescent="0.2">
      <c r="A8" s="82"/>
      <c r="B8" s="138"/>
      <c r="C8" s="137"/>
      <c r="D8" s="538" t="s">
        <v>396</v>
      </c>
      <c r="E8" s="138"/>
      <c r="F8" s="137"/>
      <c r="G8" s="538" t="s">
        <v>396</v>
      </c>
      <c r="H8" s="138"/>
      <c r="I8" s="538" t="s">
        <v>39</v>
      </c>
    </row>
    <row r="9" spans="1:9" ht="15.95" customHeight="1" x14ac:dyDescent="0.2">
      <c r="A9" s="27" t="s">
        <v>37</v>
      </c>
      <c r="B9" s="89" t="s">
        <v>38</v>
      </c>
      <c r="C9" s="89" t="s">
        <v>39</v>
      </c>
      <c r="D9" s="578"/>
      <c r="E9" s="89" t="s">
        <v>38</v>
      </c>
      <c r="F9" s="89" t="s">
        <v>39</v>
      </c>
      <c r="G9" s="578"/>
      <c r="H9" s="89" t="s">
        <v>38</v>
      </c>
      <c r="I9" s="578"/>
    </row>
    <row r="10" spans="1:9" ht="5.0999999999999996" customHeight="1" x14ac:dyDescent="0.2">
      <c r="A10" s="29"/>
    </row>
    <row r="11" spans="1:9" ht="14.1" customHeight="1" x14ac:dyDescent="0.2">
      <c r="A11" s="271" t="s">
        <v>104</v>
      </c>
      <c r="B11" s="272">
        <v>142900</v>
      </c>
      <c r="C11" s="273">
        <f>B11/'- 3 -'!$D11*100</f>
        <v>0.7083861318121687</v>
      </c>
      <c r="D11" s="272">
        <f>B11/'- 7 -'!$E11</f>
        <v>79.565701559020042</v>
      </c>
      <c r="E11" s="272">
        <v>189600</v>
      </c>
      <c r="F11" s="273">
        <f>E11/'- 3 -'!$D11*100</f>
        <v>0.9398881077087976</v>
      </c>
      <c r="G11" s="272">
        <f>E11/'- 7 -'!$E11</f>
        <v>105.56792873051225</v>
      </c>
      <c r="H11" s="272">
        <v>229100</v>
      </c>
      <c r="I11" s="273">
        <f>H11/'- 3 -'!$D11*100</f>
        <v>1.1356981301481306</v>
      </c>
    </row>
    <row r="12" spans="1:9" ht="14.1" customHeight="1" x14ac:dyDescent="0.2">
      <c r="A12" s="15" t="s">
        <v>105</v>
      </c>
      <c r="B12" s="16">
        <v>175038</v>
      </c>
      <c r="C12" s="267">
        <f>B12/'- 3 -'!$D12*100</f>
        <v>0.49965681029252262</v>
      </c>
      <c r="D12" s="16">
        <f>B12/'- 7 -'!$E12</f>
        <v>81.413023255813954</v>
      </c>
      <c r="E12" s="16">
        <v>803297</v>
      </c>
      <c r="F12" s="267">
        <f>E12/'- 3 -'!$D12*100</f>
        <v>2.2930610309621486</v>
      </c>
      <c r="G12" s="16">
        <f>E12/'- 7 -'!$E12</f>
        <v>373.62651162790695</v>
      </c>
      <c r="H12" s="16">
        <v>0</v>
      </c>
      <c r="I12" s="492">
        <f>H12/'- 3 -'!$D12*100</f>
        <v>0</v>
      </c>
    </row>
    <row r="13" spans="1:9" ht="14.1" customHeight="1" x14ac:dyDescent="0.2">
      <c r="A13" s="271" t="s">
        <v>106</v>
      </c>
      <c r="B13" s="272">
        <v>227200</v>
      </c>
      <c r="C13" s="273">
        <f>B13/'- 3 -'!$D13*100</f>
        <v>0.22309066986115747</v>
      </c>
      <c r="D13" s="272">
        <f>B13/'- 7 -'!$E13</f>
        <v>26.635404454865181</v>
      </c>
      <c r="E13" s="272">
        <v>2737500</v>
      </c>
      <c r="F13" s="273">
        <f>E13/'- 3 -'!$D13*100</f>
        <v>2.6879872744054514</v>
      </c>
      <c r="G13" s="272">
        <f>E13/'- 7 -'!$E13</f>
        <v>320.92614302461897</v>
      </c>
      <c r="H13" s="272">
        <v>1560000</v>
      </c>
      <c r="I13" s="493">
        <f>H13/'- 3 -'!$D13*100</f>
        <v>1.5317845289762573</v>
      </c>
    </row>
    <row r="14" spans="1:9" ht="14.1" customHeight="1" x14ac:dyDescent="0.2">
      <c r="A14" s="15" t="s">
        <v>315</v>
      </c>
      <c r="B14" s="16">
        <v>425799</v>
      </c>
      <c r="C14" s="267">
        <f>B14/'- 3 -'!$D14*100</f>
        <v>0.47166644911028299</v>
      </c>
      <c r="D14" s="16">
        <f>B14/'- 7 -'!$E14</f>
        <v>76.445062836624771</v>
      </c>
      <c r="E14" s="16">
        <v>1053303</v>
      </c>
      <c r="F14" s="267">
        <f>E14/'- 3 -'!$D14*100</f>
        <v>1.1667657412234609</v>
      </c>
      <c r="G14" s="16">
        <f>E14/'- 7 -'!$E14</f>
        <v>189.10287253141831</v>
      </c>
      <c r="H14" s="16">
        <v>1010668</v>
      </c>
      <c r="I14" s="492">
        <f>H14/'- 3 -'!$D14*100</f>
        <v>1.1195380608911516</v>
      </c>
    </row>
    <row r="15" spans="1:9" ht="14.1" customHeight="1" x14ac:dyDescent="0.2">
      <c r="A15" s="271" t="s">
        <v>107</v>
      </c>
      <c r="B15" s="272">
        <v>239650</v>
      </c>
      <c r="C15" s="273">
        <f>B15/'- 3 -'!$D15*100</f>
        <v>1.1569449816539856</v>
      </c>
      <c r="D15" s="272">
        <f>B15/'- 7 -'!$E15</f>
        <v>173.91146589259796</v>
      </c>
      <c r="E15" s="272">
        <v>276300</v>
      </c>
      <c r="F15" s="273">
        <f>E15/'- 3 -'!$D15*100</f>
        <v>1.3338781490965836</v>
      </c>
      <c r="G15" s="272">
        <f>E15/'- 7 -'!$E15</f>
        <v>200.50798258345429</v>
      </c>
      <c r="H15" s="272">
        <v>0</v>
      </c>
      <c r="I15" s="493">
        <f>H15/'- 3 -'!$D15*100</f>
        <v>0</v>
      </c>
    </row>
    <row r="16" spans="1:9" ht="14.1" customHeight="1" x14ac:dyDescent="0.2">
      <c r="A16" s="15" t="s">
        <v>108</v>
      </c>
      <c r="B16" s="16">
        <v>207516</v>
      </c>
      <c r="C16" s="267">
        <f>B16/'- 3 -'!$D16*100</f>
        <v>1.4030076542195564</v>
      </c>
      <c r="D16" s="16">
        <f>B16/'- 7 -'!$E16</f>
        <v>223.73692722371968</v>
      </c>
      <c r="E16" s="16">
        <v>267599</v>
      </c>
      <c r="F16" s="267">
        <f>E16/'- 3 -'!$D16*100</f>
        <v>1.8092264946389633</v>
      </c>
      <c r="G16" s="16">
        <f>E16/'- 7 -'!$E16</f>
        <v>288.51644204851755</v>
      </c>
      <c r="H16" s="16">
        <v>169143</v>
      </c>
      <c r="I16" s="492">
        <f>H16/'- 3 -'!$D16*100</f>
        <v>1.1435692845740013</v>
      </c>
    </row>
    <row r="17" spans="1:9" ht="14.1" customHeight="1" x14ac:dyDescent="0.2">
      <c r="A17" s="271" t="s">
        <v>109</v>
      </c>
      <c r="B17" s="272">
        <v>135520</v>
      </c>
      <c r="C17" s="273">
        <f>B17/'- 3 -'!$D17*100</f>
        <v>0.72469169854750437</v>
      </c>
      <c r="D17" s="272">
        <f>B17/'- 7 -'!$E17</f>
        <v>96.215832445864393</v>
      </c>
      <c r="E17" s="272">
        <v>286630</v>
      </c>
      <c r="F17" s="273">
        <f>E17/'- 3 -'!$D17*100</f>
        <v>1.53275074937036</v>
      </c>
      <c r="G17" s="272">
        <f>E17/'- 7 -'!$E17</f>
        <v>203.50017749378773</v>
      </c>
      <c r="H17" s="272">
        <v>178625</v>
      </c>
      <c r="I17" s="493">
        <f>H17/'- 3 -'!$D17*100</f>
        <v>0.95519520847880734</v>
      </c>
    </row>
    <row r="18" spans="1:9" ht="14.1" customHeight="1" x14ac:dyDescent="0.2">
      <c r="A18" s="15" t="s">
        <v>110</v>
      </c>
      <c r="B18" s="16">
        <v>0</v>
      </c>
      <c r="C18" s="267">
        <f>B18/'- 3 -'!$D18*100</f>
        <v>0</v>
      </c>
      <c r="D18" s="16">
        <f>B18/'- 7 -'!$E18</f>
        <v>0</v>
      </c>
      <c r="E18" s="16">
        <v>1739491</v>
      </c>
      <c r="F18" s="267">
        <f>E18/'- 3 -'!$D18*100</f>
        <v>1.3202822034890027</v>
      </c>
      <c r="G18" s="16">
        <f>E18/'- 7 -'!$E18</f>
        <v>284.47226401517628</v>
      </c>
      <c r="H18" s="16">
        <v>0</v>
      </c>
      <c r="I18" s="492">
        <f>H18/'- 3 -'!$D18*100</f>
        <v>0</v>
      </c>
    </row>
    <row r="19" spans="1:9" ht="14.1" customHeight="1" x14ac:dyDescent="0.2">
      <c r="A19" s="271" t="s">
        <v>111</v>
      </c>
      <c r="B19" s="272">
        <v>185450</v>
      </c>
      <c r="C19" s="273">
        <f>B19/'- 3 -'!$D19*100</f>
        <v>0.38054516845428504</v>
      </c>
      <c r="D19" s="272">
        <f>B19/'- 7 -'!$E19</f>
        <v>42.745188429180594</v>
      </c>
      <c r="E19" s="272">
        <v>991240</v>
      </c>
      <c r="F19" s="273">
        <f>E19/'- 3 -'!$D19*100</f>
        <v>2.0340339324811296</v>
      </c>
      <c r="G19" s="272">
        <f>E19/'- 7 -'!$E19</f>
        <v>228.47527947447276</v>
      </c>
      <c r="H19" s="272">
        <v>1732100</v>
      </c>
      <c r="I19" s="493">
        <f>H19/'- 3 -'!$D19*100</f>
        <v>3.5542857173344142</v>
      </c>
    </row>
    <row r="20" spans="1:9" ht="14.1" customHeight="1" x14ac:dyDescent="0.2">
      <c r="A20" s="15" t="s">
        <v>112</v>
      </c>
      <c r="B20" s="16">
        <v>503100</v>
      </c>
      <c r="C20" s="267">
        <f>B20/'- 3 -'!$D20*100</f>
        <v>0.59258788110079286</v>
      </c>
      <c r="D20" s="16">
        <f>B20/'- 7 -'!$E20</f>
        <v>64.958037443511941</v>
      </c>
      <c r="E20" s="16">
        <v>1820900</v>
      </c>
      <c r="F20" s="267">
        <f>E20/'- 3 -'!$D20*100</f>
        <v>2.1447888544949985</v>
      </c>
      <c r="G20" s="16">
        <f>E20/'- 7 -'!$E20</f>
        <v>235.10652033570045</v>
      </c>
      <c r="H20" s="16">
        <v>933900</v>
      </c>
      <c r="I20" s="492">
        <f>H20/'- 3 -'!$D20*100</f>
        <v>1.1000155479229388</v>
      </c>
    </row>
    <row r="21" spans="1:9" ht="14.1" customHeight="1" x14ac:dyDescent="0.2">
      <c r="A21" s="271" t="s">
        <v>113</v>
      </c>
      <c r="B21" s="272">
        <v>162182</v>
      </c>
      <c r="C21" s="273">
        <f>B21/'- 3 -'!$D21*100</f>
        <v>0.4366844914026613</v>
      </c>
      <c r="D21" s="272">
        <f>B21/'- 7 -'!$E21</f>
        <v>58.85755761204863</v>
      </c>
      <c r="E21" s="272">
        <v>745018</v>
      </c>
      <c r="F21" s="273">
        <f>E21/'- 3 -'!$D21*100</f>
        <v>2.0060044050253909</v>
      </c>
      <c r="G21" s="272">
        <f>E21/'- 7 -'!$E21</f>
        <v>270.37488659045545</v>
      </c>
      <c r="H21" s="272">
        <v>53300</v>
      </c>
      <c r="I21" s="493">
        <f>H21/'- 3 -'!$D21*100</f>
        <v>0.14351335778176277</v>
      </c>
    </row>
    <row r="22" spans="1:9" ht="14.1" customHeight="1" x14ac:dyDescent="0.2">
      <c r="A22" s="15" t="s">
        <v>114</v>
      </c>
      <c r="B22" s="16">
        <v>147740</v>
      </c>
      <c r="C22" s="267">
        <f>B22/'- 3 -'!$D22*100</f>
        <v>0.69295167677514347</v>
      </c>
      <c r="D22" s="16">
        <f>B22/'- 7 -'!$E22</f>
        <v>97.248551869404949</v>
      </c>
      <c r="E22" s="16">
        <v>289860</v>
      </c>
      <c r="F22" s="267">
        <f>E22/'- 3 -'!$D22*100</f>
        <v>1.3595436105999936</v>
      </c>
      <c r="G22" s="16">
        <f>E22/'- 7 -'!$E22</f>
        <v>190.79778830963664</v>
      </c>
      <c r="H22" s="16">
        <v>1373360</v>
      </c>
      <c r="I22" s="492">
        <f>H22/'- 3 -'!$D22*100</f>
        <v>6.4415331989705633</v>
      </c>
    </row>
    <row r="23" spans="1:9" ht="14.1" customHeight="1" x14ac:dyDescent="0.2">
      <c r="A23" s="271" t="s">
        <v>115</v>
      </c>
      <c r="B23" s="272">
        <v>154550</v>
      </c>
      <c r="C23" s="273">
        <f>B23/'- 3 -'!$D23*100</f>
        <v>0.91804694971104539</v>
      </c>
      <c r="D23" s="272">
        <f>B23/'- 7 -'!$E23</f>
        <v>139.86425339366517</v>
      </c>
      <c r="E23" s="272">
        <v>436000</v>
      </c>
      <c r="F23" s="273">
        <f>E23/'- 3 -'!$D23*100</f>
        <v>2.5898962800001022</v>
      </c>
      <c r="G23" s="272">
        <f>E23/'- 7 -'!$E23</f>
        <v>394.57013574660635</v>
      </c>
      <c r="H23" s="272">
        <v>0</v>
      </c>
      <c r="I23" s="493">
        <f>H23/'- 3 -'!$D23*100</f>
        <v>0</v>
      </c>
    </row>
    <row r="24" spans="1:9" ht="14.1" customHeight="1" x14ac:dyDescent="0.2">
      <c r="A24" s="15" t="s">
        <v>116</v>
      </c>
      <c r="B24" s="16">
        <v>277450</v>
      </c>
      <c r="C24" s="267">
        <f>B24/'- 3 -'!$D24*100</f>
        <v>0.47492810945849329</v>
      </c>
      <c r="D24" s="16">
        <f>B24/'- 7 -'!$E24</f>
        <v>71.241494415200918</v>
      </c>
      <c r="E24" s="16">
        <v>1754595</v>
      </c>
      <c r="F24" s="267">
        <f>E24/'- 3 -'!$D24*100</f>
        <v>3.0034474183287982</v>
      </c>
      <c r="G24" s="16">
        <f>E24/'- 7 -'!$E24</f>
        <v>450.53151880857621</v>
      </c>
      <c r="H24" s="16">
        <v>201610</v>
      </c>
      <c r="I24" s="492">
        <f>H24/'- 3 -'!$D24*100</f>
        <v>0.3451081497492407</v>
      </c>
    </row>
    <row r="25" spans="1:9" ht="14.1" customHeight="1" x14ac:dyDescent="0.2">
      <c r="A25" s="271" t="s">
        <v>117</v>
      </c>
      <c r="B25" s="272">
        <v>1407132</v>
      </c>
      <c r="C25" s="273">
        <f>B25/'- 3 -'!$D25*100</f>
        <v>0.77301323032789526</v>
      </c>
      <c r="D25" s="272">
        <f>B25/'- 7 -'!$E25</f>
        <v>97.227984107790633</v>
      </c>
      <c r="E25" s="272">
        <v>3375268</v>
      </c>
      <c r="F25" s="273">
        <f>E25/'- 3 -'!$D25*100</f>
        <v>1.8542161075878982</v>
      </c>
      <c r="G25" s="272">
        <f>E25/'- 7 -'!$E25</f>
        <v>233.21941613404732</v>
      </c>
      <c r="H25" s="272">
        <v>9044240</v>
      </c>
      <c r="I25" s="493">
        <f>H25/'- 3 -'!$D25*100</f>
        <v>4.9684870916593207</v>
      </c>
    </row>
    <row r="26" spans="1:9" ht="14.1" customHeight="1" x14ac:dyDescent="0.2">
      <c r="A26" s="15" t="s">
        <v>118</v>
      </c>
      <c r="B26" s="16">
        <v>150625</v>
      </c>
      <c r="C26" s="267">
        <f>B26/'- 3 -'!$D26*100</f>
        <v>0.36586588936550707</v>
      </c>
      <c r="D26" s="16">
        <f>B26/'- 7 -'!$E26</f>
        <v>49.385245901639344</v>
      </c>
      <c r="E26" s="16">
        <v>719891</v>
      </c>
      <c r="F26" s="267">
        <f>E26/'- 3 -'!$D26*100</f>
        <v>1.748604554099414</v>
      </c>
      <c r="G26" s="16">
        <f>E26/'- 7 -'!$E26</f>
        <v>236.02983606557376</v>
      </c>
      <c r="H26" s="16">
        <v>276784</v>
      </c>
      <c r="I26" s="492">
        <f>H26/'- 3 -'!$D26*100</f>
        <v>0.67230422786484645</v>
      </c>
    </row>
    <row r="27" spans="1:9" ht="14.1" customHeight="1" x14ac:dyDescent="0.2">
      <c r="A27" s="271" t="s">
        <v>119</v>
      </c>
      <c r="B27" s="272">
        <v>220237</v>
      </c>
      <c r="C27" s="273">
        <f>B27/'- 3 -'!$D27*100</f>
        <v>0.5000224313881052</v>
      </c>
      <c r="D27" s="272">
        <f>B27/'- 7 -'!$E27</f>
        <v>73.646599659870446</v>
      </c>
      <c r="E27" s="272">
        <v>582464</v>
      </c>
      <c r="F27" s="273">
        <f>E27/'- 3 -'!$D27*100</f>
        <v>1.3224166033683771</v>
      </c>
      <c r="G27" s="272">
        <f>E27/'- 7 -'!$E27</f>
        <v>194.77423423079131</v>
      </c>
      <c r="H27" s="272">
        <v>1986374</v>
      </c>
      <c r="I27" s="493">
        <f>H27/'- 3 -'!$D27*100</f>
        <v>4.5098305785409174</v>
      </c>
    </row>
    <row r="28" spans="1:9" ht="14.1" customHeight="1" x14ac:dyDescent="0.2">
      <c r="A28" s="15" t="s">
        <v>120</v>
      </c>
      <c r="B28" s="16">
        <v>135962</v>
      </c>
      <c r="C28" s="267">
        <f>B28/'- 3 -'!$D28*100</f>
        <v>0.47052218092197667</v>
      </c>
      <c r="D28" s="16">
        <f>B28/'- 7 -'!$E28</f>
        <v>69.403777437468094</v>
      </c>
      <c r="E28" s="16">
        <v>409105</v>
      </c>
      <c r="F28" s="267">
        <f>E28/'- 3 -'!$D28*100</f>
        <v>1.4157851225054445</v>
      </c>
      <c r="G28" s="16">
        <f>E28/'- 7 -'!$E28</f>
        <v>208.83358856559468</v>
      </c>
      <c r="H28" s="16">
        <v>0</v>
      </c>
      <c r="I28" s="492">
        <f>H28/'- 3 -'!$D28*100</f>
        <v>0</v>
      </c>
    </row>
    <row r="29" spans="1:9" ht="14.1" customHeight="1" x14ac:dyDescent="0.2">
      <c r="A29" s="271" t="s">
        <v>121</v>
      </c>
      <c r="B29" s="272">
        <v>620564</v>
      </c>
      <c r="C29" s="273">
        <f>B29/'- 3 -'!$D29*100</f>
        <v>0.37752377742347532</v>
      </c>
      <c r="D29" s="272">
        <f>B29/'- 7 -'!$E29</f>
        <v>47.502200721071041</v>
      </c>
      <c r="E29" s="272">
        <v>2904983</v>
      </c>
      <c r="F29" s="273">
        <f>E29/'- 3 -'!$D29*100</f>
        <v>1.7672635787944189</v>
      </c>
      <c r="G29" s="272">
        <f>E29/'- 7 -'!$E29</f>
        <v>222.36721040424376</v>
      </c>
      <c r="H29" s="272">
        <v>524000</v>
      </c>
      <c r="I29" s="493">
        <f>H29/'- 3 -'!$D29*100</f>
        <v>0.31877849725395135</v>
      </c>
    </row>
    <row r="30" spans="1:9" ht="14.1" customHeight="1" x14ac:dyDescent="0.2">
      <c r="A30" s="15" t="s">
        <v>122</v>
      </c>
      <c r="B30" s="16">
        <v>154605</v>
      </c>
      <c r="C30" s="267">
        <f>B30/'- 3 -'!$D30*100</f>
        <v>1.0206863187101531</v>
      </c>
      <c r="D30" s="16">
        <f>B30/'- 7 -'!$E30</f>
        <v>152.24519940915806</v>
      </c>
      <c r="E30" s="16">
        <v>156309</v>
      </c>
      <c r="F30" s="267">
        <f>E30/'- 3 -'!$D30*100</f>
        <v>1.0319359515621442</v>
      </c>
      <c r="G30" s="16">
        <f>E30/'- 7 -'!$E30</f>
        <v>153.92319054652882</v>
      </c>
      <c r="H30" s="16">
        <v>0</v>
      </c>
      <c r="I30" s="492">
        <f>H30/'- 3 -'!$D30*100</f>
        <v>0</v>
      </c>
    </row>
    <row r="31" spans="1:9" ht="14.1" customHeight="1" x14ac:dyDescent="0.2">
      <c r="A31" s="271" t="s">
        <v>123</v>
      </c>
      <c r="B31" s="272">
        <v>186293</v>
      </c>
      <c r="C31" s="273">
        <f>B31/'- 3 -'!$D31*100</f>
        <v>0.48656985399744035</v>
      </c>
      <c r="D31" s="272">
        <f>B31/'- 7 -'!$E31</f>
        <v>56.718830872278886</v>
      </c>
      <c r="E31" s="272">
        <v>508204</v>
      </c>
      <c r="F31" s="273">
        <f>E31/'- 3 -'!$D31*100</f>
        <v>1.3273539321440697</v>
      </c>
      <c r="G31" s="272">
        <f>E31/'- 7 -'!$E31</f>
        <v>154.72796468260009</v>
      </c>
      <c r="H31" s="272">
        <v>2396780</v>
      </c>
      <c r="I31" s="493">
        <f>H31/'- 3 -'!$D31*100</f>
        <v>6.2600360435657016</v>
      </c>
    </row>
    <row r="32" spans="1:9" ht="14.1" customHeight="1" x14ac:dyDescent="0.2">
      <c r="A32" s="15" t="s">
        <v>124</v>
      </c>
      <c r="B32" s="16">
        <v>156629</v>
      </c>
      <c r="C32" s="267">
        <f>B32/'- 3 -'!$D32*100</f>
        <v>0.50020058609077733</v>
      </c>
      <c r="D32" s="16">
        <f>B32/'- 7 -'!$E32</f>
        <v>70.776773610483502</v>
      </c>
      <c r="E32" s="16">
        <v>410219</v>
      </c>
      <c r="F32" s="267">
        <f>E32/'- 3 -'!$D32*100</f>
        <v>1.3100497623401324</v>
      </c>
      <c r="G32" s="16">
        <f>E32/'- 7 -'!$E32</f>
        <v>185.36782647989156</v>
      </c>
      <c r="H32" s="16">
        <v>0</v>
      </c>
      <c r="I32" s="492">
        <f>H32/'- 3 -'!$D32*100</f>
        <v>0</v>
      </c>
    </row>
    <row r="33" spans="1:9" ht="14.1" customHeight="1" x14ac:dyDescent="0.2">
      <c r="A33" s="271" t="s">
        <v>125</v>
      </c>
      <c r="B33" s="272">
        <v>215100</v>
      </c>
      <c r="C33" s="273">
        <f>B33/'- 3 -'!$D33*100</f>
        <v>0.75807236049142546</v>
      </c>
      <c r="D33" s="272">
        <f>B33/'- 7 -'!$E33</f>
        <v>108.41733870967742</v>
      </c>
      <c r="E33" s="272">
        <v>381300</v>
      </c>
      <c r="F33" s="273">
        <f>E33/'- 3 -'!$D33*100</f>
        <v>1.343807489797213</v>
      </c>
      <c r="G33" s="272">
        <f>E33/'- 7 -'!$E33</f>
        <v>192.1875</v>
      </c>
      <c r="H33" s="272">
        <v>0</v>
      </c>
      <c r="I33" s="493">
        <f>H33/'- 3 -'!$D33*100</f>
        <v>0</v>
      </c>
    </row>
    <row r="34" spans="1:9" ht="14.1" customHeight="1" x14ac:dyDescent="0.2">
      <c r="A34" s="15" t="s">
        <v>126</v>
      </c>
      <c r="B34" s="16">
        <v>233093</v>
      </c>
      <c r="C34" s="267">
        <f>B34/'- 3 -'!$D34*100</f>
        <v>0.75815111735835694</v>
      </c>
      <c r="D34" s="16">
        <f>B34/'- 7 -'!$E34</f>
        <v>113.4272506082725</v>
      </c>
      <c r="E34" s="16">
        <v>487703</v>
      </c>
      <c r="F34" s="267">
        <f>E34/'- 3 -'!$D34*100</f>
        <v>1.5862877666383064</v>
      </c>
      <c r="G34" s="16">
        <f>E34/'- 7 -'!$E34</f>
        <v>237.32506082725061</v>
      </c>
      <c r="H34" s="16">
        <v>733867</v>
      </c>
      <c r="I34" s="492">
        <f>H34/'- 3 -'!$D34*100</f>
        <v>2.3869532162803058</v>
      </c>
    </row>
    <row r="35" spans="1:9" ht="14.1" customHeight="1" x14ac:dyDescent="0.2">
      <c r="A35" s="271" t="s">
        <v>127</v>
      </c>
      <c r="B35" s="272">
        <v>1009882</v>
      </c>
      <c r="C35" s="273">
        <f>B35/'- 3 -'!$D35*100</f>
        <v>0.54524096173840619</v>
      </c>
      <c r="D35" s="272">
        <f>B35/'- 7 -'!$E35</f>
        <v>64.313453271772005</v>
      </c>
      <c r="E35" s="272">
        <v>3235600</v>
      </c>
      <c r="F35" s="273">
        <f>E35/'- 3 -'!$D35*100</f>
        <v>1.7469186061349613</v>
      </c>
      <c r="G35" s="272">
        <f>E35/'- 7 -'!$E35</f>
        <v>206.05636045215729</v>
      </c>
      <c r="H35" s="272">
        <v>2820700</v>
      </c>
      <c r="I35" s="493">
        <f>H35/'- 3 -'!$D35*100</f>
        <v>1.5229117666970224</v>
      </c>
    </row>
    <row r="36" spans="1:9" ht="14.1" customHeight="1" x14ac:dyDescent="0.2">
      <c r="A36" s="15" t="s">
        <v>128</v>
      </c>
      <c r="B36" s="16">
        <v>219840</v>
      </c>
      <c r="C36" s="267">
        <f>B36/'- 3 -'!$D36*100</f>
        <v>0.91698365600933163</v>
      </c>
      <c r="D36" s="16">
        <f>B36/'- 7 -'!$E36</f>
        <v>130.74041034790366</v>
      </c>
      <c r="E36" s="16">
        <v>329485</v>
      </c>
      <c r="F36" s="267">
        <f>E36/'- 3 -'!$D36*100</f>
        <v>1.3743284202157691</v>
      </c>
      <c r="G36" s="16">
        <f>E36/'- 7 -'!$E36</f>
        <v>195.94707106749925</v>
      </c>
      <c r="H36" s="16">
        <v>5000</v>
      </c>
      <c r="I36" s="492">
        <f>H36/'- 3 -'!$D36*100</f>
        <v>2.0855705422337421E-2</v>
      </c>
    </row>
    <row r="37" spans="1:9" ht="14.1" customHeight="1" x14ac:dyDescent="0.2">
      <c r="A37" s="271" t="s">
        <v>129</v>
      </c>
      <c r="B37" s="272">
        <v>326900</v>
      </c>
      <c r="C37" s="273">
        <f>B37/'- 3 -'!$D37*100</f>
        <v>0.62707410178204903</v>
      </c>
      <c r="D37" s="272">
        <f>B37/'- 7 -'!$E37</f>
        <v>76.850741707219598</v>
      </c>
      <c r="E37" s="272">
        <v>812600</v>
      </c>
      <c r="F37" s="273">
        <f>E37/'- 3 -'!$D37*100</f>
        <v>1.5587654178895474</v>
      </c>
      <c r="G37" s="272">
        <f>E37/'- 7 -'!$E37</f>
        <v>191.03368831840515</v>
      </c>
      <c r="H37" s="272">
        <v>0</v>
      </c>
      <c r="I37" s="493">
        <f>H37/'- 3 -'!$D37*100</f>
        <v>0</v>
      </c>
    </row>
    <row r="38" spans="1:9" ht="14.1" customHeight="1" x14ac:dyDescent="0.2">
      <c r="A38" s="15" t="s">
        <v>130</v>
      </c>
      <c r="B38" s="16">
        <v>574740</v>
      </c>
      <c r="C38" s="267">
        <f>B38/'- 3 -'!$D38*100</f>
        <v>0.40699855666134566</v>
      </c>
      <c r="D38" s="16">
        <f>B38/'- 7 -'!$E38</f>
        <v>50.906997342781224</v>
      </c>
      <c r="E38" s="16">
        <v>1905210</v>
      </c>
      <c r="F38" s="267">
        <f>E38/'- 3 -'!$D38*100</f>
        <v>1.3491626128975927</v>
      </c>
      <c r="G38" s="16">
        <f>E38/'- 7 -'!$E38</f>
        <v>168.75199291408325</v>
      </c>
      <c r="H38" s="16">
        <v>853740</v>
      </c>
      <c r="I38" s="492">
        <f>H38/'- 3 -'!$D38*100</f>
        <v>0.60457067154549404</v>
      </c>
    </row>
    <row r="39" spans="1:9" ht="14.1" customHeight="1" x14ac:dyDescent="0.2">
      <c r="A39" s="271" t="s">
        <v>131</v>
      </c>
      <c r="B39" s="272">
        <v>250900</v>
      </c>
      <c r="C39" s="273">
        <f>B39/'- 3 -'!$D39*100</f>
        <v>1.0781868069297889</v>
      </c>
      <c r="D39" s="272">
        <f>B39/'- 7 -'!$E39</f>
        <v>166.37931034482759</v>
      </c>
      <c r="E39" s="272">
        <v>403300</v>
      </c>
      <c r="F39" s="273">
        <f>E39/'- 3 -'!$D39*100</f>
        <v>1.7330918263642243</v>
      </c>
      <c r="G39" s="272">
        <f>E39/'- 7 -'!$E39</f>
        <v>267.44031830238725</v>
      </c>
      <c r="H39" s="272">
        <v>0</v>
      </c>
      <c r="I39" s="493">
        <f>H39/'- 3 -'!$D39*100</f>
        <v>0</v>
      </c>
    </row>
    <row r="40" spans="1:9" ht="14.1" customHeight="1" x14ac:dyDescent="0.2">
      <c r="A40" s="15" t="s">
        <v>132</v>
      </c>
      <c r="B40" s="16">
        <v>255784</v>
      </c>
      <c r="C40" s="267">
        <f>B40/'- 3 -'!$D40*100</f>
        <v>0.23727447450063774</v>
      </c>
      <c r="D40" s="16">
        <f>B40/'- 7 -'!$E40</f>
        <v>31.118789235485909</v>
      </c>
      <c r="E40" s="16">
        <v>2610356</v>
      </c>
      <c r="F40" s="267">
        <f>E40/'- 3 -'!$D40*100</f>
        <v>2.4214604829058373</v>
      </c>
      <c r="G40" s="16">
        <f>E40/'- 7 -'!$E40</f>
        <v>317.57701104676624</v>
      </c>
      <c r="H40" s="16">
        <v>1200</v>
      </c>
      <c r="I40" s="492">
        <f>H40/'- 3 -'!$D40*100</f>
        <v>1.1131633307820867E-3</v>
      </c>
    </row>
    <row r="41" spans="1:9" ht="14.1" customHeight="1" x14ac:dyDescent="0.2">
      <c r="A41" s="271" t="s">
        <v>133</v>
      </c>
      <c r="B41" s="272">
        <v>362990</v>
      </c>
      <c r="C41" s="273">
        <f>B41/'- 3 -'!$D41*100</f>
        <v>0.56203370142909903</v>
      </c>
      <c r="D41" s="272">
        <f>B41/'- 7 -'!$E41</f>
        <v>81.976061427280939</v>
      </c>
      <c r="E41" s="272">
        <v>1518116</v>
      </c>
      <c r="F41" s="273">
        <f>E41/'- 3 -'!$D41*100</f>
        <v>2.3505671084017141</v>
      </c>
      <c r="G41" s="272">
        <f>E41/'- 7 -'!$E41</f>
        <v>342.84462511291781</v>
      </c>
      <c r="H41" s="272">
        <v>834435</v>
      </c>
      <c r="I41" s="493">
        <f>H41/'- 3 -'!$D41*100</f>
        <v>1.2919931448579585</v>
      </c>
    </row>
    <row r="42" spans="1:9" ht="14.1" customHeight="1" x14ac:dyDescent="0.2">
      <c r="A42" s="15" t="s">
        <v>134</v>
      </c>
      <c r="B42" s="16">
        <v>162672</v>
      </c>
      <c r="C42" s="267">
        <f>B42/'- 3 -'!$D42*100</f>
        <v>0.75827453946120893</v>
      </c>
      <c r="D42" s="16">
        <f>B42/'- 7 -'!$E42</f>
        <v>117.28334534967556</v>
      </c>
      <c r="E42" s="16">
        <v>334531</v>
      </c>
      <c r="F42" s="267">
        <f>E42/'- 3 -'!$D42*100</f>
        <v>1.5593730940819421</v>
      </c>
      <c r="G42" s="16">
        <f>E42/'- 7 -'!$E42</f>
        <v>241.19033886085074</v>
      </c>
      <c r="H42" s="16">
        <v>0</v>
      </c>
      <c r="I42" s="492">
        <f>H42/'- 3 -'!$D42*100</f>
        <v>0</v>
      </c>
    </row>
    <row r="43" spans="1:9" ht="14.1" customHeight="1" x14ac:dyDescent="0.2">
      <c r="A43" s="271" t="s">
        <v>135</v>
      </c>
      <c r="B43" s="272">
        <v>165873</v>
      </c>
      <c r="C43" s="273">
        <f>B43/'- 3 -'!$D43*100</f>
        <v>1.2134794076554263</v>
      </c>
      <c r="D43" s="272">
        <f>B43/'- 7 -'!$E43</f>
        <v>174.14488188976378</v>
      </c>
      <c r="E43" s="272">
        <v>253243</v>
      </c>
      <c r="F43" s="273">
        <f>E43/'- 3 -'!$D43*100</f>
        <v>1.8526533289497578</v>
      </c>
      <c r="G43" s="272">
        <f>E43/'- 7 -'!$E43</f>
        <v>265.87191601049869</v>
      </c>
      <c r="H43" s="272">
        <v>0</v>
      </c>
      <c r="I43" s="493">
        <f>H43/'- 3 -'!$D43*100</f>
        <v>0</v>
      </c>
    </row>
    <row r="44" spans="1:9" ht="14.1" customHeight="1" x14ac:dyDescent="0.2">
      <c r="A44" s="15" t="s">
        <v>136</v>
      </c>
      <c r="B44" s="16">
        <v>90411</v>
      </c>
      <c r="C44" s="267">
        <f>B44/'- 3 -'!$D44*100</f>
        <v>0.80151425209733596</v>
      </c>
      <c r="D44" s="16">
        <f>B44/'- 7 -'!$E44</f>
        <v>126.27234636871508</v>
      </c>
      <c r="E44" s="16">
        <v>161695</v>
      </c>
      <c r="F44" s="267">
        <f>E44/'- 3 -'!$D44*100</f>
        <v>1.4334632621349033</v>
      </c>
      <c r="G44" s="16">
        <f>E44/'- 7 -'!$E44</f>
        <v>225.83100558659217</v>
      </c>
      <c r="H44" s="16">
        <v>0</v>
      </c>
      <c r="I44" s="492">
        <f>H44/'- 3 -'!$D44*100</f>
        <v>0</v>
      </c>
    </row>
    <row r="45" spans="1:9" ht="14.1" customHeight="1" x14ac:dyDescent="0.2">
      <c r="A45" s="271" t="s">
        <v>137</v>
      </c>
      <c r="B45" s="272">
        <v>152772</v>
      </c>
      <c r="C45" s="273">
        <f>B45/'- 3 -'!$D45*100</f>
        <v>0.75530290898805619</v>
      </c>
      <c r="D45" s="272">
        <f>B45/'- 7 -'!$E45</f>
        <v>88.205542725173217</v>
      </c>
      <c r="E45" s="272">
        <v>310849</v>
      </c>
      <c r="F45" s="273">
        <f>E45/'- 3 -'!$D45*100</f>
        <v>1.5368336734220163</v>
      </c>
      <c r="G45" s="272">
        <f>E45/'- 7 -'!$E45</f>
        <v>179.47401847575057</v>
      </c>
      <c r="H45" s="272">
        <v>311565</v>
      </c>
      <c r="I45" s="493">
        <f>H45/'- 3 -'!$D45*100</f>
        <v>1.5403735687093427</v>
      </c>
    </row>
    <row r="46" spans="1:9" ht="14.1" customHeight="1" x14ac:dyDescent="0.2">
      <c r="A46" s="15" t="s">
        <v>138</v>
      </c>
      <c r="B46" s="16">
        <v>729100</v>
      </c>
      <c r="C46" s="267">
        <f>B46/'- 3 -'!$D46*100</f>
        <v>0.18115919522679935</v>
      </c>
      <c r="D46" s="16">
        <f>B46/'- 7 -'!$E46</f>
        <v>24.094116091935032</v>
      </c>
      <c r="E46" s="16">
        <v>11498500</v>
      </c>
      <c r="F46" s="267">
        <f>E46/'- 3 -'!$D46*100</f>
        <v>2.8570278512074507</v>
      </c>
      <c r="G46" s="16">
        <f>E46/'- 7 -'!$E46</f>
        <v>379.98380727350838</v>
      </c>
      <c r="H46" s="16">
        <v>36489150</v>
      </c>
      <c r="I46" s="492">
        <f>H46/'- 3 -'!$D46*100</f>
        <v>9.0664449986421136</v>
      </c>
    </row>
    <row r="47" spans="1:9" ht="5.0999999999999996" customHeight="1" x14ac:dyDescent="0.2">
      <c r="A47"/>
      <c r="B47"/>
      <c r="C47"/>
      <c r="D47"/>
      <c r="E47" s="508"/>
      <c r="F47"/>
      <c r="G47"/>
      <c r="H47"/>
      <c r="I47"/>
    </row>
    <row r="48" spans="1:9" ht="14.1" customHeight="1" x14ac:dyDescent="0.2">
      <c r="A48" s="274" t="s">
        <v>139</v>
      </c>
      <c r="B48" s="275">
        <f>SUM(B11:B46)</f>
        <v>10766199</v>
      </c>
      <c r="C48" s="276">
        <f>B48/'- 3 -'!$D48*100</f>
        <v>0.45383013921204773</v>
      </c>
      <c r="D48" s="275">
        <f>B48/'- 7 -'!$E48</f>
        <v>60.671166295915128</v>
      </c>
      <c r="E48" s="275">
        <f>SUM(E11:E46)</f>
        <v>46700264</v>
      </c>
      <c r="F48" s="276">
        <f>E48/'- 3 -'!$D48*100</f>
        <v>1.9685673014551728</v>
      </c>
      <c r="G48" s="275">
        <f>E48/'- 7 -'!$E48</f>
        <v>263.17175478617281</v>
      </c>
      <c r="H48" s="275">
        <f>SUM(H11:H46)</f>
        <v>63719641</v>
      </c>
      <c r="I48" s="276">
        <f>H48/'- 3 -'!$D48*100</f>
        <v>2.6859891355873788</v>
      </c>
    </row>
    <row r="49" spans="1:9" ht="5.0999999999999996" customHeight="1" x14ac:dyDescent="0.2">
      <c r="A49" s="17" t="s">
        <v>1</v>
      </c>
      <c r="B49" s="18"/>
      <c r="C49" s="266"/>
      <c r="D49" s="18"/>
      <c r="E49" s="18"/>
      <c r="F49" s="266"/>
      <c r="H49" s="18"/>
      <c r="I49" s="18"/>
    </row>
    <row r="50" spans="1:9" ht="14.1" customHeight="1" x14ac:dyDescent="0.2">
      <c r="A50" s="15" t="s">
        <v>140</v>
      </c>
      <c r="B50" s="16">
        <v>36842</v>
      </c>
      <c r="C50" s="267">
        <f>B50/'- 3 -'!$D50*100</f>
        <v>1.0349574128592938</v>
      </c>
      <c r="D50" s="16">
        <f>B50/'- 7 -'!$E50</f>
        <v>227.41975308641975</v>
      </c>
      <c r="E50" s="16">
        <v>29070</v>
      </c>
      <c r="F50" s="267">
        <f>E50/'- 3 -'!$D50*100</f>
        <v>0.81662808728678338</v>
      </c>
      <c r="G50" s="16">
        <f>E50/'- 7 -'!$E50</f>
        <v>179.44444444444446</v>
      </c>
      <c r="H50" s="16">
        <v>0</v>
      </c>
      <c r="I50" s="16">
        <f>H50/'- 3 -'!$D50*100</f>
        <v>0</v>
      </c>
    </row>
    <row r="51" spans="1:9" ht="14.1" customHeight="1" x14ac:dyDescent="0.2">
      <c r="A51" s="360" t="s">
        <v>516</v>
      </c>
      <c r="B51" s="272">
        <v>0</v>
      </c>
      <c r="C51" s="273">
        <f>B51/'- 3 -'!$D51*100</f>
        <v>0</v>
      </c>
      <c r="D51" s="272">
        <f>B51/'- 7 -'!$E51</f>
        <v>0</v>
      </c>
      <c r="E51" s="272">
        <v>76700</v>
      </c>
      <c r="F51" s="273">
        <f>E51/'- 3 -'!$D51*100</f>
        <v>0.25058748389681373</v>
      </c>
      <c r="G51" s="272">
        <f>E51/'- 7 -'!$E51</f>
        <v>71.951219512195124</v>
      </c>
      <c r="H51" s="272">
        <v>0</v>
      </c>
      <c r="I51" s="272">
        <f>H51/'- 3 -'!$D51*100</f>
        <v>0</v>
      </c>
    </row>
    <row r="52" spans="1:9" ht="50.1" customHeight="1" x14ac:dyDescent="0.2">
      <c r="A52" s="164"/>
      <c r="B52" s="164"/>
      <c r="C52" s="164"/>
      <c r="D52" s="164"/>
      <c r="E52" s="164"/>
      <c r="F52" s="164"/>
      <c r="G52" s="164"/>
      <c r="H52" s="164"/>
      <c r="I52" s="164"/>
    </row>
    <row r="53" spans="1:9" ht="15" customHeight="1" x14ac:dyDescent="0.2">
      <c r="A53" s="667"/>
      <c r="B53" s="667"/>
      <c r="C53" s="667"/>
      <c r="D53" s="667"/>
      <c r="E53" s="667"/>
      <c r="F53" s="667"/>
      <c r="G53" s="667"/>
      <c r="H53" s="667"/>
      <c r="I53" s="667"/>
    </row>
    <row r="54" spans="1:9" ht="12" customHeight="1" x14ac:dyDescent="0.2">
      <c r="A54" s="667"/>
      <c r="B54" s="667"/>
      <c r="C54" s="667"/>
      <c r="D54" s="667"/>
      <c r="E54" s="667"/>
      <c r="F54" s="667"/>
      <c r="G54" s="667"/>
      <c r="H54" s="667"/>
      <c r="I54" s="667"/>
    </row>
    <row r="55" spans="1:9" ht="12" customHeight="1" x14ac:dyDescent="0.2">
      <c r="A55" s="667"/>
      <c r="B55" s="667"/>
      <c r="C55" s="667"/>
      <c r="D55" s="667"/>
      <c r="E55" s="667"/>
      <c r="F55" s="667"/>
      <c r="G55" s="667"/>
      <c r="H55" s="667"/>
      <c r="I55" s="667"/>
    </row>
    <row r="56" spans="1:9" ht="14.45" customHeight="1" x14ac:dyDescent="0.2">
      <c r="C56" s="90"/>
      <c r="D56" s="90"/>
      <c r="E56" s="165"/>
      <c r="F56" s="90"/>
      <c r="G56" s="90"/>
      <c r="H56" s="90"/>
      <c r="I56" s="90"/>
    </row>
    <row r="57" spans="1:9" ht="14.45" customHeight="1" x14ac:dyDescent="0.2">
      <c r="C57" s="90"/>
      <c r="D57" s="90"/>
      <c r="E57" s="165"/>
      <c r="F57" s="90"/>
      <c r="G57" s="90"/>
      <c r="H57" s="90"/>
      <c r="I57" s="90"/>
    </row>
    <row r="58" spans="1:9" ht="14.45" customHeight="1" x14ac:dyDescent="0.2"/>
    <row r="59" spans="1:9" ht="14.45" customHeight="1" x14ac:dyDescent="0.2"/>
  </sheetData>
  <mergeCells count="8">
    <mergeCell ref="A53:I55"/>
    <mergeCell ref="B5:I5"/>
    <mergeCell ref="D8:D9"/>
    <mergeCell ref="G8:G9"/>
    <mergeCell ref="I8:I9"/>
    <mergeCell ref="B6:D7"/>
    <mergeCell ref="E6:G7"/>
    <mergeCell ref="H6:I7"/>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58"/>
  <sheetViews>
    <sheetView showGridLines="0" showZeros="0" workbookViewId="0"/>
  </sheetViews>
  <sheetFormatPr defaultColWidth="15.83203125" defaultRowHeight="12" x14ac:dyDescent="0.2"/>
  <cols>
    <col min="1" max="1" width="30.83203125" style="1" customWidth="1"/>
    <col min="2" max="2" width="15.33203125" style="1" customWidth="1"/>
    <col min="3" max="3" width="8.83203125" style="1" customWidth="1"/>
    <col min="4" max="4" width="8.5" style="1" customWidth="1"/>
    <col min="5" max="5" width="15" style="1" customWidth="1"/>
    <col min="6" max="6" width="7.83203125" style="1" customWidth="1"/>
    <col min="7" max="7" width="8.83203125" style="1" customWidth="1"/>
    <col min="8" max="8" width="14.5" style="1" customWidth="1"/>
    <col min="9" max="9" width="7.83203125" style="1" customWidth="1"/>
    <col min="10" max="10" width="8.83203125" style="1" customWidth="1"/>
    <col min="11" max="16384" width="15.83203125" style="1"/>
  </cols>
  <sheetData>
    <row r="1" spans="1:10" ht="6.95" customHeight="1" x14ac:dyDescent="0.2">
      <c r="A1" s="3"/>
      <c r="B1" s="4"/>
      <c r="C1" s="4"/>
      <c r="D1" s="4"/>
      <c r="E1" s="4"/>
      <c r="F1" s="4"/>
      <c r="G1" s="4"/>
      <c r="H1" s="4"/>
      <c r="I1" s="4"/>
      <c r="J1" s="4"/>
    </row>
    <row r="2" spans="1:10" ht="15.95" customHeight="1" x14ac:dyDescent="0.2">
      <c r="A2" s="132"/>
      <c r="B2" s="5" t="str">
        <f>AEXP_BP</f>
        <v>ANALYSIS OF EXPENSE BY PROGRAM</v>
      </c>
      <c r="C2" s="5"/>
      <c r="D2" s="6"/>
      <c r="E2" s="6"/>
      <c r="F2" s="6"/>
      <c r="G2" s="6"/>
      <c r="H2" s="85"/>
      <c r="I2" s="85"/>
      <c r="J2" s="503" t="s">
        <v>529</v>
      </c>
    </row>
    <row r="3" spans="1:10" ht="15.95" customHeight="1" x14ac:dyDescent="0.2">
      <c r="A3" s="135"/>
      <c r="B3" s="7" t="str">
        <f>OPYEAR</f>
        <v>OPERATING FUND 2017/2018 BUDGET</v>
      </c>
      <c r="C3" s="7"/>
      <c r="D3" s="8"/>
      <c r="E3" s="8"/>
      <c r="F3" s="8"/>
      <c r="G3" s="8"/>
      <c r="H3" s="87"/>
      <c r="I3" s="87"/>
      <c r="J3" s="81"/>
    </row>
    <row r="4" spans="1:10" ht="15.95" customHeight="1" x14ac:dyDescent="0.2">
      <c r="B4" s="4"/>
      <c r="C4" s="4"/>
      <c r="D4" s="4"/>
      <c r="E4" s="4"/>
      <c r="F4" s="4"/>
      <c r="G4" s="4"/>
      <c r="H4" s="4"/>
      <c r="I4" s="4"/>
      <c r="J4" s="4"/>
    </row>
    <row r="5" spans="1:10" ht="15.95" customHeight="1" x14ac:dyDescent="0.2">
      <c r="B5" s="668" t="s">
        <v>240</v>
      </c>
      <c r="C5" s="669"/>
      <c r="D5" s="669"/>
      <c r="E5" s="669"/>
      <c r="F5" s="669"/>
      <c r="G5" s="669"/>
      <c r="H5" s="669"/>
      <c r="I5" s="669"/>
      <c r="J5" s="670"/>
    </row>
    <row r="6" spans="1:10" ht="15.95" customHeight="1" x14ac:dyDescent="0.2">
      <c r="B6" s="620" t="s">
        <v>409</v>
      </c>
      <c r="C6" s="674"/>
      <c r="D6" s="675"/>
      <c r="E6" s="620" t="s">
        <v>410</v>
      </c>
      <c r="F6" s="630"/>
      <c r="G6" s="621"/>
      <c r="H6" s="620" t="s">
        <v>412</v>
      </c>
      <c r="I6" s="630"/>
      <c r="J6" s="621"/>
    </row>
    <row r="7" spans="1:10" ht="15.95" customHeight="1" x14ac:dyDescent="0.2">
      <c r="B7" s="676"/>
      <c r="C7" s="677"/>
      <c r="D7" s="678"/>
      <c r="E7" s="622"/>
      <c r="F7" s="631"/>
      <c r="G7" s="623"/>
      <c r="H7" s="622"/>
      <c r="I7" s="631"/>
      <c r="J7" s="623"/>
    </row>
    <row r="8" spans="1:10" ht="15.95" customHeight="1" x14ac:dyDescent="0.2">
      <c r="A8" s="82"/>
      <c r="B8" s="138"/>
      <c r="C8" s="137"/>
      <c r="D8" s="538" t="s">
        <v>396</v>
      </c>
      <c r="E8" s="138"/>
      <c r="F8" s="137"/>
      <c r="G8" s="538" t="s">
        <v>396</v>
      </c>
      <c r="H8" s="138"/>
      <c r="I8" s="137"/>
      <c r="J8" s="538" t="s">
        <v>396</v>
      </c>
    </row>
    <row r="9" spans="1:10" ht="15.95" customHeight="1" x14ac:dyDescent="0.2">
      <c r="A9" s="27" t="s">
        <v>37</v>
      </c>
      <c r="B9" s="89" t="s">
        <v>38</v>
      </c>
      <c r="C9" s="89" t="s">
        <v>39</v>
      </c>
      <c r="D9" s="578"/>
      <c r="E9" s="89" t="s">
        <v>38</v>
      </c>
      <c r="F9" s="89" t="s">
        <v>39</v>
      </c>
      <c r="G9" s="578"/>
      <c r="H9" s="89" t="s">
        <v>38</v>
      </c>
      <c r="I9" s="89" t="s">
        <v>39</v>
      </c>
      <c r="J9" s="578"/>
    </row>
    <row r="10" spans="1:10" ht="5.0999999999999996" customHeight="1" x14ac:dyDescent="0.2">
      <c r="A10" s="29"/>
    </row>
    <row r="11" spans="1:10" ht="14.1" customHeight="1" x14ac:dyDescent="0.2">
      <c r="A11" s="271" t="s">
        <v>104</v>
      </c>
      <c r="B11" s="272">
        <v>809300</v>
      </c>
      <c r="C11" s="273">
        <f>B11/'- 3 -'!$D11*100</f>
        <v>4.0118747129152421</v>
      </c>
      <c r="D11" s="494">
        <f>B11/'- 7 -'!$E11</f>
        <v>450.61247216035633</v>
      </c>
      <c r="E11" s="272">
        <v>878300</v>
      </c>
      <c r="F11" s="273">
        <f>E11/'- 3 -'!$D11*100</f>
        <v>4.3539226002143296</v>
      </c>
      <c r="G11" s="272">
        <f>E11/'- 7 -'!$E11</f>
        <v>489.03118040089089</v>
      </c>
      <c r="H11" s="272">
        <v>273200</v>
      </c>
      <c r="I11" s="273">
        <f>H11/'- 3 -'!$D11*100</f>
        <v>1.3543113450740691</v>
      </c>
      <c r="J11" s="272">
        <f>H11/'- 7 -'!$E11</f>
        <v>152.11581291759467</v>
      </c>
    </row>
    <row r="12" spans="1:10" ht="14.1" customHeight="1" x14ac:dyDescent="0.2">
      <c r="A12" s="15" t="s">
        <v>105</v>
      </c>
      <c r="B12" s="16">
        <v>2994352</v>
      </c>
      <c r="C12" s="492">
        <f>B12/'- 3 -'!$D12*100</f>
        <v>8.5475632103488142</v>
      </c>
      <c r="D12" s="495">
        <f>B12/'- 7 -'!$E12</f>
        <v>1392.7218604651164</v>
      </c>
      <c r="E12" s="16">
        <v>1296509</v>
      </c>
      <c r="F12" s="267">
        <f>E12/'- 3 -'!$D12*100</f>
        <v>3.700965227296634</v>
      </c>
      <c r="G12" s="16">
        <f>E12/'- 7 -'!$E12</f>
        <v>603.02744186046516</v>
      </c>
      <c r="H12" s="16">
        <v>519532</v>
      </c>
      <c r="I12" s="267">
        <f>H12/'- 3 -'!$D12*100</f>
        <v>1.483036266210165</v>
      </c>
      <c r="J12" s="16">
        <f>H12/'- 7 -'!$E12</f>
        <v>241.64279069767443</v>
      </c>
    </row>
    <row r="13" spans="1:10" ht="14.1" customHeight="1" x14ac:dyDescent="0.2">
      <c r="A13" s="271" t="s">
        <v>106</v>
      </c>
      <c r="B13" s="272">
        <v>10138900</v>
      </c>
      <c r="C13" s="493">
        <f>B13/'- 3 -'!$D13*100</f>
        <v>9.9555193338701127</v>
      </c>
      <c r="D13" s="496">
        <f>B13/'- 7 -'!$E13</f>
        <v>1188.6166471277843</v>
      </c>
      <c r="E13" s="272">
        <v>4666900</v>
      </c>
      <c r="F13" s="273">
        <f>E13/'- 3 -'!$D13*100</f>
        <v>4.5824905245380094</v>
      </c>
      <c r="G13" s="272">
        <f>E13/'- 7 -'!$E13</f>
        <v>547.116060961313</v>
      </c>
      <c r="H13" s="272">
        <v>2301100</v>
      </c>
      <c r="I13" s="273">
        <f>H13/'- 3 -'!$D13*100</f>
        <v>2.2594803715559397</v>
      </c>
      <c r="J13" s="272">
        <f>H13/'- 7 -'!$E13</f>
        <v>269.76553341148889</v>
      </c>
    </row>
    <row r="14" spans="1:10" ht="14.1" customHeight="1" x14ac:dyDescent="0.2">
      <c r="A14" s="15" t="s">
        <v>315</v>
      </c>
      <c r="B14" s="16">
        <v>3480908</v>
      </c>
      <c r="C14" s="492">
        <f>B14/'- 3 -'!$D14*100</f>
        <v>3.8558745230486142</v>
      </c>
      <c r="D14" s="495">
        <f>B14/'- 7 -'!$E14</f>
        <v>624.9385996409336</v>
      </c>
      <c r="E14" s="16">
        <v>2864775</v>
      </c>
      <c r="F14" s="267">
        <f>E14/'- 3 -'!$D14*100</f>
        <v>3.1733711252255428</v>
      </c>
      <c r="G14" s="16">
        <f>E14/'- 7 -'!$E14</f>
        <v>514.32226211849195</v>
      </c>
      <c r="H14" s="16">
        <v>1605235</v>
      </c>
      <c r="I14" s="267">
        <f>H14/'- 3 -'!$D14*100</f>
        <v>1.7781523499058129</v>
      </c>
      <c r="J14" s="16">
        <f>H14/'- 7 -'!$E14</f>
        <v>288.19299820466784</v>
      </c>
    </row>
    <row r="15" spans="1:10" ht="14.1" customHeight="1" x14ac:dyDescent="0.2">
      <c r="A15" s="271" t="s">
        <v>107</v>
      </c>
      <c r="B15" s="272">
        <v>1563500</v>
      </c>
      <c r="C15" s="493">
        <f>B15/'- 3 -'!$D15*100</f>
        <v>7.5480220271896794</v>
      </c>
      <c r="D15" s="496">
        <f>B15/'- 7 -'!$E15</f>
        <v>1134.6153846153845</v>
      </c>
      <c r="E15" s="272">
        <v>929450</v>
      </c>
      <c r="F15" s="273">
        <f>E15/'- 3 -'!$D15*100</f>
        <v>4.4870540922107116</v>
      </c>
      <c r="G15" s="272">
        <f>E15/'- 7 -'!$E15</f>
        <v>674.49201741654576</v>
      </c>
      <c r="H15" s="272">
        <v>541750</v>
      </c>
      <c r="I15" s="273">
        <f>H15/'- 3 -'!$D15*100</f>
        <v>2.6153763563991106</v>
      </c>
      <c r="J15" s="272">
        <f>H15/'- 7 -'!$E15</f>
        <v>393.14223512336719</v>
      </c>
    </row>
    <row r="16" spans="1:10" ht="14.1" customHeight="1" x14ac:dyDescent="0.2">
      <c r="A16" s="15" t="s">
        <v>108</v>
      </c>
      <c r="B16" s="16">
        <v>939340</v>
      </c>
      <c r="C16" s="492">
        <f>B16/'- 3 -'!$D16*100</f>
        <v>6.350841428683081</v>
      </c>
      <c r="D16" s="495">
        <f>B16/'- 7 -'!$E16</f>
        <v>1012.7654986522911</v>
      </c>
      <c r="E16" s="16">
        <v>800910</v>
      </c>
      <c r="F16" s="267">
        <f>E16/'- 3 -'!$D16*100</f>
        <v>5.4149215498611429</v>
      </c>
      <c r="G16" s="16">
        <f>E16/'- 7 -'!$E16</f>
        <v>863.51482479784363</v>
      </c>
      <c r="H16" s="16">
        <v>339020</v>
      </c>
      <c r="I16" s="267">
        <f>H16/'- 3 -'!$D16*100</f>
        <v>2.2921011147743502</v>
      </c>
      <c r="J16" s="16">
        <f>H16/'- 7 -'!$E16</f>
        <v>365.52021563342316</v>
      </c>
    </row>
    <row r="17" spans="1:10" ht="14.1" customHeight="1" x14ac:dyDescent="0.2">
      <c r="A17" s="271" t="s">
        <v>109</v>
      </c>
      <c r="B17" s="272">
        <v>714706</v>
      </c>
      <c r="C17" s="493">
        <f>B17/'- 3 -'!$D17*100</f>
        <v>3.8218824166329148</v>
      </c>
      <c r="D17" s="496">
        <f>B17/'- 7 -'!$E17</f>
        <v>507.42350017749379</v>
      </c>
      <c r="E17" s="272">
        <v>952463</v>
      </c>
      <c r="F17" s="273">
        <f>E17/'- 3 -'!$D17*100</f>
        <v>5.0932853399767684</v>
      </c>
      <c r="G17" s="272">
        <f>E17/'- 7 -'!$E17</f>
        <v>676.22506212282565</v>
      </c>
      <c r="H17" s="272">
        <v>307887</v>
      </c>
      <c r="I17" s="273">
        <f>H17/'- 3 -'!$D17*100</f>
        <v>1.6464223213599134</v>
      </c>
      <c r="J17" s="272">
        <f>H17/'- 7 -'!$E17</f>
        <v>218.59211927582535</v>
      </c>
    </row>
    <row r="18" spans="1:10" ht="14.1" customHeight="1" x14ac:dyDescent="0.2">
      <c r="A18" s="15" t="s">
        <v>110</v>
      </c>
      <c r="B18" s="16">
        <v>11907787</v>
      </c>
      <c r="C18" s="492">
        <f>B18/'- 3 -'!$D18*100</f>
        <v>9.0380687563417705</v>
      </c>
      <c r="D18" s="495">
        <f>B18/'- 7 -'!$E18</f>
        <v>1947.3714594099561</v>
      </c>
      <c r="E18" s="16">
        <v>3944371</v>
      </c>
      <c r="F18" s="267">
        <f>E18/'- 3 -'!$D18*100</f>
        <v>2.99379694132256</v>
      </c>
      <c r="G18" s="16">
        <f>E18/'- 7 -'!$E18</f>
        <v>645.05314973506904</v>
      </c>
      <c r="H18" s="16">
        <v>3931414</v>
      </c>
      <c r="I18" s="267">
        <f>H18/'- 3 -'!$D18*100</f>
        <v>2.9839625147514504</v>
      </c>
      <c r="J18" s="16">
        <f>H18/'- 7 -'!$E18</f>
        <v>642.93419245110226</v>
      </c>
    </row>
    <row r="19" spans="1:10" ht="14.1" customHeight="1" x14ac:dyDescent="0.2">
      <c r="A19" s="271" t="s">
        <v>111</v>
      </c>
      <c r="B19" s="272">
        <v>2414603</v>
      </c>
      <c r="C19" s="493">
        <f>B19/'- 3 -'!$D19*100</f>
        <v>4.9547883816943754</v>
      </c>
      <c r="D19" s="496">
        <f>B19/'- 7 -'!$E19</f>
        <v>556.55249510199383</v>
      </c>
      <c r="E19" s="272">
        <v>3363000</v>
      </c>
      <c r="F19" s="273">
        <f>E19/'- 3 -'!$D19*100</f>
        <v>6.9009080696239442</v>
      </c>
      <c r="G19" s="272">
        <f>E19/'- 7 -'!$E19</f>
        <v>775.15270254696327</v>
      </c>
      <c r="H19" s="272">
        <v>998395</v>
      </c>
      <c r="I19" s="273">
        <f>H19/'- 3 -'!$D19*100</f>
        <v>2.0487160607113286</v>
      </c>
      <c r="J19" s="272">
        <f>H19/'- 7 -'!$E19</f>
        <v>230.12446698167568</v>
      </c>
    </row>
    <row r="20" spans="1:10" ht="14.1" customHeight="1" x14ac:dyDescent="0.2">
      <c r="A20" s="15" t="s">
        <v>112</v>
      </c>
      <c r="B20" s="16">
        <v>3433900</v>
      </c>
      <c r="C20" s="492">
        <f>B20/'- 3 -'!$D20*100</f>
        <v>4.044697922703266</v>
      </c>
      <c r="D20" s="495">
        <f>B20/'- 7 -'!$E20</f>
        <v>443.36991607488704</v>
      </c>
      <c r="E20" s="16">
        <v>4326600</v>
      </c>
      <c r="F20" s="267">
        <f>E20/'- 3 -'!$D20*100</f>
        <v>5.096185105089825</v>
      </c>
      <c r="G20" s="16">
        <f>E20/'- 7 -'!$E20</f>
        <v>558.63137508069724</v>
      </c>
      <c r="H20" s="16">
        <v>1378100</v>
      </c>
      <c r="I20" s="267">
        <f>H20/'- 3 -'!$D20*100</f>
        <v>1.6232267122739075</v>
      </c>
      <c r="J20" s="16">
        <f>H20/'- 7 -'!$E20</f>
        <v>177.93415106520337</v>
      </c>
    </row>
    <row r="21" spans="1:10" ht="14.1" customHeight="1" x14ac:dyDescent="0.2">
      <c r="A21" s="271" t="s">
        <v>113</v>
      </c>
      <c r="B21" s="272">
        <v>1890500</v>
      </c>
      <c r="C21" s="493">
        <f>B21/'- 3 -'!$D21*100</f>
        <v>5.0902814800454506</v>
      </c>
      <c r="D21" s="496">
        <f>B21/'- 7 -'!$E21</f>
        <v>686.08238069315917</v>
      </c>
      <c r="E21" s="272">
        <v>2205000</v>
      </c>
      <c r="F21" s="273">
        <f>E21/'- 3 -'!$D21*100</f>
        <v>5.9370910677070707</v>
      </c>
      <c r="G21" s="272">
        <f>E21/'- 7 -'!$E21</f>
        <v>800.21774632553081</v>
      </c>
      <c r="H21" s="272">
        <v>1057000</v>
      </c>
      <c r="I21" s="273">
        <f>H21/'- 3 -'!$D21*100</f>
        <v>2.846034130869104</v>
      </c>
      <c r="J21" s="272">
        <f>H21/'- 7 -'!$E21</f>
        <v>383.59644347668302</v>
      </c>
    </row>
    <row r="22" spans="1:10" ht="14.1" customHeight="1" x14ac:dyDescent="0.2">
      <c r="A22" s="15" t="s">
        <v>114</v>
      </c>
      <c r="B22" s="16">
        <v>1005950</v>
      </c>
      <c r="C22" s="492">
        <f>B22/'- 3 -'!$D22*100</f>
        <v>4.7182532777308479</v>
      </c>
      <c r="D22" s="495">
        <f>B22/'- 7 -'!$E22</f>
        <v>662.15771458662448</v>
      </c>
      <c r="E22" s="16">
        <v>1427390</v>
      </c>
      <c r="F22" s="267">
        <f>E22/'- 3 -'!$D22*100</f>
        <v>6.6949525782595911</v>
      </c>
      <c r="G22" s="16">
        <f>E22/'- 7 -'!$E22</f>
        <v>939.56687730384408</v>
      </c>
      <c r="H22" s="16">
        <v>659330</v>
      </c>
      <c r="I22" s="267">
        <f>H22/'- 3 -'!$D22*100</f>
        <v>3.0924856440243351</v>
      </c>
      <c r="J22" s="16">
        <f>H22/'- 7 -'!$E22</f>
        <v>433.99815692469718</v>
      </c>
    </row>
    <row r="23" spans="1:10" ht="14.1" customHeight="1" x14ac:dyDescent="0.2">
      <c r="A23" s="271" t="s">
        <v>115</v>
      </c>
      <c r="B23" s="272">
        <v>1375000</v>
      </c>
      <c r="C23" s="493">
        <f>B23/'- 3 -'!$D23*100</f>
        <v>8.1676774885324317</v>
      </c>
      <c r="D23" s="496">
        <f>B23/'- 7 -'!$E23</f>
        <v>1244.3438914027149</v>
      </c>
      <c r="E23" s="272">
        <v>669000</v>
      </c>
      <c r="F23" s="273">
        <f>E23/'- 3 -'!$D23*100</f>
        <v>3.973946356238689</v>
      </c>
      <c r="G23" s="272">
        <f>E23/'- 7 -'!$E23</f>
        <v>605.4298642533937</v>
      </c>
      <c r="H23" s="272">
        <v>327000</v>
      </c>
      <c r="I23" s="273">
        <f>H23/'- 3 -'!$D23*100</f>
        <v>1.9424222100000765</v>
      </c>
      <c r="J23" s="272">
        <f>H23/'- 7 -'!$E23</f>
        <v>295.92760180995475</v>
      </c>
    </row>
    <row r="24" spans="1:10" ht="14.1" customHeight="1" x14ac:dyDescent="0.2">
      <c r="A24" s="15" t="s">
        <v>116</v>
      </c>
      <c r="B24" s="16">
        <v>3629335</v>
      </c>
      <c r="C24" s="492">
        <f>B24/'- 3 -'!$D24*100</f>
        <v>6.2125543706669344</v>
      </c>
      <c r="D24" s="495">
        <f>B24/'- 7 -'!$E24</f>
        <v>931.91295416613173</v>
      </c>
      <c r="E24" s="16">
        <v>2632772</v>
      </c>
      <c r="F24" s="267">
        <f>E24/'- 3 -'!$D24*100</f>
        <v>4.5066766213561227</v>
      </c>
      <c r="G24" s="16">
        <f>E24/'- 7 -'!$E24</f>
        <v>676.02310951341633</v>
      </c>
      <c r="H24" s="16">
        <v>1352228</v>
      </c>
      <c r="I24" s="267">
        <f>H24/'- 3 -'!$D24*100</f>
        <v>2.3146912510248314</v>
      </c>
      <c r="J24" s="16">
        <f>H24/'- 7 -'!$E24</f>
        <v>347.21479008858648</v>
      </c>
    </row>
    <row r="25" spans="1:10" ht="14.1" customHeight="1" x14ac:dyDescent="0.2">
      <c r="A25" s="271" t="s">
        <v>117</v>
      </c>
      <c r="B25" s="272">
        <v>11011974</v>
      </c>
      <c r="C25" s="493">
        <f>B25/'- 3 -'!$D25*100</f>
        <v>6.0494691287148568</v>
      </c>
      <c r="D25" s="496">
        <f>B25/'- 7 -'!$E25</f>
        <v>760.88954914493002</v>
      </c>
      <c r="E25" s="272">
        <v>7430046</v>
      </c>
      <c r="F25" s="273">
        <f>E25/'- 3 -'!$D25*100</f>
        <v>4.0817235767112514</v>
      </c>
      <c r="G25" s="272">
        <f>E25/'- 7 -'!$E25</f>
        <v>513.39063741578855</v>
      </c>
      <c r="H25" s="272">
        <v>2947669</v>
      </c>
      <c r="I25" s="273">
        <f>H25/'- 3 -'!$D25*100</f>
        <v>1.619312996667972</v>
      </c>
      <c r="J25" s="272">
        <f>H25/'- 7 -'!$E25</f>
        <v>203.67379512869235</v>
      </c>
    </row>
    <row r="26" spans="1:10" ht="14.1" customHeight="1" x14ac:dyDescent="0.2">
      <c r="A26" s="15" t="s">
        <v>118</v>
      </c>
      <c r="B26" s="16">
        <v>1440114</v>
      </c>
      <c r="C26" s="492">
        <f>B26/'- 3 -'!$D26*100</f>
        <v>3.4980155312711556</v>
      </c>
      <c r="D26" s="495">
        <f>B26/'- 7 -'!$E26</f>
        <v>472.16852459016394</v>
      </c>
      <c r="E26" s="16">
        <v>2131231</v>
      </c>
      <c r="F26" s="267">
        <f>E26/'- 3 -'!$D26*100</f>
        <v>5.1767284664454039</v>
      </c>
      <c r="G26" s="16">
        <f>E26/'- 7 -'!$E26</f>
        <v>698.76426229508195</v>
      </c>
      <c r="H26" s="16">
        <v>1123659</v>
      </c>
      <c r="I26" s="267">
        <f>H26/'- 3 -'!$D26*100</f>
        <v>2.7293510332186308</v>
      </c>
      <c r="J26" s="16">
        <f>H26/'- 7 -'!$E26</f>
        <v>368.41278688524591</v>
      </c>
    </row>
    <row r="27" spans="1:10" ht="14.1" customHeight="1" x14ac:dyDescent="0.2">
      <c r="A27" s="271" t="s">
        <v>119</v>
      </c>
      <c r="B27" s="272">
        <v>2199694</v>
      </c>
      <c r="C27" s="493">
        <f>B27/'- 3 -'!$D27*100</f>
        <v>4.9941487678720042</v>
      </c>
      <c r="D27" s="496">
        <f>B27/'- 7 -'!$E27</f>
        <v>735.57115013471434</v>
      </c>
      <c r="E27" s="272">
        <v>3025681</v>
      </c>
      <c r="F27" s="273">
        <f>E27/'- 3 -'!$D27*100</f>
        <v>6.8694559507475734</v>
      </c>
      <c r="G27" s="272">
        <f>E27/'- 7 -'!$E27</f>
        <v>1011.778753367856</v>
      </c>
      <c r="H27" s="272">
        <v>1090074</v>
      </c>
      <c r="I27" s="273">
        <f>H27/'- 3 -'!$D27*100</f>
        <v>2.4748859268558752</v>
      </c>
      <c r="J27" s="272">
        <f>H27/'- 7 -'!$E27</f>
        <v>364.51751285040035</v>
      </c>
    </row>
    <row r="28" spans="1:10" ht="14.1" customHeight="1" x14ac:dyDescent="0.2">
      <c r="A28" s="15" t="s">
        <v>120</v>
      </c>
      <c r="B28" s="16">
        <v>1283273</v>
      </c>
      <c r="C28" s="492">
        <f>B28/'- 3 -'!$D28*100</f>
        <v>4.4410085956244227</v>
      </c>
      <c r="D28" s="495">
        <f>B28/'- 7 -'!$E28</f>
        <v>655.0653394589076</v>
      </c>
      <c r="E28" s="16">
        <v>1470333</v>
      </c>
      <c r="F28" s="267">
        <f>E28/'- 3 -'!$D28*100</f>
        <v>5.0883650567184411</v>
      </c>
      <c r="G28" s="16">
        <f>E28/'- 7 -'!$E28</f>
        <v>750.55283307810112</v>
      </c>
      <c r="H28" s="16">
        <v>538418</v>
      </c>
      <c r="I28" s="267">
        <f>H28/'- 3 -'!$D28*100</f>
        <v>1.8632971830926937</v>
      </c>
      <c r="J28" s="16">
        <f>H28/'- 7 -'!$E28</f>
        <v>274.8432873915263</v>
      </c>
    </row>
    <row r="29" spans="1:10" ht="14.1" customHeight="1" x14ac:dyDescent="0.2">
      <c r="A29" s="271" t="s">
        <v>121</v>
      </c>
      <c r="B29" s="272">
        <v>12146254</v>
      </c>
      <c r="C29" s="493">
        <f>B29/'- 3 -'!$D29*100</f>
        <v>7.3892454148564806</v>
      </c>
      <c r="D29" s="496">
        <f>B29/'- 7 -'!$E29</f>
        <v>929.75711694057668</v>
      </c>
      <c r="E29" s="272">
        <v>10616923</v>
      </c>
      <c r="F29" s="273">
        <f>E29/'- 3 -'!$D29*100</f>
        <v>6.4588678614521253</v>
      </c>
      <c r="G29" s="272">
        <f>E29/'- 7 -'!$E29</f>
        <v>812.69169237364031</v>
      </c>
      <c r="H29" s="272">
        <v>3318950</v>
      </c>
      <c r="I29" s="273">
        <f>H29/'- 3 -'!$D29*100</f>
        <v>2.0191028501164157</v>
      </c>
      <c r="J29" s="272">
        <f>H29/'- 7 -'!$E29</f>
        <v>254.05506778220899</v>
      </c>
    </row>
    <row r="30" spans="1:10" ht="14.1" customHeight="1" x14ac:dyDescent="0.2">
      <c r="A30" s="15" t="s">
        <v>122</v>
      </c>
      <c r="B30" s="16">
        <v>600209</v>
      </c>
      <c r="C30" s="492">
        <f>B30/'- 3 -'!$D30*100</f>
        <v>3.9625181246835632</v>
      </c>
      <c r="D30" s="495">
        <f>B30/'- 7 -'!$E30</f>
        <v>591.04775972427376</v>
      </c>
      <c r="E30" s="16">
        <v>538195</v>
      </c>
      <c r="F30" s="267">
        <f>E30/'- 3 -'!$D30*100</f>
        <v>3.5531080708787606</v>
      </c>
      <c r="G30" s="16">
        <f>E30/'- 7 -'!$E30</f>
        <v>529.98030526834077</v>
      </c>
      <c r="H30" s="16">
        <v>288197</v>
      </c>
      <c r="I30" s="267">
        <f>H30/'- 3 -'!$D30*100</f>
        <v>1.9026469712707221</v>
      </c>
      <c r="J30" s="16">
        <f>H30/'- 7 -'!$E30</f>
        <v>283.79812900049239</v>
      </c>
    </row>
    <row r="31" spans="1:10" ht="14.1" customHeight="1" x14ac:dyDescent="0.2">
      <c r="A31" s="271" t="s">
        <v>123</v>
      </c>
      <c r="B31" s="272">
        <v>2062114</v>
      </c>
      <c r="C31" s="493">
        <f>B31/'- 3 -'!$D31*100</f>
        <v>5.385937785671377</v>
      </c>
      <c r="D31" s="496">
        <f>B31/'- 7 -'!$E31</f>
        <v>627.83193789008976</v>
      </c>
      <c r="E31" s="272">
        <v>1173893</v>
      </c>
      <c r="F31" s="273">
        <f>E31/'- 3 -'!$D31*100</f>
        <v>3.0660354689581322</v>
      </c>
      <c r="G31" s="272">
        <f>E31/'- 7 -'!$E31</f>
        <v>357.40386664636929</v>
      </c>
      <c r="H31" s="272">
        <v>1082253</v>
      </c>
      <c r="I31" s="273">
        <f>H31/'- 3 -'!$D31*100</f>
        <v>2.8266852978817876</v>
      </c>
      <c r="J31" s="272">
        <f>H31/'- 7 -'!$E31</f>
        <v>329.50312071852642</v>
      </c>
    </row>
    <row r="32" spans="1:10" ht="14.1" customHeight="1" x14ac:dyDescent="0.2">
      <c r="A32" s="15" t="s">
        <v>124</v>
      </c>
      <c r="B32" s="16">
        <v>1075687</v>
      </c>
      <c r="C32" s="492">
        <f>B32/'- 3 -'!$D32*100</f>
        <v>3.4352467796527462</v>
      </c>
      <c r="D32" s="495">
        <f>B32/'- 7 -'!$E32</f>
        <v>486.07636692272933</v>
      </c>
      <c r="E32" s="16">
        <v>2048489</v>
      </c>
      <c r="F32" s="267">
        <f>E32/'- 3 -'!$D32*100</f>
        <v>6.54192645295897</v>
      </c>
      <c r="G32" s="16">
        <f>E32/'- 7 -'!$E32</f>
        <v>925.66154541346589</v>
      </c>
      <c r="H32" s="16">
        <v>862906</v>
      </c>
      <c r="I32" s="267">
        <f>H32/'- 3 -'!$D32*100</f>
        <v>2.7557226755022906</v>
      </c>
      <c r="J32" s="16">
        <f>H32/'- 7 -'!$E32</f>
        <v>389.92589245368276</v>
      </c>
    </row>
    <row r="33" spans="1:10" ht="14.1" customHeight="1" x14ac:dyDescent="0.2">
      <c r="A33" s="271" t="s">
        <v>125</v>
      </c>
      <c r="B33" s="272">
        <v>1664400</v>
      </c>
      <c r="C33" s="493">
        <f>B33/'- 3 -'!$D33*100</f>
        <v>5.8658095620731219</v>
      </c>
      <c r="D33" s="496">
        <f>B33/'- 7 -'!$E33</f>
        <v>838.91129032258061</v>
      </c>
      <c r="E33" s="272">
        <v>1091600</v>
      </c>
      <c r="F33" s="273">
        <f>E33/'- 3 -'!$D33*100</f>
        <v>3.847102690434403</v>
      </c>
      <c r="G33" s="272">
        <f>E33/'- 7 -'!$E33</f>
        <v>550.20161290322585</v>
      </c>
      <c r="H33" s="272">
        <v>469600</v>
      </c>
      <c r="I33" s="273">
        <f>H33/'- 3 -'!$D33*100</f>
        <v>1.6550013039831397</v>
      </c>
      <c r="J33" s="272">
        <f>H33/'- 7 -'!$E33</f>
        <v>236.69354838709677</v>
      </c>
    </row>
    <row r="34" spans="1:10" ht="14.1" customHeight="1" x14ac:dyDescent="0.2">
      <c r="A34" s="15" t="s">
        <v>126</v>
      </c>
      <c r="B34" s="16">
        <v>1456872</v>
      </c>
      <c r="C34" s="492">
        <f>B34/'- 3 -'!$D34*100</f>
        <v>4.7385770256854736</v>
      </c>
      <c r="D34" s="495">
        <f>B34/'- 7 -'!$E34</f>
        <v>708.9401459854015</v>
      </c>
      <c r="E34" s="16">
        <v>1374533</v>
      </c>
      <c r="F34" s="267">
        <f>E34/'- 3 -'!$D34*100</f>
        <v>4.4707637286230586</v>
      </c>
      <c r="G34" s="16">
        <f>E34/'- 7 -'!$E34</f>
        <v>668.87250608272507</v>
      </c>
      <c r="H34" s="16">
        <v>909693</v>
      </c>
      <c r="I34" s="267">
        <f>H34/'- 3 -'!$D34*100</f>
        <v>2.9588394520773931</v>
      </c>
      <c r="J34" s="16">
        <f>H34/'- 7 -'!$E34</f>
        <v>442.67299270072994</v>
      </c>
    </row>
    <row r="35" spans="1:10" ht="14.1" customHeight="1" x14ac:dyDescent="0.2">
      <c r="A35" s="271" t="s">
        <v>127</v>
      </c>
      <c r="B35" s="272">
        <v>15215183</v>
      </c>
      <c r="C35" s="493">
        <f>B35/'- 3 -'!$D35*100</f>
        <v>8.2147627266807888</v>
      </c>
      <c r="D35" s="496">
        <f>B35/'- 7 -'!$E35</f>
        <v>968.96564241362842</v>
      </c>
      <c r="E35" s="272">
        <v>10027367</v>
      </c>
      <c r="F35" s="273">
        <f>E35/'- 3 -'!$D35*100</f>
        <v>5.4138317415143122</v>
      </c>
      <c r="G35" s="272">
        <f>E35/'- 7 -'!$E35</f>
        <v>638.58411081038048</v>
      </c>
      <c r="H35" s="272">
        <v>2920000</v>
      </c>
      <c r="I35" s="273">
        <f>H35/'- 3 -'!$D35*100</f>
        <v>1.576524394212538</v>
      </c>
      <c r="J35" s="272">
        <f>H35/'- 7 -'!$E35</f>
        <v>185.9576500557236</v>
      </c>
    </row>
    <row r="36" spans="1:10" ht="14.1" customHeight="1" x14ac:dyDescent="0.2">
      <c r="A36" s="15" t="s">
        <v>128</v>
      </c>
      <c r="B36" s="16">
        <v>769800</v>
      </c>
      <c r="C36" s="492">
        <f>B36/'- 3 -'!$D36*100</f>
        <v>3.2109444068230695</v>
      </c>
      <c r="D36" s="495">
        <f>B36/'- 7 -'!$E36</f>
        <v>457.80553077609278</v>
      </c>
      <c r="E36" s="16">
        <v>1291640</v>
      </c>
      <c r="F36" s="267">
        <f>E36/'- 3 -'!$D36*100</f>
        <v>5.3876126703415812</v>
      </c>
      <c r="G36" s="16">
        <f>E36/'- 7 -'!$E36</f>
        <v>768.14748736247395</v>
      </c>
      <c r="H36" s="16">
        <v>549430</v>
      </c>
      <c r="I36" s="267">
        <f>H36/'- 3 -'!$D36*100</f>
        <v>2.2917500460389695</v>
      </c>
      <c r="J36" s="16">
        <f>H36/'- 7 -'!$E36</f>
        <v>326.74992566161166</v>
      </c>
    </row>
    <row r="37" spans="1:10" ht="14.1" customHeight="1" x14ac:dyDescent="0.2">
      <c r="A37" s="271" t="s">
        <v>129</v>
      </c>
      <c r="B37" s="272">
        <v>4330000</v>
      </c>
      <c r="C37" s="493">
        <f>B37/'- 3 -'!$D37*100</f>
        <v>8.3059983503097978</v>
      </c>
      <c r="D37" s="496">
        <f>B37/'- 7 -'!$E37</f>
        <v>1017.9373251522204</v>
      </c>
      <c r="E37" s="272">
        <v>2241000</v>
      </c>
      <c r="F37" s="273">
        <f>E37/'- 3 -'!$D37*100</f>
        <v>4.2987857512804286</v>
      </c>
      <c r="G37" s="272">
        <f>E37/'- 7 -'!$E37</f>
        <v>526.83546089286972</v>
      </c>
      <c r="H37" s="272">
        <v>1382200</v>
      </c>
      <c r="I37" s="273">
        <f>H37/'- 3 -'!$D37*100</f>
        <v>2.6513974410619401</v>
      </c>
      <c r="J37" s="272">
        <f>H37/'- 7 -'!$E37</f>
        <v>324.94063991348708</v>
      </c>
    </row>
    <row r="38" spans="1:10" ht="14.1" customHeight="1" x14ac:dyDescent="0.2">
      <c r="A38" s="15" t="s">
        <v>130</v>
      </c>
      <c r="B38" s="16">
        <v>12409800</v>
      </c>
      <c r="C38" s="492">
        <f>B38/'- 3 -'!$D38*100</f>
        <v>8.7879226927932077</v>
      </c>
      <c r="D38" s="495">
        <f>B38/'- 7 -'!$E38</f>
        <v>1099.185119574845</v>
      </c>
      <c r="E38" s="16">
        <v>4810920</v>
      </c>
      <c r="F38" s="267">
        <f>E38/'- 3 -'!$D38*100</f>
        <v>3.4068230786324269</v>
      </c>
      <c r="G38" s="16">
        <f>E38/'- 7 -'!$E38</f>
        <v>426.12223206377325</v>
      </c>
      <c r="H38" s="16">
        <v>3489370</v>
      </c>
      <c r="I38" s="267">
        <f>H38/'- 3 -'!$D38*100</f>
        <v>2.470975664922225</v>
      </c>
      <c r="J38" s="16">
        <f>H38/'- 7 -'!$E38</f>
        <v>309.06731620903452</v>
      </c>
    </row>
    <row r="39" spans="1:10" ht="14.1" customHeight="1" x14ac:dyDescent="0.2">
      <c r="A39" s="271" t="s">
        <v>131</v>
      </c>
      <c r="B39" s="272">
        <v>1536000</v>
      </c>
      <c r="C39" s="493">
        <f>B39/'- 3 -'!$D39*100</f>
        <v>6.6006175187092699</v>
      </c>
      <c r="D39" s="496">
        <f>B39/'- 7 -'!$E39</f>
        <v>1018.5676392572944</v>
      </c>
      <c r="E39" s="272">
        <v>731300</v>
      </c>
      <c r="F39" s="273">
        <f>E39/'- 3 -'!$D39*100</f>
        <v>3.1425986923385993</v>
      </c>
      <c r="G39" s="272">
        <f>E39/'- 7 -'!$E39</f>
        <v>484.946949602122</v>
      </c>
      <c r="H39" s="272">
        <v>300300</v>
      </c>
      <c r="I39" s="273">
        <f>H39/'- 3 -'!$D39*100</f>
        <v>1.2904722922320271</v>
      </c>
      <c r="J39" s="272">
        <f>H39/'- 7 -'!$E39</f>
        <v>199.13793103448276</v>
      </c>
    </row>
    <row r="40" spans="1:10" ht="14.1" customHeight="1" x14ac:dyDescent="0.2">
      <c r="A40" s="15" t="s">
        <v>132</v>
      </c>
      <c r="B40" s="16">
        <v>11809640</v>
      </c>
      <c r="C40" s="492">
        <f>B40/'- 3 -'!$D40*100</f>
        <v>10.955048498114468</v>
      </c>
      <c r="D40" s="495">
        <f>B40/'- 7 -'!$E40</f>
        <v>1436.7657793566596</v>
      </c>
      <c r="E40" s="16">
        <v>6497503</v>
      </c>
      <c r="F40" s="267">
        <f>E40/'- 3 -'!$D40*100</f>
        <v>6.0273184010388334</v>
      </c>
      <c r="G40" s="16">
        <f>E40/'- 7 -'!$E40</f>
        <v>790.48895323373392</v>
      </c>
      <c r="H40" s="16">
        <v>2358995</v>
      </c>
      <c r="I40" s="267">
        <f>H40/'- 3 -'!$D40*100</f>
        <v>2.1882889429152406</v>
      </c>
      <c r="J40" s="16">
        <f>H40/'- 7 -'!$E40</f>
        <v>286.99632585527274</v>
      </c>
    </row>
    <row r="41" spans="1:10" ht="14.1" customHeight="1" x14ac:dyDescent="0.2">
      <c r="A41" s="271" t="s">
        <v>133</v>
      </c>
      <c r="B41" s="272">
        <v>7827545</v>
      </c>
      <c r="C41" s="493">
        <f>B41/'- 3 -'!$D41*100</f>
        <v>12.119739082213938</v>
      </c>
      <c r="D41" s="496">
        <f>B41/'- 7 -'!$E41</f>
        <v>1767.7382565492321</v>
      </c>
      <c r="E41" s="272">
        <v>419384</v>
      </c>
      <c r="F41" s="273">
        <f>E41/'- 3 -'!$D41*100</f>
        <v>0.64935106157233335</v>
      </c>
      <c r="G41" s="272">
        <f>E41/'- 7 -'!$E41</f>
        <v>94.711833785004515</v>
      </c>
      <c r="H41" s="272">
        <v>1122419</v>
      </c>
      <c r="I41" s="273">
        <f>H41/'- 3 -'!$D41*100</f>
        <v>1.7378916915737292</v>
      </c>
      <c r="J41" s="272">
        <f>H41/'- 7 -'!$E41</f>
        <v>253.48215898825654</v>
      </c>
    </row>
    <row r="42" spans="1:10" ht="14.1" customHeight="1" x14ac:dyDescent="0.2">
      <c r="A42" s="15" t="s">
        <v>134</v>
      </c>
      <c r="B42" s="16">
        <v>1721449</v>
      </c>
      <c r="C42" s="492">
        <f>B42/'- 3 -'!$D42*100</f>
        <v>8.0243124058286526</v>
      </c>
      <c r="D42" s="495">
        <f>B42/'- 7 -'!$E42</f>
        <v>1241.1312184571016</v>
      </c>
      <c r="E42" s="16">
        <v>813247</v>
      </c>
      <c r="F42" s="267">
        <f>E42/'- 3 -'!$D42*100</f>
        <v>3.7908459623857196</v>
      </c>
      <c r="G42" s="16">
        <f>E42/'- 7 -'!$E42</f>
        <v>586.33525594808941</v>
      </c>
      <c r="H42" s="16">
        <v>233925</v>
      </c>
      <c r="I42" s="267">
        <f>H42/'- 3 -'!$D42*100</f>
        <v>1.0904112056374993</v>
      </c>
      <c r="J42" s="16">
        <f>H42/'- 7 -'!$E42</f>
        <v>168.65537130497478</v>
      </c>
    </row>
    <row r="43" spans="1:10" ht="14.1" customHeight="1" x14ac:dyDescent="0.2">
      <c r="A43" s="271" t="s">
        <v>135</v>
      </c>
      <c r="B43" s="272">
        <v>372625</v>
      </c>
      <c r="C43" s="493">
        <f>B43/'- 3 -'!$D43*100</f>
        <v>2.7260178828236259</v>
      </c>
      <c r="D43" s="496">
        <f>B43/'- 7 -'!$E43</f>
        <v>391.20734908136484</v>
      </c>
      <c r="E43" s="272">
        <v>1377244</v>
      </c>
      <c r="F43" s="273">
        <f>E43/'- 3 -'!$D43*100</f>
        <v>10.075523040621379</v>
      </c>
      <c r="G43" s="272">
        <f>E43/'- 7 -'!$E43</f>
        <v>1445.9254593175854</v>
      </c>
      <c r="H43" s="272">
        <v>209609</v>
      </c>
      <c r="I43" s="273">
        <f>H43/'- 3 -'!$D43*100</f>
        <v>1.5334394697102378</v>
      </c>
      <c r="J43" s="272">
        <f>H43/'- 7 -'!$E43</f>
        <v>220.06194225721785</v>
      </c>
    </row>
    <row r="44" spans="1:10" ht="14.1" customHeight="1" x14ac:dyDescent="0.2">
      <c r="A44" s="15" t="s">
        <v>136</v>
      </c>
      <c r="B44" s="16">
        <v>718395</v>
      </c>
      <c r="C44" s="492">
        <f>B44/'- 3 -'!$D44*100</f>
        <v>6.3687364494969163</v>
      </c>
      <c r="D44" s="495">
        <f>B44/'- 7 -'!$E44</f>
        <v>1003.3449720670391</v>
      </c>
      <c r="E44" s="16">
        <v>686757</v>
      </c>
      <c r="F44" s="267">
        <f>E44/'- 3 -'!$D44*100</f>
        <v>6.0882583228546325</v>
      </c>
      <c r="G44" s="16">
        <f>E44/'- 7 -'!$E44</f>
        <v>959.15782122905023</v>
      </c>
      <c r="H44" s="16">
        <v>33824</v>
      </c>
      <c r="I44" s="267">
        <f>H44/'- 3 -'!$D44*100</f>
        <v>0.29985751803364957</v>
      </c>
      <c r="J44" s="16">
        <f>H44/'- 7 -'!$E44</f>
        <v>47.240223463687151</v>
      </c>
    </row>
    <row r="45" spans="1:10" ht="14.1" customHeight="1" x14ac:dyDescent="0.2">
      <c r="A45" s="271" t="s">
        <v>137</v>
      </c>
      <c r="B45" s="272">
        <v>774440</v>
      </c>
      <c r="C45" s="493">
        <f>B45/'- 3 -'!$D45*100</f>
        <v>3.8288219361971452</v>
      </c>
      <c r="D45" s="496">
        <f>B45/'- 7 -'!$E45</f>
        <v>447.13625866050808</v>
      </c>
      <c r="E45" s="272">
        <v>994864</v>
      </c>
      <c r="F45" s="273">
        <f>E45/'- 3 -'!$D45*100</f>
        <v>4.9185955099592436</v>
      </c>
      <c r="G45" s="272">
        <f>E45/'- 7 -'!$E45</f>
        <v>574.40184757505779</v>
      </c>
      <c r="H45" s="272">
        <v>490418</v>
      </c>
      <c r="I45" s="273">
        <f>H45/'- 3 -'!$D45*100</f>
        <v>2.4246206243297497</v>
      </c>
      <c r="J45" s="272">
        <f>H45/'- 7 -'!$E45</f>
        <v>283.15127020785218</v>
      </c>
    </row>
    <row r="46" spans="1:10" ht="14.1" customHeight="1" x14ac:dyDescent="0.2">
      <c r="A46" s="15" t="s">
        <v>138</v>
      </c>
      <c r="B46" s="16">
        <v>19693000</v>
      </c>
      <c r="C46" s="492">
        <f>B46/'- 3 -'!$D46*100</f>
        <v>4.893112099302372</v>
      </c>
      <c r="D46" s="495">
        <f>B46/'- 7 -'!$E46</f>
        <v>650.78237306059054</v>
      </c>
      <c r="E46" s="16">
        <v>19301650</v>
      </c>
      <c r="F46" s="267">
        <f>E46/'- 3 -'!$D46*100</f>
        <v>4.7958735160462913</v>
      </c>
      <c r="G46" s="16">
        <f>E46/'- 7 -'!$E46</f>
        <v>637.84967201467259</v>
      </c>
      <c r="H46" s="16">
        <v>5481300</v>
      </c>
      <c r="I46" s="267">
        <f>H46/'- 3 -'!$D46*100</f>
        <v>1.3619364926575985</v>
      </c>
      <c r="J46" s="16">
        <f>H46/'- 7 -'!$E46</f>
        <v>181.13712595627965</v>
      </c>
    </row>
    <row r="47" spans="1:10" ht="5.0999999999999996" customHeight="1" x14ac:dyDescent="0.2">
      <c r="A47"/>
      <c r="B47"/>
      <c r="C47" s="500"/>
      <c r="D47" s="497"/>
      <c r="E47"/>
      <c r="F47"/>
      <c r="G47"/>
      <c r="H47" s="508"/>
      <c r="I47"/>
      <c r="J47"/>
    </row>
    <row r="48" spans="1:10" ht="14.1" customHeight="1" x14ac:dyDescent="0.2">
      <c r="A48" s="274" t="s">
        <v>139</v>
      </c>
      <c r="B48" s="275">
        <f>SUM(B11:B46)</f>
        <v>158416549</v>
      </c>
      <c r="C48" s="501">
        <f>B48/'- 3 -'!$D48*100</f>
        <v>6.6777703520213754</v>
      </c>
      <c r="D48" s="498">
        <f>B48/'- 7 -'!$E48</f>
        <v>892.73073889902901</v>
      </c>
      <c r="E48" s="275">
        <f>SUM(E11:E46)</f>
        <v>111051240</v>
      </c>
      <c r="F48" s="276">
        <f>E48/'- 3 -'!$D48*100</f>
        <v>4.6811692509929008</v>
      </c>
      <c r="G48" s="275">
        <f>E48/'- 7 -'!$E48</f>
        <v>625.81123100247191</v>
      </c>
      <c r="H48" s="275">
        <f>SUM(H11:H46)</f>
        <v>46794400</v>
      </c>
      <c r="I48" s="276">
        <f>H48/'- 3 -'!$D48*100</f>
        <v>1.9725354385836864</v>
      </c>
      <c r="J48" s="275">
        <f>H48/'- 7 -'!$E48</f>
        <v>263.70224292877839</v>
      </c>
    </row>
    <row r="49" spans="1:10" ht="5.0999999999999996" customHeight="1" x14ac:dyDescent="0.2">
      <c r="A49" s="17" t="s">
        <v>1</v>
      </c>
      <c r="B49" s="18"/>
      <c r="C49" s="502"/>
      <c r="D49" s="499"/>
      <c r="E49" s="18"/>
      <c r="F49" s="266"/>
      <c r="H49" s="18"/>
      <c r="I49" s="266"/>
      <c r="J49" s="18"/>
    </row>
    <row r="50" spans="1:10" ht="14.1" customHeight="1" x14ac:dyDescent="0.2">
      <c r="A50" s="15" t="s">
        <v>140</v>
      </c>
      <c r="B50" s="16">
        <v>110720</v>
      </c>
      <c r="C50" s="492">
        <f>B50/'- 3 -'!$D50*100</f>
        <v>3.1103220441827539</v>
      </c>
      <c r="D50" s="495">
        <f>B50/'- 7 -'!$E50</f>
        <v>683.45679012345681</v>
      </c>
      <c r="E50" s="16">
        <v>103327</v>
      </c>
      <c r="F50" s="267">
        <f>E50/'- 3 -'!$D50*100</f>
        <v>2.9026395037867725</v>
      </c>
      <c r="G50" s="16">
        <f>E50/'- 7 -'!$E50</f>
        <v>637.82098765432102</v>
      </c>
      <c r="H50" s="16">
        <v>108136</v>
      </c>
      <c r="I50" s="267">
        <f>H50/'- 3 -'!$D50*100</f>
        <v>3.0377328808683735</v>
      </c>
      <c r="J50" s="16">
        <f>H50/'- 7 -'!$E50</f>
        <v>667.50617283950612</v>
      </c>
    </row>
    <row r="51" spans="1:10" ht="14.1" customHeight="1" x14ac:dyDescent="0.2">
      <c r="A51" s="360" t="s">
        <v>516</v>
      </c>
      <c r="B51" s="272">
        <v>131403</v>
      </c>
      <c r="C51" s="493">
        <f>B51/'- 3 -'!$D51*100</f>
        <v>0.42930830699469386</v>
      </c>
      <c r="D51" s="496">
        <f>B51/'- 7 -'!$E51</f>
        <v>123.26735459662289</v>
      </c>
      <c r="E51" s="272">
        <v>67332</v>
      </c>
      <c r="F51" s="273">
        <f>E51/'- 3 -'!$D51*100</f>
        <v>0.21998117947510124</v>
      </c>
      <c r="G51" s="272">
        <f>E51/'- 7 -'!$E51</f>
        <v>63.163227016885557</v>
      </c>
      <c r="H51" s="272">
        <v>446990</v>
      </c>
      <c r="I51" s="273">
        <f>H51/'- 3 -'!$D51*100</f>
        <v>1.4603663549809229</v>
      </c>
      <c r="J51" s="272">
        <f>H51/'- 7 -'!$E51</f>
        <v>419.31519699812384</v>
      </c>
    </row>
    <row r="52" spans="1:10" ht="50.1" customHeight="1" x14ac:dyDescent="0.2">
      <c r="A52" s="19"/>
      <c r="B52" s="19"/>
      <c r="C52" s="19"/>
      <c r="D52" s="19"/>
      <c r="E52" s="19"/>
      <c r="F52" s="19"/>
      <c r="G52" s="19"/>
      <c r="H52" s="19"/>
      <c r="I52" s="19"/>
      <c r="J52" s="19"/>
    </row>
    <row r="53" spans="1:10" ht="12" customHeight="1" x14ac:dyDescent="0.2">
      <c r="A53" s="671" t="s">
        <v>407</v>
      </c>
      <c r="B53" s="672"/>
      <c r="C53" s="672"/>
      <c r="D53" s="672"/>
      <c r="E53" s="672"/>
      <c r="F53" s="672"/>
      <c r="G53" s="672"/>
      <c r="H53" s="672"/>
      <c r="I53" s="672"/>
      <c r="J53" s="672"/>
    </row>
    <row r="54" spans="1:10" ht="12" customHeight="1" x14ac:dyDescent="0.2">
      <c r="A54" s="673"/>
      <c r="B54" s="673"/>
      <c r="C54" s="673"/>
      <c r="D54" s="673"/>
      <c r="E54" s="673"/>
      <c r="F54" s="673"/>
      <c r="G54" s="673"/>
      <c r="H54" s="673"/>
      <c r="I54" s="673"/>
      <c r="J54" s="673"/>
    </row>
    <row r="55" spans="1:10" ht="14.45" customHeight="1" x14ac:dyDescent="0.2">
      <c r="B55" s="90"/>
      <c r="C55" s="90"/>
    </row>
    <row r="56" spans="1:10" ht="14.45" customHeight="1" x14ac:dyDescent="0.2">
      <c r="B56" s="90"/>
      <c r="C56" s="90"/>
    </row>
    <row r="57" spans="1:10" ht="14.45" customHeight="1" x14ac:dyDescent="0.2"/>
    <row r="58" spans="1:10" ht="14.45" customHeight="1" x14ac:dyDescent="0.2"/>
  </sheetData>
  <mergeCells count="8">
    <mergeCell ref="A53:J54"/>
    <mergeCell ref="G8:G9"/>
    <mergeCell ref="J8:J9"/>
    <mergeCell ref="B5:J5"/>
    <mergeCell ref="B6:D7"/>
    <mergeCell ref="E6:G7"/>
    <mergeCell ref="H6:J7"/>
    <mergeCell ref="D8:D9"/>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1">
    <pageSetUpPr fitToPage="1"/>
  </sheetPr>
  <dimension ref="A1:F59"/>
  <sheetViews>
    <sheetView showGridLines="0" showZeros="0" workbookViewId="0"/>
  </sheetViews>
  <sheetFormatPr defaultColWidth="15.83203125" defaultRowHeight="12" x14ac:dyDescent="0.2"/>
  <cols>
    <col min="1" max="1" width="34.83203125" style="1" customWidth="1"/>
    <col min="2" max="2" width="19.6640625" style="1" customWidth="1"/>
    <col min="3" max="3" width="10.33203125" style="1" customWidth="1"/>
    <col min="4" max="4" width="19" style="1" customWidth="1"/>
    <col min="5" max="5" width="10.6640625" style="1" customWidth="1"/>
    <col min="6" max="6" width="25.83203125" style="1" customWidth="1"/>
    <col min="7" max="16384" width="15.83203125" style="1"/>
  </cols>
  <sheetData>
    <row r="1" spans="1:6" ht="6.95" customHeight="1" x14ac:dyDescent="0.2">
      <c r="A1" s="3"/>
      <c r="B1" s="4"/>
      <c r="C1" s="4"/>
      <c r="D1" s="4"/>
      <c r="E1" s="4"/>
    </row>
    <row r="2" spans="1:6" ht="15.95" customHeight="1" x14ac:dyDescent="0.2">
      <c r="A2" s="132"/>
      <c r="B2" s="5" t="str">
        <f>AEXP_BP</f>
        <v>ANALYSIS OF EXPENSE BY PROGRAM</v>
      </c>
      <c r="C2" s="6"/>
      <c r="D2" s="6"/>
      <c r="E2" s="150"/>
      <c r="F2" s="503" t="s">
        <v>540</v>
      </c>
    </row>
    <row r="3" spans="1:6" ht="15.95" customHeight="1" x14ac:dyDescent="0.2">
      <c r="A3" s="135"/>
      <c r="B3" s="7" t="str">
        <f>OPYEAR</f>
        <v>OPERATING FUND 2017/2018 BUDGET</v>
      </c>
      <c r="C3" s="8"/>
      <c r="D3" s="8"/>
      <c r="E3" s="81"/>
      <c r="F3" s="81"/>
    </row>
    <row r="4" spans="1:6" ht="15.95" customHeight="1" x14ac:dyDescent="0.2">
      <c r="B4" s="4"/>
      <c r="C4" s="4"/>
      <c r="D4" s="4"/>
      <c r="E4" s="4"/>
    </row>
    <row r="5" spans="1:6" ht="15.95" customHeight="1" x14ac:dyDescent="0.2">
      <c r="B5" s="668" t="s">
        <v>186</v>
      </c>
      <c r="C5" s="669"/>
      <c r="D5" s="669"/>
      <c r="E5" s="670"/>
    </row>
    <row r="6" spans="1:6" ht="15.95" customHeight="1" x14ac:dyDescent="0.2">
      <c r="B6" s="620" t="s">
        <v>413</v>
      </c>
      <c r="C6" s="621"/>
      <c r="D6" s="626" t="s">
        <v>68</v>
      </c>
      <c r="E6" s="613"/>
    </row>
    <row r="7" spans="1:6" ht="15.95" customHeight="1" x14ac:dyDescent="0.2">
      <c r="B7" s="622"/>
      <c r="C7" s="623"/>
      <c r="D7" s="627"/>
      <c r="E7" s="615"/>
    </row>
    <row r="8" spans="1:6" ht="15.95" customHeight="1" x14ac:dyDescent="0.2">
      <c r="A8" s="82"/>
      <c r="B8" s="138"/>
      <c r="C8" s="137"/>
      <c r="D8" s="137"/>
      <c r="E8" s="138"/>
    </row>
    <row r="9" spans="1:6" ht="15.95" customHeight="1" x14ac:dyDescent="0.2">
      <c r="A9" s="27" t="s">
        <v>37</v>
      </c>
      <c r="B9" s="89" t="s">
        <v>38</v>
      </c>
      <c r="C9" s="89" t="s">
        <v>39</v>
      </c>
      <c r="D9" s="89" t="s">
        <v>38</v>
      </c>
      <c r="E9" s="89" t="s">
        <v>39</v>
      </c>
    </row>
    <row r="10" spans="1:6" ht="5.0999999999999996" customHeight="1" x14ac:dyDescent="0.2">
      <c r="A10" s="29"/>
    </row>
    <row r="11" spans="1:6" ht="14.1" customHeight="1" x14ac:dyDescent="0.2">
      <c r="A11" s="271" t="s">
        <v>104</v>
      </c>
      <c r="B11" s="272">
        <v>0</v>
      </c>
      <c r="C11" s="273">
        <f>B11/'- 3 -'!$D11*100</f>
        <v>0</v>
      </c>
      <c r="D11" s="272">
        <v>0</v>
      </c>
      <c r="E11" s="273">
        <f>D11/'- 3 -'!$D11*100</f>
        <v>0</v>
      </c>
    </row>
    <row r="12" spans="1:6" ht="14.1" customHeight="1" x14ac:dyDescent="0.2">
      <c r="A12" s="15" t="s">
        <v>105</v>
      </c>
      <c r="B12" s="16">
        <v>148295</v>
      </c>
      <c r="C12" s="267">
        <f>B12/'- 3 -'!$D12*100</f>
        <v>0.42331726072241255</v>
      </c>
      <c r="D12" s="16">
        <v>534666</v>
      </c>
      <c r="E12" s="267">
        <f>D12/'- 3 -'!$D12*100</f>
        <v>1.5262372063886809</v>
      </c>
    </row>
    <row r="13" spans="1:6" ht="14.1" customHeight="1" x14ac:dyDescent="0.2">
      <c r="A13" s="271" t="s">
        <v>106</v>
      </c>
      <c r="B13" s="272">
        <v>0</v>
      </c>
      <c r="C13" s="273">
        <f>B13/'- 3 -'!$D13*100</f>
        <v>0</v>
      </c>
      <c r="D13" s="272">
        <v>0</v>
      </c>
      <c r="E13" s="273">
        <f>D13/'- 3 -'!$D13*100</f>
        <v>0</v>
      </c>
    </row>
    <row r="14" spans="1:6" ht="14.1" customHeight="1" x14ac:dyDescent="0.2">
      <c r="A14" s="15" t="s">
        <v>315</v>
      </c>
      <c r="B14" s="16">
        <v>109111</v>
      </c>
      <c r="C14" s="267">
        <f>B14/'- 3 -'!$D14*100</f>
        <v>0.1208645345077656</v>
      </c>
      <c r="D14" s="16">
        <v>147700</v>
      </c>
      <c r="E14" s="267">
        <f>D14/'- 3 -'!$D14*100</f>
        <v>0.16361037610137366</v>
      </c>
    </row>
    <row r="15" spans="1:6" ht="14.1" customHeight="1" x14ac:dyDescent="0.2">
      <c r="A15" s="271" t="s">
        <v>107</v>
      </c>
      <c r="B15" s="272">
        <v>0</v>
      </c>
      <c r="C15" s="273">
        <f>B15/'- 3 -'!$D15*100</f>
        <v>0</v>
      </c>
      <c r="D15" s="272">
        <v>0</v>
      </c>
      <c r="E15" s="273">
        <f>D15/'- 3 -'!$D15*100</f>
        <v>0</v>
      </c>
    </row>
    <row r="16" spans="1:6" ht="14.1" customHeight="1" x14ac:dyDescent="0.2">
      <c r="A16" s="15" t="s">
        <v>108</v>
      </c>
      <c r="B16" s="16">
        <v>21014</v>
      </c>
      <c r="C16" s="267">
        <f>B16/'- 3 -'!$D16*100</f>
        <v>0.14207484167856821</v>
      </c>
      <c r="D16" s="16">
        <v>71286</v>
      </c>
      <c r="E16" s="267">
        <f>D16/'- 3 -'!$D16*100</f>
        <v>0.48196189035397419</v>
      </c>
    </row>
    <row r="17" spans="1:5" ht="14.1" customHeight="1" x14ac:dyDescent="0.2">
      <c r="A17" s="271" t="s">
        <v>109</v>
      </c>
      <c r="B17" s="272">
        <v>0</v>
      </c>
      <c r="C17" s="273">
        <f>B17/'- 3 -'!$D17*100</f>
        <v>0</v>
      </c>
      <c r="D17" s="272">
        <v>0</v>
      </c>
      <c r="E17" s="273">
        <f>D17/'- 3 -'!$D17*100</f>
        <v>0</v>
      </c>
    </row>
    <row r="18" spans="1:5" ht="14.1" customHeight="1" x14ac:dyDescent="0.2">
      <c r="A18" s="15" t="s">
        <v>110</v>
      </c>
      <c r="B18" s="16">
        <v>242480</v>
      </c>
      <c r="C18" s="267">
        <f>B18/'- 3 -'!$D18*100</f>
        <v>0.1840435096830127</v>
      </c>
      <c r="D18" s="16">
        <v>1883579</v>
      </c>
      <c r="E18" s="267">
        <f>D18/'- 3 -'!$D18*100</f>
        <v>1.4296457024299709</v>
      </c>
    </row>
    <row r="19" spans="1:5" ht="14.1" customHeight="1" x14ac:dyDescent="0.2">
      <c r="A19" s="271" t="s">
        <v>111</v>
      </c>
      <c r="B19" s="272">
        <v>0</v>
      </c>
      <c r="C19" s="273">
        <f>B19/'- 3 -'!$D19*100</f>
        <v>0</v>
      </c>
      <c r="D19" s="272">
        <v>0</v>
      </c>
      <c r="E19" s="273">
        <f>D19/'- 3 -'!$D19*100</f>
        <v>0</v>
      </c>
    </row>
    <row r="20" spans="1:5" ht="14.1" customHeight="1" x14ac:dyDescent="0.2">
      <c r="A20" s="15" t="s">
        <v>112</v>
      </c>
      <c r="B20" s="16">
        <v>0</v>
      </c>
      <c r="C20" s="267">
        <f>B20/'- 3 -'!$D20*100</f>
        <v>0</v>
      </c>
      <c r="D20" s="16">
        <v>0</v>
      </c>
      <c r="E20" s="267">
        <f>D20/'- 3 -'!$D20*100</f>
        <v>0</v>
      </c>
    </row>
    <row r="21" spans="1:5" ht="14.1" customHeight="1" x14ac:dyDescent="0.2">
      <c r="A21" s="271" t="s">
        <v>113</v>
      </c>
      <c r="B21" s="272">
        <v>0</v>
      </c>
      <c r="C21" s="273">
        <f>B21/'- 3 -'!$D21*100</f>
        <v>0</v>
      </c>
      <c r="D21" s="272">
        <v>0</v>
      </c>
      <c r="E21" s="273">
        <f>D21/'- 3 -'!$D21*100</f>
        <v>0</v>
      </c>
    </row>
    <row r="22" spans="1:5" ht="14.1" customHeight="1" x14ac:dyDescent="0.2">
      <c r="A22" s="15" t="s">
        <v>114</v>
      </c>
      <c r="B22" s="16">
        <v>154500</v>
      </c>
      <c r="C22" s="267">
        <f>B22/'- 3 -'!$D22*100</f>
        <v>0.72465841384702623</v>
      </c>
      <c r="D22" s="16">
        <v>499980</v>
      </c>
      <c r="E22" s="267">
        <f>D22/'- 3 -'!$D22*100</f>
        <v>2.3450790534319492</v>
      </c>
    </row>
    <row r="23" spans="1:5" ht="14.1" customHeight="1" x14ac:dyDescent="0.2">
      <c r="A23" s="271" t="s">
        <v>115</v>
      </c>
      <c r="B23" s="272">
        <v>58842</v>
      </c>
      <c r="C23" s="273">
        <f>B23/'- 3 -'!$D23*100</f>
        <v>0.34952907547652751</v>
      </c>
      <c r="D23" s="272">
        <v>180458</v>
      </c>
      <c r="E23" s="273">
        <f>D23/'- 3 -'!$D23*100</f>
        <v>1.0719438139822441</v>
      </c>
    </row>
    <row r="24" spans="1:5" ht="14.1" customHeight="1" x14ac:dyDescent="0.2">
      <c r="A24" s="15" t="s">
        <v>116</v>
      </c>
      <c r="B24" s="16">
        <v>117025</v>
      </c>
      <c r="C24" s="267">
        <f>B24/'- 3 -'!$D24*100</f>
        <v>0.20031883946433657</v>
      </c>
      <c r="D24" s="16">
        <v>228370</v>
      </c>
      <c r="E24" s="267">
        <f>D24/'- 3 -'!$D24*100</f>
        <v>0.39091487603905606</v>
      </c>
    </row>
    <row r="25" spans="1:5" ht="14.1" customHeight="1" x14ac:dyDescent="0.2">
      <c r="A25" s="271" t="s">
        <v>117</v>
      </c>
      <c r="B25" s="272">
        <v>0</v>
      </c>
      <c r="C25" s="273">
        <f>B25/'- 3 -'!$D25*100</f>
        <v>0</v>
      </c>
      <c r="D25" s="272">
        <v>617810</v>
      </c>
      <c r="E25" s="273">
        <f>D25/'- 3 -'!$D25*100</f>
        <v>0.33939623562599452</v>
      </c>
    </row>
    <row r="26" spans="1:5" ht="14.1" customHeight="1" x14ac:dyDescent="0.2">
      <c r="A26" s="15" t="s">
        <v>118</v>
      </c>
      <c r="B26" s="16">
        <v>0</v>
      </c>
      <c r="C26" s="267">
        <f>B26/'- 3 -'!$D26*100</f>
        <v>0</v>
      </c>
      <c r="D26" s="16">
        <v>0</v>
      </c>
      <c r="E26" s="267">
        <f>D26/'- 3 -'!$D26*100</f>
        <v>0</v>
      </c>
    </row>
    <row r="27" spans="1:5" ht="14.1" customHeight="1" x14ac:dyDescent="0.2">
      <c r="A27" s="271" t="s">
        <v>119</v>
      </c>
      <c r="B27" s="272">
        <v>0</v>
      </c>
      <c r="C27" s="273">
        <f>B27/'- 3 -'!$D27*100</f>
        <v>0</v>
      </c>
      <c r="D27" s="272">
        <v>0</v>
      </c>
      <c r="E27" s="273">
        <f>D27/'- 3 -'!$D27*100</f>
        <v>0</v>
      </c>
    </row>
    <row r="28" spans="1:5" ht="14.1" customHeight="1" x14ac:dyDescent="0.2">
      <c r="A28" s="15" t="s">
        <v>120</v>
      </c>
      <c r="B28" s="16">
        <v>0</v>
      </c>
      <c r="C28" s="267">
        <f>B28/'- 3 -'!$D28*100</f>
        <v>0</v>
      </c>
      <c r="D28" s="16">
        <v>115412</v>
      </c>
      <c r="E28" s="267">
        <f>D28/'- 3 -'!$D28*100</f>
        <v>0.39940502452572901</v>
      </c>
    </row>
    <row r="29" spans="1:5" ht="14.1" customHeight="1" x14ac:dyDescent="0.2">
      <c r="A29" s="271" t="s">
        <v>121</v>
      </c>
      <c r="B29" s="272">
        <v>0</v>
      </c>
      <c r="C29" s="273">
        <f>B29/'- 3 -'!$D29*100</f>
        <v>0</v>
      </c>
      <c r="D29" s="272">
        <v>0</v>
      </c>
      <c r="E29" s="273">
        <f>D29/'- 3 -'!$D29*100</f>
        <v>0</v>
      </c>
    </row>
    <row r="30" spans="1:5" ht="14.1" customHeight="1" x14ac:dyDescent="0.2">
      <c r="A30" s="15" t="s">
        <v>122</v>
      </c>
      <c r="B30" s="16">
        <v>0</v>
      </c>
      <c r="C30" s="267">
        <f>B30/'- 3 -'!$D30*100</f>
        <v>0</v>
      </c>
      <c r="D30" s="16">
        <v>0</v>
      </c>
      <c r="E30" s="267">
        <f>D30/'- 3 -'!$D30*100</f>
        <v>0</v>
      </c>
    </row>
    <row r="31" spans="1:5" ht="14.1" customHeight="1" x14ac:dyDescent="0.2">
      <c r="A31" s="271" t="s">
        <v>123</v>
      </c>
      <c r="B31" s="272">
        <v>0</v>
      </c>
      <c r="C31" s="273">
        <f>B31/'- 3 -'!$D31*100</f>
        <v>0</v>
      </c>
      <c r="D31" s="272">
        <v>0</v>
      </c>
      <c r="E31" s="273">
        <f>D31/'- 3 -'!$D31*100</f>
        <v>0</v>
      </c>
    </row>
    <row r="32" spans="1:5" ht="14.1" customHeight="1" x14ac:dyDescent="0.2">
      <c r="A32" s="15" t="s">
        <v>124</v>
      </c>
      <c r="B32" s="16">
        <v>69253</v>
      </c>
      <c r="C32" s="267">
        <f>B32/'- 3 -'!$D32*100</f>
        <v>0.22116205293109581</v>
      </c>
      <c r="D32" s="16">
        <v>208125</v>
      </c>
      <c r="E32" s="267">
        <f>D32/'- 3 -'!$D32*100</f>
        <v>0.66465499352063173</v>
      </c>
    </row>
    <row r="33" spans="1:5" ht="14.1" customHeight="1" x14ac:dyDescent="0.2">
      <c r="A33" s="271" t="s">
        <v>125</v>
      </c>
      <c r="B33" s="272">
        <v>0</v>
      </c>
      <c r="C33" s="273">
        <f>B33/'- 3 -'!$D33*100</f>
        <v>0</v>
      </c>
      <c r="D33" s="272">
        <v>0</v>
      </c>
      <c r="E33" s="273">
        <f>D33/'- 3 -'!$D33*100</f>
        <v>0</v>
      </c>
    </row>
    <row r="34" spans="1:5" ht="14.1" customHeight="1" x14ac:dyDescent="0.2">
      <c r="A34" s="15" t="s">
        <v>126</v>
      </c>
      <c r="B34" s="16">
        <v>0</v>
      </c>
      <c r="C34" s="267">
        <f>B34/'- 3 -'!$D34*100</f>
        <v>0</v>
      </c>
      <c r="D34" s="16">
        <v>0</v>
      </c>
      <c r="E34" s="267">
        <f>D34/'- 3 -'!$D34*100</f>
        <v>0</v>
      </c>
    </row>
    <row r="35" spans="1:5" ht="14.1" customHeight="1" x14ac:dyDescent="0.2">
      <c r="A35" s="271" t="s">
        <v>127</v>
      </c>
      <c r="B35" s="272">
        <v>0</v>
      </c>
      <c r="C35" s="273">
        <f>B35/'- 3 -'!$D35*100</f>
        <v>0</v>
      </c>
      <c r="D35" s="272">
        <v>0</v>
      </c>
      <c r="E35" s="273">
        <f>D35/'- 3 -'!$D35*100</f>
        <v>0</v>
      </c>
    </row>
    <row r="36" spans="1:5" ht="14.1" customHeight="1" x14ac:dyDescent="0.2">
      <c r="A36" s="15" t="s">
        <v>128</v>
      </c>
      <c r="B36" s="16">
        <v>0</v>
      </c>
      <c r="C36" s="267">
        <f>B36/'- 3 -'!$D36*100</f>
        <v>0</v>
      </c>
      <c r="D36" s="16">
        <v>0</v>
      </c>
      <c r="E36" s="267">
        <f>D36/'- 3 -'!$D36*100</f>
        <v>0</v>
      </c>
    </row>
    <row r="37" spans="1:5" ht="14.1" customHeight="1" x14ac:dyDescent="0.2">
      <c r="A37" s="271" t="s">
        <v>129</v>
      </c>
      <c r="B37" s="272">
        <v>0</v>
      </c>
      <c r="C37" s="273">
        <f>B37/'- 3 -'!$D37*100</f>
        <v>0</v>
      </c>
      <c r="D37" s="272">
        <v>0</v>
      </c>
      <c r="E37" s="273">
        <f>D37/'- 3 -'!$D37*100</f>
        <v>0</v>
      </c>
    </row>
    <row r="38" spans="1:5" ht="14.1" customHeight="1" x14ac:dyDescent="0.2">
      <c r="A38" s="15" t="s">
        <v>130</v>
      </c>
      <c r="B38" s="16">
        <v>222080</v>
      </c>
      <c r="C38" s="267">
        <f>B38/'- 3 -'!$D38*100</f>
        <v>0.15726457087265833</v>
      </c>
      <c r="D38" s="16">
        <v>717120</v>
      </c>
      <c r="E38" s="267">
        <f>D38/'- 3 -'!$D38*100</f>
        <v>0.50782406819254655</v>
      </c>
    </row>
    <row r="39" spans="1:5" ht="14.1" customHeight="1" x14ac:dyDescent="0.2">
      <c r="A39" s="271" t="s">
        <v>131</v>
      </c>
      <c r="B39" s="272">
        <v>0</v>
      </c>
      <c r="C39" s="273">
        <f>B39/'- 3 -'!$D39*100</f>
        <v>0</v>
      </c>
      <c r="D39" s="272">
        <v>0</v>
      </c>
      <c r="E39" s="273">
        <f>D39/'- 3 -'!$D39*100</f>
        <v>0</v>
      </c>
    </row>
    <row r="40" spans="1:5" ht="14.1" customHeight="1" x14ac:dyDescent="0.2">
      <c r="A40" s="15" t="s">
        <v>132</v>
      </c>
      <c r="B40" s="16">
        <v>0</v>
      </c>
      <c r="C40" s="267">
        <f>B40/'- 3 -'!$D40*100</f>
        <v>0</v>
      </c>
      <c r="D40" s="16">
        <v>0</v>
      </c>
      <c r="E40" s="267">
        <f>D40/'- 3 -'!$D40*100</f>
        <v>0</v>
      </c>
    </row>
    <row r="41" spans="1:5" ht="14.1" customHeight="1" x14ac:dyDescent="0.2">
      <c r="A41" s="271" t="s">
        <v>133</v>
      </c>
      <c r="B41" s="272">
        <v>383135</v>
      </c>
      <c r="C41" s="273">
        <f>B41/'- 3 -'!$D41*100</f>
        <v>0.59322510867251954</v>
      </c>
      <c r="D41" s="272">
        <v>629538</v>
      </c>
      <c r="E41" s="273">
        <f>D41/'- 3 -'!$D41*100</f>
        <v>0.97474192768470802</v>
      </c>
    </row>
    <row r="42" spans="1:5" ht="14.1" customHeight="1" x14ac:dyDescent="0.2">
      <c r="A42" s="15" t="s">
        <v>134</v>
      </c>
      <c r="B42" s="16">
        <v>0</v>
      </c>
      <c r="C42" s="267">
        <f>B42/'- 3 -'!$D42*100</f>
        <v>0</v>
      </c>
      <c r="D42" s="16">
        <v>0</v>
      </c>
      <c r="E42" s="267">
        <f>D42/'- 3 -'!$D42*100</f>
        <v>0</v>
      </c>
    </row>
    <row r="43" spans="1:5" ht="14.1" customHeight="1" x14ac:dyDescent="0.2">
      <c r="A43" s="271" t="s">
        <v>135</v>
      </c>
      <c r="B43" s="272">
        <v>0</v>
      </c>
      <c r="C43" s="273">
        <f>B43/'- 3 -'!$D43*100</f>
        <v>0</v>
      </c>
      <c r="D43" s="272">
        <v>230495</v>
      </c>
      <c r="E43" s="273">
        <f>D43/'- 3 -'!$D43*100</f>
        <v>1.6862354697119935</v>
      </c>
    </row>
    <row r="44" spans="1:5" ht="14.1" customHeight="1" x14ac:dyDescent="0.2">
      <c r="A44" s="15" t="s">
        <v>136</v>
      </c>
      <c r="B44" s="16">
        <v>0</v>
      </c>
      <c r="C44" s="267">
        <f>B44/'- 3 -'!$D44*100</f>
        <v>0</v>
      </c>
      <c r="D44" s="16">
        <v>0</v>
      </c>
      <c r="E44" s="267">
        <f>D44/'- 3 -'!$D44*100</f>
        <v>0</v>
      </c>
    </row>
    <row r="45" spans="1:5" ht="14.1" customHeight="1" x14ac:dyDescent="0.2">
      <c r="A45" s="271" t="s">
        <v>137</v>
      </c>
      <c r="B45" s="272">
        <v>169627</v>
      </c>
      <c r="C45" s="273">
        <f>B45/'- 3 -'!$D45*100</f>
        <v>0.83863382388734198</v>
      </c>
      <c r="D45" s="272">
        <v>237006</v>
      </c>
      <c r="E45" s="273">
        <f>D45/'- 3 -'!$D45*100</f>
        <v>1.1717547799833952</v>
      </c>
    </row>
    <row r="46" spans="1:5" ht="14.1" customHeight="1" x14ac:dyDescent="0.2">
      <c r="A46" s="15" t="s">
        <v>138</v>
      </c>
      <c r="B46" s="16">
        <v>117100</v>
      </c>
      <c r="C46" s="267">
        <f>B46/'- 3 -'!$D46*100</f>
        <v>2.9095791744696481E-2</v>
      </c>
      <c r="D46" s="16">
        <v>664300</v>
      </c>
      <c r="E46" s="267">
        <f>D46/'- 3 -'!$D46*100</f>
        <v>0.16505836426987081</v>
      </c>
    </row>
    <row r="47" spans="1:5" ht="5.0999999999999996" customHeight="1" x14ac:dyDescent="0.2">
      <c r="A47"/>
      <c r="B47"/>
      <c r="C47"/>
      <c r="D47"/>
      <c r="E47"/>
    </row>
    <row r="48" spans="1:5" ht="14.1" customHeight="1" x14ac:dyDescent="0.2">
      <c r="A48" s="274" t="s">
        <v>139</v>
      </c>
      <c r="B48" s="275">
        <f>SUM(B11:B46)</f>
        <v>1812462</v>
      </c>
      <c r="C48" s="276">
        <f>B48/'- 3 -'!$D48*100</f>
        <v>7.6401140437451179E-2</v>
      </c>
      <c r="D48" s="275">
        <f>SUM(D11:D46)</f>
        <v>6965845</v>
      </c>
      <c r="E48" s="276">
        <f>D48/'- 3 -'!$D48*100</f>
        <v>0.29363291595107488</v>
      </c>
    </row>
    <row r="49" spans="1:5" ht="5.0999999999999996" customHeight="1" x14ac:dyDescent="0.2">
      <c r="A49" s="17" t="s">
        <v>1</v>
      </c>
      <c r="B49" s="18"/>
      <c r="C49" s="266"/>
      <c r="D49" s="18"/>
      <c r="E49" s="266"/>
    </row>
    <row r="50" spans="1:5" ht="14.1" customHeight="1" x14ac:dyDescent="0.2">
      <c r="A50" s="15" t="s">
        <v>140</v>
      </c>
      <c r="B50" s="16">
        <v>0</v>
      </c>
      <c r="C50" s="267">
        <f>B50/'- 3 -'!$D50*100</f>
        <v>0</v>
      </c>
      <c r="D50" s="16">
        <v>0</v>
      </c>
      <c r="E50" s="267">
        <f>D50/'- 3 -'!$D50*100</f>
        <v>0</v>
      </c>
    </row>
    <row r="51" spans="1:5" ht="14.1" customHeight="1" x14ac:dyDescent="0.2">
      <c r="A51" s="360" t="s">
        <v>516</v>
      </c>
      <c r="B51" s="272">
        <v>940306</v>
      </c>
      <c r="C51" s="273">
        <f>B51/'- 3 -'!$D51*100</f>
        <v>3.072084936545989</v>
      </c>
      <c r="D51" s="272">
        <v>1983814</v>
      </c>
      <c r="E51" s="273">
        <f>D51/'- 3 -'!$D51*100</f>
        <v>6.481342356965758</v>
      </c>
    </row>
    <row r="52" spans="1:5" ht="50.1" customHeight="1" x14ac:dyDescent="0.2"/>
    <row r="53" spans="1:5" ht="15" customHeight="1" x14ac:dyDescent="0.2">
      <c r="A53" s="131"/>
    </row>
    <row r="54" spans="1:5" ht="14.45" customHeight="1" x14ac:dyDescent="0.2"/>
    <row r="55" spans="1:5" ht="14.45" customHeight="1" x14ac:dyDescent="0.2"/>
    <row r="56" spans="1:5" ht="14.45" customHeight="1" x14ac:dyDescent="0.2"/>
    <row r="57" spans="1:5" ht="14.45" customHeight="1" x14ac:dyDescent="0.2"/>
    <row r="58" spans="1:5" ht="14.45" customHeight="1" x14ac:dyDescent="0.2">
      <c r="A58" s="20"/>
    </row>
    <row r="59" spans="1:5" ht="14.45" customHeight="1" x14ac:dyDescent="0.2"/>
  </sheetData>
  <mergeCells count="3">
    <mergeCell ref="B6:C7"/>
    <mergeCell ref="B5:E5"/>
    <mergeCell ref="D6:E7"/>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Sheet1">
    <pageSetUpPr fitToPage="1"/>
  </sheetPr>
  <dimension ref="A1:BC65536"/>
  <sheetViews>
    <sheetView showGridLines="0" showZeros="0" workbookViewId="0"/>
  </sheetViews>
  <sheetFormatPr defaultColWidth="15.83203125" defaultRowHeight="12" x14ac:dyDescent="0.2"/>
  <cols>
    <col min="1" max="1" width="32.83203125" style="1" customWidth="1"/>
    <col min="2" max="2" width="18.83203125" style="1" customWidth="1"/>
    <col min="3" max="3" width="19.83203125" style="1" customWidth="1"/>
    <col min="4" max="4" width="20.6640625" style="1" customWidth="1"/>
    <col min="5" max="5" width="19.83203125" style="1" customWidth="1"/>
    <col min="6" max="6" width="20.83203125" style="1" customWidth="1"/>
    <col min="7" max="16384" width="15.83203125" style="1"/>
  </cols>
  <sheetData>
    <row r="1" spans="1:55" ht="6.95" customHeight="1" x14ac:dyDescent="0.2">
      <c r="A1" s="3"/>
      <c r="B1" s="4"/>
      <c r="C1" s="4"/>
      <c r="D1" s="4"/>
      <c r="E1" s="4"/>
      <c r="F1" s="4"/>
      <c r="BA1" s="164"/>
      <c r="BB1" s="164"/>
      <c r="BC1" s="164"/>
    </row>
    <row r="2" spans="1:55" ht="15.95" customHeight="1" x14ac:dyDescent="0.2">
      <c r="A2" s="5" t="str">
        <f>IF(Lang=1,BA2,BB2)</f>
        <v>RECONCILIATION  OF  EXPENSES</v>
      </c>
      <c r="B2" s="6"/>
      <c r="C2" s="6"/>
      <c r="D2" s="6"/>
      <c r="E2" s="6"/>
      <c r="F2" s="6"/>
      <c r="BA2" s="457" t="s">
        <v>250</v>
      </c>
      <c r="BB2" s="458" t="s">
        <v>369</v>
      </c>
      <c r="BC2" s="164"/>
    </row>
    <row r="3" spans="1:55" ht="15.95" customHeight="1" x14ac:dyDescent="0.2">
      <c r="A3" s="7" t="str">
        <f>IF(Lang=1,BA3,BB3)</f>
        <v>OPERATING FUND 2017/2018 BUDGET</v>
      </c>
      <c r="B3" s="8"/>
      <c r="C3" s="9"/>
      <c r="D3" s="8"/>
      <c r="E3" s="8"/>
      <c r="F3" s="8"/>
      <c r="BA3" s="458" t="str">
        <f>"OPERATING FUND "&amp;YEAR&amp;"/"&amp;YEAR+1&amp;" BUDGET"</f>
        <v>OPERATING FUND 2017/2018 BUDGET</v>
      </c>
      <c r="BB3" s="458" t="str">
        <f>"FONDS DE FONCTIONNEMENT – BUDGET "&amp;YEAR&amp;" - "&amp;YEAR+1</f>
        <v>FONDS DE FONCTIONNEMENT – BUDGET 2017 - 2018</v>
      </c>
      <c r="BC3" s="164"/>
    </row>
    <row r="4" spans="1:55" ht="15.95" customHeight="1" x14ac:dyDescent="0.2">
      <c r="B4" s="4"/>
      <c r="C4" s="4"/>
      <c r="D4" s="4"/>
      <c r="E4" s="4"/>
      <c r="F4" s="4"/>
      <c r="BA4" s="164"/>
      <c r="BB4" s="164"/>
      <c r="BC4" s="164"/>
    </row>
    <row r="5" spans="1:55" ht="15.95" customHeight="1" x14ac:dyDescent="0.2">
      <c r="B5" s="4"/>
      <c r="C5" s="4"/>
      <c r="D5" s="4"/>
      <c r="E5" s="4"/>
      <c r="F5" s="4"/>
      <c r="BA5" s="164"/>
      <c r="BB5" s="164"/>
      <c r="BC5" s="164"/>
    </row>
    <row r="6" spans="1:55" ht="15.95" customHeight="1" x14ac:dyDescent="0.2">
      <c r="B6" s="10"/>
      <c r="C6" s="538" t="s">
        <v>364</v>
      </c>
      <c r="D6" s="541" t="s">
        <v>365</v>
      </c>
      <c r="E6" s="538" t="s">
        <v>366</v>
      </c>
      <c r="F6" s="538" t="s">
        <v>367</v>
      </c>
      <c r="BA6" s="164"/>
      <c r="BB6" s="164"/>
      <c r="BC6" s="164"/>
    </row>
    <row r="7" spans="1:55" ht="15.95" customHeight="1" x14ac:dyDescent="0.2">
      <c r="B7" s="10"/>
      <c r="C7" s="539"/>
      <c r="D7" s="542"/>
      <c r="E7" s="539"/>
      <c r="F7" s="539"/>
    </row>
    <row r="8" spans="1:55" ht="15.95" customHeight="1" x14ac:dyDescent="0.2">
      <c r="A8" s="12"/>
      <c r="B8" s="544" t="s">
        <v>368</v>
      </c>
      <c r="C8" s="539"/>
      <c r="D8" s="542"/>
      <c r="E8" s="539"/>
      <c r="F8" s="539"/>
    </row>
    <row r="9" spans="1:55" x14ac:dyDescent="0.2">
      <c r="A9" s="13" t="s">
        <v>37</v>
      </c>
      <c r="B9" s="545"/>
      <c r="C9" s="540"/>
      <c r="D9" s="543"/>
      <c r="E9" s="540"/>
      <c r="F9" s="540"/>
    </row>
    <row r="10" spans="1:55" ht="5.0999999999999996" customHeight="1" x14ac:dyDescent="0.2">
      <c r="A10" s="14"/>
    </row>
    <row r="11" spans="1:55" ht="14.1" customHeight="1" x14ac:dyDescent="0.2">
      <c r="A11" s="271" t="s">
        <v>104</v>
      </c>
      <c r="B11" s="272">
        <v>20244014</v>
      </c>
      <c r="C11" s="272">
        <f>-Data!L11</f>
        <v>-71400</v>
      </c>
      <c r="D11" s="272">
        <f>B11+C11</f>
        <v>20172614</v>
      </c>
      <c r="E11" s="272">
        <f>-'- 15 -'!H11-'- 16 -'!B11</f>
        <v>-25500</v>
      </c>
      <c r="F11" s="272">
        <f>D11+E11</f>
        <v>20147114</v>
      </c>
    </row>
    <row r="12" spans="1:55" ht="14.1" customHeight="1" x14ac:dyDescent="0.2">
      <c r="A12" s="15" t="s">
        <v>105</v>
      </c>
      <c r="B12" s="16">
        <v>35436645</v>
      </c>
      <c r="C12" s="16">
        <f>-Data!L12</f>
        <v>-405000</v>
      </c>
      <c r="D12" s="16">
        <f t="shared" ref="D12:D46" si="0">B12+C12</f>
        <v>35031645</v>
      </c>
      <c r="E12" s="16">
        <f>-'- 15 -'!H12-'- 16 -'!B12</f>
        <v>-751556</v>
      </c>
      <c r="F12" s="16">
        <f t="shared" ref="F12:F46" si="1">D12+E12</f>
        <v>34280089</v>
      </c>
    </row>
    <row r="13" spans="1:55" ht="14.1" customHeight="1" x14ac:dyDescent="0.2">
      <c r="A13" s="271" t="s">
        <v>106</v>
      </c>
      <c r="B13" s="272">
        <v>101967200</v>
      </c>
      <c r="C13" s="272">
        <f>-Data!L13</f>
        <v>-125200</v>
      </c>
      <c r="D13" s="272">
        <f t="shared" si="0"/>
        <v>101842000</v>
      </c>
      <c r="E13" s="272">
        <f>-'- 15 -'!H13-'- 16 -'!B13</f>
        <v>-360600</v>
      </c>
      <c r="F13" s="272">
        <f t="shared" si="1"/>
        <v>101481400</v>
      </c>
    </row>
    <row r="14" spans="1:55" ht="14.1" customHeight="1" x14ac:dyDescent="0.2">
      <c r="A14" s="15" t="s">
        <v>315</v>
      </c>
      <c r="B14" s="16">
        <v>91212722</v>
      </c>
      <c r="C14" s="16">
        <f>-Data!L14</f>
        <v>-937274</v>
      </c>
      <c r="D14" s="16">
        <f t="shared" si="0"/>
        <v>90275448</v>
      </c>
      <c r="E14" s="16">
        <f>-'- 15 -'!H14-'- 16 -'!B14</f>
        <v>-1805417</v>
      </c>
      <c r="F14" s="16">
        <f t="shared" si="1"/>
        <v>88470031</v>
      </c>
    </row>
    <row r="15" spans="1:55" ht="14.1" customHeight="1" x14ac:dyDescent="0.2">
      <c r="A15" s="271" t="s">
        <v>107</v>
      </c>
      <c r="B15" s="272">
        <v>20803536</v>
      </c>
      <c r="C15" s="272">
        <f>-Data!L15</f>
        <v>-89500</v>
      </c>
      <c r="D15" s="272">
        <f t="shared" si="0"/>
        <v>20714036</v>
      </c>
      <c r="E15" s="272">
        <f>-'- 15 -'!H15-'- 16 -'!B15</f>
        <v>-76500</v>
      </c>
      <c r="F15" s="272">
        <f t="shared" si="1"/>
        <v>20637536</v>
      </c>
    </row>
    <row r="16" spans="1:55" ht="14.1" customHeight="1" x14ac:dyDescent="0.2">
      <c r="A16" s="15" t="s">
        <v>108</v>
      </c>
      <c r="B16" s="16">
        <v>14790796</v>
      </c>
      <c r="C16" s="16">
        <f>-Data!L16</f>
        <v>0</v>
      </c>
      <c r="D16" s="16">
        <f t="shared" si="0"/>
        <v>14790796</v>
      </c>
      <c r="E16" s="16">
        <f>-'- 15 -'!H16-'- 16 -'!B16</f>
        <v>-103690</v>
      </c>
      <c r="F16" s="16">
        <f t="shared" si="1"/>
        <v>14687106</v>
      </c>
    </row>
    <row r="17" spans="1:6" ht="14.1" customHeight="1" x14ac:dyDescent="0.2">
      <c r="A17" s="271" t="s">
        <v>109</v>
      </c>
      <c r="B17" s="272">
        <v>18768716</v>
      </c>
      <c r="C17" s="272">
        <f>-Data!L17</f>
        <v>-68350</v>
      </c>
      <c r="D17" s="272">
        <f t="shared" si="0"/>
        <v>18700366</v>
      </c>
      <c r="E17" s="272">
        <f>-'- 15 -'!H17-'- 16 -'!B17</f>
        <v>-369870</v>
      </c>
      <c r="F17" s="272">
        <f t="shared" si="1"/>
        <v>18330496</v>
      </c>
    </row>
    <row r="18" spans="1:6" ht="14.1" customHeight="1" x14ac:dyDescent="0.2">
      <c r="A18" s="15" t="s">
        <v>110</v>
      </c>
      <c r="B18" s="16">
        <v>136586793</v>
      </c>
      <c r="C18" s="16">
        <f>-Data!L18</f>
        <v>-4835339</v>
      </c>
      <c r="D18" s="16">
        <f t="shared" si="0"/>
        <v>131751454</v>
      </c>
      <c r="E18" s="16">
        <f>-'- 15 -'!H18-'- 16 -'!B18</f>
        <v>-4083367</v>
      </c>
      <c r="F18" s="16">
        <f t="shared" si="1"/>
        <v>127668087</v>
      </c>
    </row>
    <row r="19" spans="1:6" ht="14.1" customHeight="1" x14ac:dyDescent="0.2">
      <c r="A19" s="271" t="s">
        <v>111</v>
      </c>
      <c r="B19" s="272">
        <v>49194717</v>
      </c>
      <c r="C19" s="272">
        <f>-Data!L19</f>
        <v>-462000</v>
      </c>
      <c r="D19" s="272">
        <f t="shared" si="0"/>
        <v>48732717</v>
      </c>
      <c r="E19" s="272">
        <f>-'- 15 -'!H19-'- 16 -'!B19</f>
        <v>-68300</v>
      </c>
      <c r="F19" s="272">
        <f t="shared" si="1"/>
        <v>48664417</v>
      </c>
    </row>
    <row r="20" spans="1:6" ht="14.1" customHeight="1" x14ac:dyDescent="0.2">
      <c r="A20" s="15" t="s">
        <v>112</v>
      </c>
      <c r="B20" s="16">
        <v>86636800</v>
      </c>
      <c r="C20" s="16">
        <f>-Data!L20</f>
        <v>-1738000</v>
      </c>
      <c r="D20" s="16">
        <f t="shared" si="0"/>
        <v>84898800</v>
      </c>
      <c r="E20" s="16">
        <f>-'- 15 -'!H20-'- 16 -'!B20</f>
        <v>-158200</v>
      </c>
      <c r="F20" s="16">
        <f t="shared" si="1"/>
        <v>84740600</v>
      </c>
    </row>
    <row r="21" spans="1:6" ht="14.1" customHeight="1" x14ac:dyDescent="0.2">
      <c r="A21" s="271" t="s">
        <v>113</v>
      </c>
      <c r="B21" s="272">
        <v>37541600</v>
      </c>
      <c r="C21" s="272">
        <f>-Data!L21</f>
        <v>-402200</v>
      </c>
      <c r="D21" s="272">
        <f t="shared" si="0"/>
        <v>37139400</v>
      </c>
      <c r="E21" s="272">
        <f>-'- 15 -'!H21-'- 16 -'!B21</f>
        <v>-265000</v>
      </c>
      <c r="F21" s="272">
        <f t="shared" si="1"/>
        <v>36874400</v>
      </c>
    </row>
    <row r="22" spans="1:6" ht="14.1" customHeight="1" x14ac:dyDescent="0.2">
      <c r="A22" s="15" t="s">
        <v>114</v>
      </c>
      <c r="B22" s="16">
        <v>21340890</v>
      </c>
      <c r="C22" s="16">
        <f>-Data!L22</f>
        <v>-20500</v>
      </c>
      <c r="D22" s="16">
        <f t="shared" si="0"/>
        <v>21320390</v>
      </c>
      <c r="E22" s="16">
        <f>-'- 15 -'!H22-'- 16 -'!B22</f>
        <v>-740795</v>
      </c>
      <c r="F22" s="16">
        <f t="shared" si="1"/>
        <v>20579595</v>
      </c>
    </row>
    <row r="23" spans="1:6" ht="14.1" customHeight="1" x14ac:dyDescent="0.2">
      <c r="A23" s="271" t="s">
        <v>115</v>
      </c>
      <c r="B23" s="272">
        <v>16870351</v>
      </c>
      <c r="C23" s="272">
        <f>-Data!L23</f>
        <v>-35700</v>
      </c>
      <c r="D23" s="272">
        <f t="shared" si="0"/>
        <v>16834651</v>
      </c>
      <c r="E23" s="272">
        <f>-'- 15 -'!H23-'- 16 -'!B23</f>
        <v>-528630</v>
      </c>
      <c r="F23" s="272">
        <f t="shared" si="1"/>
        <v>16306021</v>
      </c>
    </row>
    <row r="24" spans="1:6" ht="14.1" customHeight="1" x14ac:dyDescent="0.2">
      <c r="A24" s="15" t="s">
        <v>116</v>
      </c>
      <c r="B24" s="16">
        <v>58585118</v>
      </c>
      <c r="C24" s="16">
        <f>-Data!L24</f>
        <v>-165750</v>
      </c>
      <c r="D24" s="16">
        <f t="shared" si="0"/>
        <v>58419368</v>
      </c>
      <c r="E24" s="16">
        <f>-'- 15 -'!H24-'- 16 -'!B24</f>
        <v>-771705</v>
      </c>
      <c r="F24" s="16">
        <f t="shared" si="1"/>
        <v>57647663</v>
      </c>
    </row>
    <row r="25" spans="1:6" ht="14.1" customHeight="1" x14ac:dyDescent="0.2">
      <c r="A25" s="271" t="s">
        <v>117</v>
      </c>
      <c r="B25" s="272">
        <v>182869472</v>
      </c>
      <c r="C25" s="272">
        <f>-Data!L25</f>
        <v>-837400</v>
      </c>
      <c r="D25" s="272">
        <f t="shared" si="0"/>
        <v>182032072</v>
      </c>
      <c r="E25" s="272">
        <f>-'- 15 -'!H25-'- 16 -'!B25</f>
        <v>-2708895</v>
      </c>
      <c r="F25" s="272">
        <f t="shared" si="1"/>
        <v>179323177</v>
      </c>
    </row>
    <row r="26" spans="1:6" ht="14.1" customHeight="1" x14ac:dyDescent="0.2">
      <c r="A26" s="15" t="s">
        <v>118</v>
      </c>
      <c r="B26" s="16">
        <v>41176957</v>
      </c>
      <c r="C26" s="16">
        <f>-Data!L26</f>
        <v>-7500</v>
      </c>
      <c r="D26" s="16">
        <f t="shared" si="0"/>
        <v>41169457</v>
      </c>
      <c r="E26" s="16">
        <f>-'- 15 -'!H26-'- 16 -'!B26</f>
        <v>-100250</v>
      </c>
      <c r="F26" s="16">
        <f t="shared" si="1"/>
        <v>41069207</v>
      </c>
    </row>
    <row r="27" spans="1:6" ht="14.1" customHeight="1" x14ac:dyDescent="0.2">
      <c r="A27" s="271" t="s">
        <v>119</v>
      </c>
      <c r="B27" s="272">
        <v>44055724</v>
      </c>
      <c r="C27" s="272">
        <f>-Data!L27</f>
        <v>-10300</v>
      </c>
      <c r="D27" s="272">
        <f t="shared" si="0"/>
        <v>44045424</v>
      </c>
      <c r="E27" s="272">
        <f>-'- 15 -'!H27-'- 16 -'!B27</f>
        <v>-57374</v>
      </c>
      <c r="F27" s="272">
        <f t="shared" si="1"/>
        <v>43988050</v>
      </c>
    </row>
    <row r="28" spans="1:6" ht="14.1" customHeight="1" x14ac:dyDescent="0.2">
      <c r="A28" s="15" t="s">
        <v>120</v>
      </c>
      <c r="B28" s="16">
        <v>29045981</v>
      </c>
      <c r="C28" s="16">
        <f>-Data!L28</f>
        <v>-150000</v>
      </c>
      <c r="D28" s="16">
        <f t="shared" si="0"/>
        <v>28895981</v>
      </c>
      <c r="E28" s="16">
        <f>-'- 15 -'!H28-'- 16 -'!B28</f>
        <v>-222705</v>
      </c>
      <c r="F28" s="16">
        <f t="shared" si="1"/>
        <v>28673276</v>
      </c>
    </row>
    <row r="29" spans="1:6" ht="14.1" customHeight="1" x14ac:dyDescent="0.2">
      <c r="A29" s="271" t="s">
        <v>121</v>
      </c>
      <c r="B29" s="272">
        <v>166420961</v>
      </c>
      <c r="C29" s="272">
        <f>-Data!L29</f>
        <v>-2043500</v>
      </c>
      <c r="D29" s="272">
        <f t="shared" si="0"/>
        <v>164377461</v>
      </c>
      <c r="E29" s="272">
        <f>-'- 15 -'!H29-'- 16 -'!B29</f>
        <v>-587886</v>
      </c>
      <c r="F29" s="272">
        <f t="shared" si="1"/>
        <v>163789575</v>
      </c>
    </row>
    <row r="30" spans="1:6" ht="14.1" customHeight="1" x14ac:dyDescent="0.2">
      <c r="A30" s="15" t="s">
        <v>122</v>
      </c>
      <c r="B30" s="16">
        <v>15188554</v>
      </c>
      <c r="C30" s="16">
        <f>-Data!L30</f>
        <v>-41393</v>
      </c>
      <c r="D30" s="16">
        <f t="shared" si="0"/>
        <v>15147161</v>
      </c>
      <c r="E30" s="16">
        <f>-'- 15 -'!H30-'- 16 -'!B30</f>
        <v>-13940</v>
      </c>
      <c r="F30" s="16">
        <f t="shared" si="1"/>
        <v>15133221</v>
      </c>
    </row>
    <row r="31" spans="1:6" ht="14.1" customHeight="1" x14ac:dyDescent="0.2">
      <c r="A31" s="271" t="s">
        <v>123</v>
      </c>
      <c r="B31" s="272">
        <v>38330000</v>
      </c>
      <c r="C31" s="272">
        <f>-Data!L31</f>
        <v>-43000</v>
      </c>
      <c r="D31" s="272">
        <f t="shared" si="0"/>
        <v>38287000</v>
      </c>
      <c r="E31" s="272">
        <f>-'- 15 -'!H31-'- 16 -'!B31</f>
        <v>-46350</v>
      </c>
      <c r="F31" s="272">
        <f t="shared" si="1"/>
        <v>38240650</v>
      </c>
    </row>
    <row r="32" spans="1:6" ht="14.1" customHeight="1" x14ac:dyDescent="0.2">
      <c r="A32" s="15" t="s">
        <v>124</v>
      </c>
      <c r="B32" s="16">
        <v>31549688</v>
      </c>
      <c r="C32" s="16">
        <f>-Data!L32</f>
        <v>-236450</v>
      </c>
      <c r="D32" s="16">
        <f t="shared" si="0"/>
        <v>31313238</v>
      </c>
      <c r="E32" s="16">
        <f>-'- 15 -'!H32-'- 16 -'!B32</f>
        <v>-313607</v>
      </c>
      <c r="F32" s="16">
        <f t="shared" si="1"/>
        <v>30999631</v>
      </c>
    </row>
    <row r="33" spans="1:7" ht="14.1" customHeight="1" x14ac:dyDescent="0.2">
      <c r="A33" s="271" t="s">
        <v>125</v>
      </c>
      <c r="B33" s="272">
        <v>28470600</v>
      </c>
      <c r="C33" s="272">
        <f>-Data!L33</f>
        <v>-96000</v>
      </c>
      <c r="D33" s="272">
        <f t="shared" si="0"/>
        <v>28374600</v>
      </c>
      <c r="E33" s="272">
        <f>-'- 15 -'!H33-'- 16 -'!B33</f>
        <v>-31600</v>
      </c>
      <c r="F33" s="272">
        <f t="shared" si="1"/>
        <v>28343000</v>
      </c>
    </row>
    <row r="34" spans="1:7" ht="14.1" customHeight="1" x14ac:dyDescent="0.2">
      <c r="A34" s="15" t="s">
        <v>126</v>
      </c>
      <c r="B34" s="16">
        <v>31173730</v>
      </c>
      <c r="C34" s="16">
        <f>-Data!L34</f>
        <v>-428804</v>
      </c>
      <c r="D34" s="16">
        <f t="shared" si="0"/>
        <v>30744926</v>
      </c>
      <c r="E34" s="16">
        <f>-'- 15 -'!H34-'- 16 -'!B34</f>
        <v>-59111</v>
      </c>
      <c r="F34" s="16">
        <f t="shared" si="1"/>
        <v>30685815</v>
      </c>
    </row>
    <row r="35" spans="1:7" ht="14.1" customHeight="1" x14ac:dyDescent="0.2">
      <c r="A35" s="271" t="s">
        <v>127</v>
      </c>
      <c r="B35" s="272">
        <v>185266359</v>
      </c>
      <c r="C35" s="272">
        <f>-Data!L35</f>
        <v>-48800</v>
      </c>
      <c r="D35" s="272">
        <f t="shared" si="0"/>
        <v>185217559</v>
      </c>
      <c r="E35" s="272">
        <f>-'- 15 -'!H35-'- 16 -'!B35</f>
        <v>-577290</v>
      </c>
      <c r="F35" s="272">
        <f t="shared" si="1"/>
        <v>184640269</v>
      </c>
    </row>
    <row r="36" spans="1:7" ht="14.1" customHeight="1" x14ac:dyDescent="0.2">
      <c r="A36" s="15" t="s">
        <v>128</v>
      </c>
      <c r="B36" s="16">
        <v>24362755</v>
      </c>
      <c r="C36" s="16">
        <f>-Data!L36</f>
        <v>-388500</v>
      </c>
      <c r="D36" s="16">
        <f t="shared" si="0"/>
        <v>23974255</v>
      </c>
      <c r="E36" s="16">
        <f>-'- 15 -'!H36-'- 16 -'!B36</f>
        <v>-41925</v>
      </c>
      <c r="F36" s="16">
        <f t="shared" si="1"/>
        <v>23932330</v>
      </c>
    </row>
    <row r="37" spans="1:7" ht="14.1" customHeight="1" x14ac:dyDescent="0.2">
      <c r="A37" s="271" t="s">
        <v>129</v>
      </c>
      <c r="B37" s="272">
        <v>52571000</v>
      </c>
      <c r="C37" s="272">
        <f>-Data!L37</f>
        <v>-440000</v>
      </c>
      <c r="D37" s="272">
        <f t="shared" si="0"/>
        <v>52131000</v>
      </c>
      <c r="E37" s="272">
        <f>-'- 15 -'!H37-'- 16 -'!B37</f>
        <v>-369424</v>
      </c>
      <c r="F37" s="272">
        <f t="shared" si="1"/>
        <v>51761576</v>
      </c>
    </row>
    <row r="38" spans="1:7" ht="14.1" customHeight="1" x14ac:dyDescent="0.2">
      <c r="A38" s="15" t="s">
        <v>130</v>
      </c>
      <c r="B38" s="16">
        <v>142447460</v>
      </c>
      <c r="C38" s="16">
        <f>-Data!L38</f>
        <v>-1233200</v>
      </c>
      <c r="D38" s="16">
        <f t="shared" si="0"/>
        <v>141214260</v>
      </c>
      <c r="E38" s="16">
        <f>-'- 15 -'!H38-'- 16 -'!B38</f>
        <v>-2963200</v>
      </c>
      <c r="F38" s="16">
        <f t="shared" si="1"/>
        <v>138251060</v>
      </c>
    </row>
    <row r="39" spans="1:7" ht="14.1" customHeight="1" x14ac:dyDescent="0.2">
      <c r="A39" s="271" t="s">
        <v>131</v>
      </c>
      <c r="B39" s="272">
        <v>23475550</v>
      </c>
      <c r="C39" s="272">
        <f>-Data!L39</f>
        <v>-205000</v>
      </c>
      <c r="D39" s="272">
        <f t="shared" si="0"/>
        <v>23270550</v>
      </c>
      <c r="E39" s="272">
        <f>-'- 15 -'!H39-'- 16 -'!B39</f>
        <v>-153900</v>
      </c>
      <c r="F39" s="272">
        <f t="shared" si="1"/>
        <v>23116650</v>
      </c>
    </row>
    <row r="40" spans="1:7" ht="14.1" customHeight="1" x14ac:dyDescent="0.2">
      <c r="A40" s="15" t="s">
        <v>132</v>
      </c>
      <c r="B40" s="16">
        <v>108289892</v>
      </c>
      <c r="C40" s="16">
        <f>-Data!L40</f>
        <v>-489000</v>
      </c>
      <c r="D40" s="16">
        <f t="shared" si="0"/>
        <v>107800892</v>
      </c>
      <c r="E40" s="16">
        <f>-'- 15 -'!H40-'- 16 -'!B40</f>
        <v>-1042180</v>
      </c>
      <c r="F40" s="16">
        <f t="shared" si="1"/>
        <v>106758712</v>
      </c>
    </row>
    <row r="41" spans="1:7" ht="14.1" customHeight="1" x14ac:dyDescent="0.2">
      <c r="A41" s="271" t="s">
        <v>133</v>
      </c>
      <c r="B41" s="272">
        <v>65309095</v>
      </c>
      <c r="C41" s="272">
        <f>-Data!L41</f>
        <v>-724000</v>
      </c>
      <c r="D41" s="272">
        <f t="shared" si="0"/>
        <v>64585095</v>
      </c>
      <c r="E41" s="272">
        <f>-'- 15 -'!H41-'- 16 -'!B41</f>
        <v>-1299865</v>
      </c>
      <c r="F41" s="272">
        <f t="shared" si="1"/>
        <v>63285230</v>
      </c>
    </row>
    <row r="42" spans="1:7" ht="14.1" customHeight="1" x14ac:dyDescent="0.2">
      <c r="A42" s="15" t="s">
        <v>134</v>
      </c>
      <c r="B42" s="16">
        <v>21515516</v>
      </c>
      <c r="C42" s="16">
        <f>-Data!L42</f>
        <v>-62600</v>
      </c>
      <c r="D42" s="16">
        <f t="shared" si="0"/>
        <v>21452916</v>
      </c>
      <c r="E42" s="16">
        <f>-'- 15 -'!H42-'- 16 -'!B42</f>
        <v>-64656</v>
      </c>
      <c r="F42" s="16">
        <f t="shared" si="1"/>
        <v>21388260</v>
      </c>
    </row>
    <row r="43" spans="1:7" ht="14.1" customHeight="1" x14ac:dyDescent="0.2">
      <c r="A43" s="271" t="s">
        <v>135</v>
      </c>
      <c r="B43" s="272">
        <v>13695206</v>
      </c>
      <c r="C43" s="272">
        <f>-Data!L43</f>
        <v>-26000</v>
      </c>
      <c r="D43" s="272">
        <f t="shared" si="0"/>
        <v>13669206</v>
      </c>
      <c r="E43" s="272">
        <f>-'- 15 -'!H43-'- 16 -'!B43</f>
        <v>-247008</v>
      </c>
      <c r="F43" s="272">
        <f t="shared" si="1"/>
        <v>13422198</v>
      </c>
    </row>
    <row r="44" spans="1:7" ht="14.1" customHeight="1" x14ac:dyDescent="0.2">
      <c r="A44" s="15" t="s">
        <v>136</v>
      </c>
      <c r="B44" s="16">
        <v>11463366</v>
      </c>
      <c r="C44" s="16">
        <f>-Data!L44</f>
        <v>-183342</v>
      </c>
      <c r="D44" s="16">
        <f t="shared" si="0"/>
        <v>11280024</v>
      </c>
      <c r="E44" s="16">
        <f>-'- 15 -'!H44-'- 16 -'!B44</f>
        <v>-39500</v>
      </c>
      <c r="F44" s="16">
        <f t="shared" si="1"/>
        <v>11240524</v>
      </c>
    </row>
    <row r="45" spans="1:7" ht="14.1" customHeight="1" x14ac:dyDescent="0.2">
      <c r="A45" s="271" t="s">
        <v>137</v>
      </c>
      <c r="B45" s="272">
        <v>20489337</v>
      </c>
      <c r="C45" s="272">
        <f>-Data!L45</f>
        <v>-262750</v>
      </c>
      <c r="D45" s="272">
        <f t="shared" si="0"/>
        <v>20226587</v>
      </c>
      <c r="E45" s="272">
        <f>-'- 15 -'!H45-'- 16 -'!B45</f>
        <v>-461446</v>
      </c>
      <c r="F45" s="272">
        <f t="shared" si="1"/>
        <v>19765141</v>
      </c>
    </row>
    <row r="46" spans="1:7" ht="14.1" customHeight="1" x14ac:dyDescent="0.2">
      <c r="A46" s="15" t="s">
        <v>138</v>
      </c>
      <c r="B46" s="16">
        <v>405049500</v>
      </c>
      <c r="C46" s="16">
        <f>-Data!L46</f>
        <v>-2585800</v>
      </c>
      <c r="D46" s="16">
        <f t="shared" si="0"/>
        <v>402463700</v>
      </c>
      <c r="E46" s="16">
        <f>-'- 15 -'!H46-'- 16 -'!B46</f>
        <v>-10804200</v>
      </c>
      <c r="F46" s="16">
        <f t="shared" si="1"/>
        <v>391659500</v>
      </c>
    </row>
    <row r="47" spans="1:7" ht="5.0999999999999996" customHeight="1" x14ac:dyDescent="0.2">
      <c r="A47"/>
      <c r="B47"/>
      <c r="C47"/>
      <c r="D47"/>
      <c r="E47"/>
      <c r="F47"/>
      <c r="G47"/>
    </row>
    <row r="48" spans="1:7" ht="14.1" customHeight="1" x14ac:dyDescent="0.2">
      <c r="A48" s="274" t="s">
        <v>139</v>
      </c>
      <c r="B48" s="275">
        <f>SUM(B11:B46)</f>
        <v>2392196601</v>
      </c>
      <c r="C48" s="275">
        <f>SUM(C11:C46)</f>
        <v>-19899552</v>
      </c>
      <c r="D48" s="275">
        <f>SUM(D11:D46)</f>
        <v>2372297049</v>
      </c>
      <c r="E48" s="275">
        <f>SUM(E11:E46)</f>
        <v>-32315442</v>
      </c>
      <c r="F48" s="275">
        <f>SUM(F11:F46)</f>
        <v>2339981607</v>
      </c>
    </row>
    <row r="49" spans="1:6" ht="5.0999999999999996" customHeight="1" x14ac:dyDescent="0.2">
      <c r="A49" s="17" t="s">
        <v>1</v>
      </c>
      <c r="B49" s="18"/>
      <c r="C49" s="18"/>
      <c r="D49" s="18"/>
      <c r="E49" s="18"/>
      <c r="F49" s="18"/>
    </row>
    <row r="50" spans="1:6" ht="14.1" customHeight="1" x14ac:dyDescent="0.2">
      <c r="A50" s="15" t="s">
        <v>140</v>
      </c>
      <c r="B50" s="16">
        <v>3566700</v>
      </c>
      <c r="C50" s="16">
        <f>-Data!L50</f>
        <v>-6940</v>
      </c>
      <c r="D50" s="16">
        <f>B50+C50</f>
        <v>3559760</v>
      </c>
      <c r="E50" s="16">
        <f>-'- 15 -'!H50-'- 16 -'!B50</f>
        <v>-192618</v>
      </c>
      <c r="F50" s="16">
        <f>D50+E50</f>
        <v>3367142</v>
      </c>
    </row>
    <row r="51" spans="1:6" ht="14.1" customHeight="1" x14ac:dyDescent="0.2">
      <c r="A51" s="360" t="s">
        <v>516</v>
      </c>
      <c r="B51" s="272">
        <v>30780545</v>
      </c>
      <c r="C51" s="272">
        <f>-Data!L51</f>
        <v>-172472</v>
      </c>
      <c r="D51" s="272">
        <f>B51+C51</f>
        <v>30608073</v>
      </c>
      <c r="E51" s="272">
        <f>-'- 15 -'!H51-'- 16 -'!B51</f>
        <v>-12599580</v>
      </c>
      <c r="F51" s="272">
        <f>D51+E51</f>
        <v>18008493</v>
      </c>
    </row>
    <row r="52" spans="1:6" ht="50.1" customHeight="1" x14ac:dyDescent="0.2">
      <c r="A52" s="19"/>
      <c r="B52" s="19"/>
      <c r="C52" s="19"/>
      <c r="D52" s="19"/>
      <c r="E52" s="19"/>
      <c r="F52" s="19"/>
    </row>
    <row r="53" spans="1:6" ht="15" customHeight="1" x14ac:dyDescent="0.2">
      <c r="A53" s="2" t="s">
        <v>323</v>
      </c>
      <c r="B53" s="20"/>
      <c r="C53" s="20"/>
      <c r="D53" s="20"/>
      <c r="E53" s="20"/>
      <c r="F53" s="20"/>
    </row>
    <row r="54" spans="1:6" ht="12" customHeight="1" x14ac:dyDescent="0.2">
      <c r="A54" s="427" t="s">
        <v>324</v>
      </c>
      <c r="B54" s="20"/>
      <c r="C54" s="20"/>
      <c r="D54" s="20"/>
      <c r="E54" s="20"/>
      <c r="F54" s="20"/>
    </row>
    <row r="55" spans="1:6" ht="12" customHeight="1" x14ac:dyDescent="0.2">
      <c r="A55" s="356" t="s">
        <v>357</v>
      </c>
      <c r="B55" s="20"/>
      <c r="C55" s="20"/>
      <c r="D55" s="20"/>
      <c r="E55" s="20"/>
      <c r="F55" s="20"/>
    </row>
    <row r="56" spans="1:6" ht="12" customHeight="1" x14ac:dyDescent="0.2">
      <c r="A56" s="427" t="s">
        <v>325</v>
      </c>
      <c r="B56" s="20"/>
      <c r="C56" s="20"/>
      <c r="D56" s="20"/>
      <c r="E56" s="20"/>
      <c r="F56" s="20"/>
    </row>
    <row r="57" spans="1:6" ht="12" customHeight="1" x14ac:dyDescent="0.2">
      <c r="A57" s="427" t="s">
        <v>326</v>
      </c>
    </row>
    <row r="58" spans="1:6" ht="12" customHeight="1" x14ac:dyDescent="0.2">
      <c r="A58" s="427" t="s">
        <v>327</v>
      </c>
    </row>
    <row r="59" spans="1:6" ht="14.45" customHeight="1" x14ac:dyDescent="0.2"/>
    <row r="64" spans="1:6" x14ac:dyDescent="0.2">
      <c r="B64" s="1">
        <v>0</v>
      </c>
    </row>
    <row r="65536" spans="2:2" x14ac:dyDescent="0.2">
      <c r="B65536" s="1">
        <v>0</v>
      </c>
    </row>
  </sheetData>
  <mergeCells count="5">
    <mergeCell ref="C6:C9"/>
    <mergeCell ref="D6:D9"/>
    <mergeCell ref="E6:E9"/>
    <mergeCell ref="F6:F9"/>
    <mergeCell ref="B8:B9"/>
  </mergeCells>
  <phoneticPr fontId="0" type="noConversion"/>
  <printOptions horizontalCentered="1"/>
  <pageMargins left="0.5" right="0.5" top="0.6" bottom="0" header="0.3" footer="0"/>
  <pageSetup scale="90" orientation="portrait" horizontalDpi="1200" verticalDpi="1200" r:id="rId1"/>
  <headerFooter alignWithMargins="0">
    <oddHeader>&amp;C&amp;"Arial,Bold"&amp;10&amp;A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59"/>
  <sheetViews>
    <sheetView showGridLines="0" showZeros="0" workbookViewId="0"/>
  </sheetViews>
  <sheetFormatPr defaultColWidth="15.83203125" defaultRowHeight="12" x14ac:dyDescent="0.2"/>
  <cols>
    <col min="1" max="1" width="29.33203125" style="1" customWidth="1"/>
    <col min="2" max="2" width="12.83203125" style="1" customWidth="1"/>
    <col min="3" max="3" width="8.83203125" style="1" customWidth="1"/>
    <col min="4" max="4" width="16.83203125" style="1" customWidth="1"/>
    <col min="5" max="5" width="8.83203125" style="1" customWidth="1"/>
    <col min="6" max="6" width="16.1640625" style="1" customWidth="1"/>
    <col min="7" max="7" width="8.83203125" style="1" customWidth="1"/>
    <col min="8" max="8" width="15.33203125" style="1" customWidth="1"/>
    <col min="9" max="9" width="8.83203125" style="1" customWidth="1"/>
    <col min="10" max="16384" width="15.83203125" style="1"/>
  </cols>
  <sheetData>
    <row r="1" spans="1:9" ht="6.95" customHeight="1" x14ac:dyDescent="0.2">
      <c r="A1" s="3"/>
      <c r="B1" s="4"/>
      <c r="C1" s="4"/>
      <c r="D1" s="4"/>
      <c r="E1" s="4"/>
      <c r="F1" s="4"/>
      <c r="G1" s="4"/>
      <c r="H1" s="4"/>
      <c r="I1" s="4"/>
    </row>
    <row r="2" spans="1:9" ht="15.95" customHeight="1" x14ac:dyDescent="0.2">
      <c r="A2" s="132"/>
      <c r="B2" s="5" t="str">
        <f>AEXP_BP</f>
        <v>ANALYSIS OF EXPENSE BY PROGRAM</v>
      </c>
      <c r="C2" s="6"/>
      <c r="D2" s="6"/>
      <c r="E2" s="6"/>
      <c r="F2" s="6"/>
      <c r="G2" s="85"/>
      <c r="H2" s="85"/>
      <c r="I2" s="503" t="s">
        <v>530</v>
      </c>
    </row>
    <row r="3" spans="1:9" ht="15.95" customHeight="1" x14ac:dyDescent="0.2">
      <c r="A3" s="135"/>
      <c r="B3" s="7" t="str">
        <f>OPYEAR</f>
        <v>OPERATING FUND 2017/2018 BUDGET</v>
      </c>
      <c r="C3" s="8"/>
      <c r="D3" s="8"/>
      <c r="E3" s="8"/>
      <c r="F3" s="8"/>
      <c r="G3" s="87"/>
      <c r="H3" s="87"/>
      <c r="I3" s="81"/>
    </row>
    <row r="4" spans="1:9" ht="15.95" customHeight="1" x14ac:dyDescent="0.2">
      <c r="B4" s="4"/>
      <c r="C4" s="4"/>
      <c r="D4" s="4"/>
      <c r="E4" s="4"/>
      <c r="F4" s="4"/>
      <c r="G4" s="4"/>
      <c r="H4" s="4"/>
      <c r="I4" s="4"/>
    </row>
    <row r="5" spans="1:9" ht="15.95" customHeight="1" x14ac:dyDescent="0.2">
      <c r="B5" s="679" t="s">
        <v>7</v>
      </c>
      <c r="C5" s="680"/>
      <c r="D5" s="669"/>
      <c r="E5" s="669"/>
      <c r="F5" s="669"/>
      <c r="G5" s="669"/>
      <c r="H5" s="669"/>
      <c r="I5" s="670"/>
    </row>
    <row r="6" spans="1:9" ht="15.95" customHeight="1" x14ac:dyDescent="0.2">
      <c r="B6" s="504"/>
      <c r="C6" s="505"/>
      <c r="D6" s="630" t="s">
        <v>416</v>
      </c>
      <c r="E6" s="621"/>
      <c r="F6" s="301"/>
      <c r="G6" s="302"/>
      <c r="H6" s="268"/>
      <c r="I6" s="270"/>
    </row>
    <row r="7" spans="1:9" ht="15.95" customHeight="1" x14ac:dyDescent="0.2">
      <c r="B7" s="681" t="s">
        <v>414</v>
      </c>
      <c r="C7" s="682"/>
      <c r="D7" s="685"/>
      <c r="E7" s="686"/>
      <c r="F7" s="687" t="s">
        <v>417</v>
      </c>
      <c r="G7" s="686"/>
      <c r="H7" s="687" t="s">
        <v>418</v>
      </c>
      <c r="I7" s="686"/>
    </row>
    <row r="8" spans="1:9" ht="15.95" customHeight="1" x14ac:dyDescent="0.2">
      <c r="A8" s="249"/>
      <c r="B8" s="683"/>
      <c r="C8" s="684"/>
      <c r="D8" s="631"/>
      <c r="E8" s="623"/>
      <c r="F8" s="622"/>
      <c r="G8" s="623"/>
      <c r="H8" s="622"/>
      <c r="I8" s="623"/>
    </row>
    <row r="9" spans="1:9" ht="15.95" customHeight="1" x14ac:dyDescent="0.2">
      <c r="A9" s="27" t="s">
        <v>37</v>
      </c>
      <c r="B9" s="89" t="s">
        <v>38</v>
      </c>
      <c r="C9" s="89" t="s">
        <v>39</v>
      </c>
      <c r="D9" s="151" t="s">
        <v>38</v>
      </c>
      <c r="E9" s="151" t="s">
        <v>39</v>
      </c>
      <c r="F9" s="151" t="s">
        <v>38</v>
      </c>
      <c r="G9" s="151" t="s">
        <v>39</v>
      </c>
      <c r="H9" s="151" t="s">
        <v>38</v>
      </c>
      <c r="I9" s="151" t="s">
        <v>39</v>
      </c>
    </row>
    <row r="10" spans="1:9" ht="5.0999999999999996" customHeight="1" x14ac:dyDescent="0.2">
      <c r="A10" s="29"/>
    </row>
    <row r="11" spans="1:9" ht="14.1" customHeight="1" x14ac:dyDescent="0.2">
      <c r="A11" s="271" t="s">
        <v>104</v>
      </c>
      <c r="B11" s="272">
        <v>0</v>
      </c>
      <c r="C11" s="273">
        <f>B11/'- 3 -'!$D11*100</f>
        <v>0</v>
      </c>
      <c r="D11" s="272">
        <v>0</v>
      </c>
      <c r="E11" s="273">
        <f>D11/'- 3 -'!$D11*100</f>
        <v>0</v>
      </c>
      <c r="F11" s="272">
        <v>0</v>
      </c>
      <c r="G11" s="273">
        <f>F11/'- 3 -'!$D11*100</f>
        <v>0</v>
      </c>
      <c r="H11" s="272">
        <v>25500</v>
      </c>
      <c r="I11" s="273">
        <f>H11/'- 3 -'!$D11*100</f>
        <v>0.12640900182792372</v>
      </c>
    </row>
    <row r="12" spans="1:9" ht="14.1" customHeight="1" x14ac:dyDescent="0.2">
      <c r="A12" s="15" t="s">
        <v>105</v>
      </c>
      <c r="B12" s="16">
        <v>0</v>
      </c>
      <c r="C12" s="267">
        <f>B12/'- 3 -'!$D12*100</f>
        <v>0</v>
      </c>
      <c r="D12" s="16">
        <v>0</v>
      </c>
      <c r="E12" s="267">
        <f>D12/'- 3 -'!$D12*100</f>
        <v>0</v>
      </c>
      <c r="F12" s="16">
        <v>0</v>
      </c>
      <c r="G12" s="267">
        <f>F12/'- 3 -'!$D12*100</f>
        <v>0</v>
      </c>
      <c r="H12" s="16">
        <v>68595</v>
      </c>
      <c r="I12" s="267">
        <f>H12/'- 3 -'!$D12*100</f>
        <v>0.19580867527060178</v>
      </c>
    </row>
    <row r="13" spans="1:9" ht="14.1" customHeight="1" x14ac:dyDescent="0.2">
      <c r="A13" s="271" t="s">
        <v>106</v>
      </c>
      <c r="B13" s="272">
        <v>0</v>
      </c>
      <c r="C13" s="273">
        <f>B13/'- 3 -'!$D13*100</f>
        <v>0</v>
      </c>
      <c r="D13" s="272">
        <v>0</v>
      </c>
      <c r="E13" s="273">
        <f>D13/'- 3 -'!$D13*100</f>
        <v>0</v>
      </c>
      <c r="F13" s="272">
        <v>145300</v>
      </c>
      <c r="G13" s="273">
        <f>F13/'- 3 -'!$D13*100</f>
        <v>0.14267198208990395</v>
      </c>
      <c r="H13" s="272">
        <v>215300</v>
      </c>
      <c r="I13" s="273">
        <f>H13/'- 3 -'!$D13*100</f>
        <v>0.21140590326191555</v>
      </c>
    </row>
    <row r="14" spans="1:9" ht="14.1" customHeight="1" x14ac:dyDescent="0.2">
      <c r="A14" s="15" t="s">
        <v>315</v>
      </c>
      <c r="B14" s="16">
        <v>0</v>
      </c>
      <c r="C14" s="267">
        <f>B14/'- 3 -'!$D14*100</f>
        <v>0</v>
      </c>
      <c r="D14" s="16">
        <v>0</v>
      </c>
      <c r="E14" s="267">
        <f>D14/'- 3 -'!$D14*100</f>
        <v>0</v>
      </c>
      <c r="F14" s="16">
        <v>0</v>
      </c>
      <c r="G14" s="267">
        <f>F14/'- 3 -'!$D14*100</f>
        <v>0</v>
      </c>
      <c r="H14" s="16">
        <v>1548606</v>
      </c>
      <c r="I14" s="267">
        <f>H14/'- 3 -'!$D14*100</f>
        <v>1.7154232233774127</v>
      </c>
    </row>
    <row r="15" spans="1:9" ht="14.1" customHeight="1" x14ac:dyDescent="0.2">
      <c r="A15" s="271" t="s">
        <v>107</v>
      </c>
      <c r="B15" s="272">
        <v>0</v>
      </c>
      <c r="C15" s="273">
        <f>B15/'- 3 -'!$D15*100</f>
        <v>0</v>
      </c>
      <c r="D15" s="272">
        <v>0</v>
      </c>
      <c r="E15" s="273">
        <f>D15/'- 3 -'!$D15*100</f>
        <v>0</v>
      </c>
      <c r="F15" s="272">
        <v>0</v>
      </c>
      <c r="G15" s="273">
        <f>F15/'- 3 -'!$D15*100</f>
        <v>0</v>
      </c>
      <c r="H15" s="272">
        <v>76500</v>
      </c>
      <c r="I15" s="273">
        <f>H15/'- 3 -'!$D15*100</f>
        <v>0.36931479698113878</v>
      </c>
    </row>
    <row r="16" spans="1:9" ht="14.1" customHeight="1" x14ac:dyDescent="0.2">
      <c r="A16" s="15" t="s">
        <v>108</v>
      </c>
      <c r="B16" s="16">
        <v>0</v>
      </c>
      <c r="C16" s="267">
        <f>B16/'- 3 -'!$D16*100</f>
        <v>0</v>
      </c>
      <c r="D16" s="16">
        <v>0</v>
      </c>
      <c r="E16" s="267">
        <f>D16/'- 3 -'!$D16*100</f>
        <v>0</v>
      </c>
      <c r="F16" s="16">
        <v>0</v>
      </c>
      <c r="G16" s="267">
        <f>F16/'- 3 -'!$D16*100</f>
        <v>0</v>
      </c>
      <c r="H16" s="16">
        <v>11390</v>
      </c>
      <c r="I16" s="267">
        <f>H16/'- 3 -'!$D16*100</f>
        <v>7.7007349705857625E-2</v>
      </c>
    </row>
    <row r="17" spans="1:9" ht="14.1" customHeight="1" x14ac:dyDescent="0.2">
      <c r="A17" s="271" t="s">
        <v>109</v>
      </c>
      <c r="B17" s="272">
        <v>0</v>
      </c>
      <c r="C17" s="273">
        <f>B17/'- 3 -'!$D17*100</f>
        <v>0</v>
      </c>
      <c r="D17" s="272">
        <v>0</v>
      </c>
      <c r="E17" s="273">
        <f>D17/'- 3 -'!$D17*100</f>
        <v>0</v>
      </c>
      <c r="F17" s="272">
        <v>80270</v>
      </c>
      <c r="G17" s="273">
        <f>F17/'- 3 -'!$D17*100</f>
        <v>0.42924293567302368</v>
      </c>
      <c r="H17" s="272">
        <v>289600</v>
      </c>
      <c r="I17" s="273">
        <f>H17/'- 3 -'!$D17*100</f>
        <v>1.548632791465151</v>
      </c>
    </row>
    <row r="18" spans="1:9" ht="14.1" customHeight="1" x14ac:dyDescent="0.2">
      <c r="A18" s="15" t="s">
        <v>110</v>
      </c>
      <c r="B18" s="16">
        <v>0</v>
      </c>
      <c r="C18" s="267">
        <f>B18/'- 3 -'!$D18*100</f>
        <v>0</v>
      </c>
      <c r="D18" s="16">
        <v>0</v>
      </c>
      <c r="E18" s="267">
        <f>D18/'- 3 -'!$D18*100</f>
        <v>0</v>
      </c>
      <c r="F18" s="16">
        <v>810770</v>
      </c>
      <c r="G18" s="267">
        <f>F18/'- 3 -'!$D18*100</f>
        <v>0.61537840789218157</v>
      </c>
      <c r="H18" s="16">
        <v>1146538</v>
      </c>
      <c r="I18" s="267">
        <f>H18/'- 3 -'!$D18*100</f>
        <v>0.8702279672754123</v>
      </c>
    </row>
    <row r="19" spans="1:9" ht="14.1" customHeight="1" x14ac:dyDescent="0.2">
      <c r="A19" s="271" t="s">
        <v>111</v>
      </c>
      <c r="B19" s="272">
        <v>0</v>
      </c>
      <c r="C19" s="273">
        <f>B19/'- 3 -'!$D19*100</f>
        <v>0</v>
      </c>
      <c r="D19" s="272">
        <v>0</v>
      </c>
      <c r="E19" s="273">
        <f>D19/'- 3 -'!$D19*100</f>
        <v>0</v>
      </c>
      <c r="F19" s="272">
        <v>0</v>
      </c>
      <c r="G19" s="273">
        <f>F19/'- 3 -'!$D19*100</f>
        <v>0</v>
      </c>
      <c r="H19" s="272">
        <v>68300</v>
      </c>
      <c r="I19" s="273">
        <f>H19/'- 3 -'!$D19*100</f>
        <v>0.14015225130993619</v>
      </c>
    </row>
    <row r="20" spans="1:9" ht="14.1" customHeight="1" x14ac:dyDescent="0.2">
      <c r="A20" s="15" t="s">
        <v>112</v>
      </c>
      <c r="B20" s="16">
        <v>0</v>
      </c>
      <c r="C20" s="267">
        <f>B20/'- 3 -'!$D20*100</f>
        <v>0</v>
      </c>
      <c r="D20" s="16">
        <v>0</v>
      </c>
      <c r="E20" s="267">
        <f>D20/'- 3 -'!$D20*100</f>
        <v>0</v>
      </c>
      <c r="F20" s="16">
        <v>0</v>
      </c>
      <c r="G20" s="267">
        <f>F20/'- 3 -'!$D20*100</f>
        <v>0</v>
      </c>
      <c r="H20" s="16">
        <v>158200</v>
      </c>
      <c r="I20" s="267">
        <f>H20/'- 3 -'!$D20*100</f>
        <v>0.18633950067609908</v>
      </c>
    </row>
    <row r="21" spans="1:9" ht="14.1" customHeight="1" x14ac:dyDescent="0.2">
      <c r="A21" s="271" t="s">
        <v>113</v>
      </c>
      <c r="B21" s="272">
        <v>167000</v>
      </c>
      <c r="C21" s="273">
        <f>B21/'- 3 -'!$D21*100</f>
        <v>0.44965723732747437</v>
      </c>
      <c r="D21" s="272">
        <v>0</v>
      </c>
      <c r="E21" s="273">
        <f>D21/'- 3 -'!$D21*100</f>
        <v>0</v>
      </c>
      <c r="F21" s="272">
        <v>0</v>
      </c>
      <c r="G21" s="273">
        <f>F21/'- 3 -'!$D21*100</f>
        <v>0</v>
      </c>
      <c r="H21" s="272">
        <v>98000</v>
      </c>
      <c r="I21" s="273">
        <f>H21/'- 3 -'!$D21*100</f>
        <v>0.26387071412031426</v>
      </c>
    </row>
    <row r="22" spans="1:9" ht="14.1" customHeight="1" x14ac:dyDescent="0.2">
      <c r="A22" s="15" t="s">
        <v>114</v>
      </c>
      <c r="B22" s="16">
        <v>0</v>
      </c>
      <c r="C22" s="267">
        <f>B22/'- 3 -'!$D22*100</f>
        <v>0</v>
      </c>
      <c r="D22" s="16">
        <v>0</v>
      </c>
      <c r="E22" s="267">
        <f>D22/'- 3 -'!$D22*100</f>
        <v>0</v>
      </c>
      <c r="F22" s="16">
        <v>86315</v>
      </c>
      <c r="G22" s="267">
        <f>F22/'- 3 -'!$D22*100</f>
        <v>0.40484719088159266</v>
      </c>
      <c r="H22" s="16">
        <v>0</v>
      </c>
      <c r="I22" s="267">
        <f>H22/'- 3 -'!$D22*100</f>
        <v>0</v>
      </c>
    </row>
    <row r="23" spans="1:9" ht="14.1" customHeight="1" x14ac:dyDescent="0.2">
      <c r="A23" s="271" t="s">
        <v>115</v>
      </c>
      <c r="B23" s="272">
        <v>129330</v>
      </c>
      <c r="C23" s="273">
        <f>B23/'- 3 -'!$D23*100</f>
        <v>0.76823689424865416</v>
      </c>
      <c r="D23" s="272">
        <v>0</v>
      </c>
      <c r="E23" s="273">
        <f>D23/'- 3 -'!$D23*100</f>
        <v>0</v>
      </c>
      <c r="F23" s="272">
        <v>120000</v>
      </c>
      <c r="G23" s="273">
        <f>F23/'- 3 -'!$D23*100</f>
        <v>0.71281548990828503</v>
      </c>
      <c r="H23" s="272">
        <v>40000</v>
      </c>
      <c r="I23" s="273">
        <f>H23/'- 3 -'!$D23*100</f>
        <v>0.23760516330276166</v>
      </c>
    </row>
    <row r="24" spans="1:9" ht="14.1" customHeight="1" x14ac:dyDescent="0.2">
      <c r="A24" s="15" t="s">
        <v>116</v>
      </c>
      <c r="B24" s="16">
        <v>190845</v>
      </c>
      <c r="C24" s="267">
        <f>B24/'- 3 -'!$D24*100</f>
        <v>0.32668104180791546</v>
      </c>
      <c r="D24" s="16">
        <v>0</v>
      </c>
      <c r="E24" s="267">
        <f>D24/'- 3 -'!$D24*100</f>
        <v>0</v>
      </c>
      <c r="F24" s="16">
        <v>235465</v>
      </c>
      <c r="G24" s="267">
        <f>F24/'- 3 -'!$D24*100</f>
        <v>0.40305982084571679</v>
      </c>
      <c r="H24" s="16">
        <v>0</v>
      </c>
      <c r="I24" s="267">
        <f>H24/'- 3 -'!$D24*100</f>
        <v>0</v>
      </c>
    </row>
    <row r="25" spans="1:9" ht="14.1" customHeight="1" x14ac:dyDescent="0.2">
      <c r="A25" s="271" t="s">
        <v>117</v>
      </c>
      <c r="B25" s="272">
        <v>351379</v>
      </c>
      <c r="C25" s="273">
        <f>B25/'- 3 -'!$D25*100</f>
        <v>0.19303136867002207</v>
      </c>
      <c r="D25" s="272">
        <v>0</v>
      </c>
      <c r="E25" s="273">
        <f>D25/'- 3 -'!$D25*100</f>
        <v>0</v>
      </c>
      <c r="F25" s="272">
        <v>665582</v>
      </c>
      <c r="G25" s="273">
        <f>F25/'- 3 -'!$D25*100</f>
        <v>0.36563996261054482</v>
      </c>
      <c r="H25" s="272">
        <v>1074124</v>
      </c>
      <c r="I25" s="273">
        <f>H25/'- 3 -'!$D25*100</f>
        <v>0.59007403926051005</v>
      </c>
    </row>
    <row r="26" spans="1:9" ht="14.1" customHeight="1" x14ac:dyDescent="0.2">
      <c r="A26" s="15" t="s">
        <v>118</v>
      </c>
      <c r="B26" s="16">
        <v>0</v>
      </c>
      <c r="C26" s="267">
        <f>B26/'- 3 -'!$D26*100</f>
        <v>0</v>
      </c>
      <c r="D26" s="16">
        <v>0</v>
      </c>
      <c r="E26" s="267">
        <f>D26/'- 3 -'!$D26*100</f>
        <v>0</v>
      </c>
      <c r="F26" s="16">
        <v>0</v>
      </c>
      <c r="G26" s="267">
        <f>F26/'- 3 -'!$D26*100</f>
        <v>0</v>
      </c>
      <c r="H26" s="16">
        <v>100250</v>
      </c>
      <c r="I26" s="267">
        <f>H26/'- 3 -'!$D26*100</f>
        <v>0.24350576205073582</v>
      </c>
    </row>
    <row r="27" spans="1:9" ht="14.1" customHeight="1" x14ac:dyDescent="0.2">
      <c r="A27" s="271" t="s">
        <v>119</v>
      </c>
      <c r="B27" s="272">
        <v>0</v>
      </c>
      <c r="C27" s="273">
        <f>B27/'- 3 -'!$D27*100</f>
        <v>0</v>
      </c>
      <c r="D27" s="272">
        <v>0</v>
      </c>
      <c r="E27" s="273">
        <f>D27/'- 3 -'!$D27*100</f>
        <v>0</v>
      </c>
      <c r="F27" s="272">
        <v>0</v>
      </c>
      <c r="G27" s="273">
        <f>F27/'- 3 -'!$D27*100</f>
        <v>0</v>
      </c>
      <c r="H27" s="272">
        <v>57374</v>
      </c>
      <c r="I27" s="273">
        <f>H27/'- 3 -'!$D27*100</f>
        <v>0.1302609778486864</v>
      </c>
    </row>
    <row r="28" spans="1:9" ht="14.1" customHeight="1" x14ac:dyDescent="0.2">
      <c r="A28" s="15" t="s">
        <v>120</v>
      </c>
      <c r="B28" s="16">
        <v>0</v>
      </c>
      <c r="C28" s="267">
        <f>B28/'- 3 -'!$D28*100</f>
        <v>0</v>
      </c>
      <c r="D28" s="16">
        <v>0</v>
      </c>
      <c r="E28" s="267">
        <f>D28/'- 3 -'!$D28*100</f>
        <v>0</v>
      </c>
      <c r="F28" s="16">
        <v>0</v>
      </c>
      <c r="G28" s="267">
        <f>F28/'- 3 -'!$D28*100</f>
        <v>0</v>
      </c>
      <c r="H28" s="16">
        <v>107293</v>
      </c>
      <c r="I28" s="267">
        <f>H28/'- 3 -'!$D28*100</f>
        <v>0.37130769154367865</v>
      </c>
    </row>
    <row r="29" spans="1:9" ht="14.1" customHeight="1" x14ac:dyDescent="0.2">
      <c r="A29" s="271" t="s">
        <v>121</v>
      </c>
      <c r="B29" s="272">
        <v>0</v>
      </c>
      <c r="C29" s="273">
        <f>B29/'- 3 -'!$D29*100</f>
        <v>0</v>
      </c>
      <c r="D29" s="272">
        <v>0</v>
      </c>
      <c r="E29" s="273">
        <f>D29/'- 3 -'!$D29*100</f>
        <v>0</v>
      </c>
      <c r="F29" s="272">
        <v>242446</v>
      </c>
      <c r="G29" s="273">
        <f>F29/'- 3 -'!$D29*100</f>
        <v>0.14749345714738835</v>
      </c>
      <c r="H29" s="272">
        <v>345440</v>
      </c>
      <c r="I29" s="273">
        <f>H29/'- 3 -'!$D29*100</f>
        <v>0.21015046582329192</v>
      </c>
    </row>
    <row r="30" spans="1:9" ht="14.1" customHeight="1" x14ac:dyDescent="0.2">
      <c r="A30" s="15" t="s">
        <v>122</v>
      </c>
      <c r="B30" s="16">
        <v>0</v>
      </c>
      <c r="C30" s="267">
        <f>B30/'- 3 -'!$D30*100</f>
        <v>0</v>
      </c>
      <c r="D30" s="16">
        <v>0</v>
      </c>
      <c r="E30" s="267">
        <f>D30/'- 3 -'!$D30*100</f>
        <v>0</v>
      </c>
      <c r="F30" s="16">
        <v>0</v>
      </c>
      <c r="G30" s="267">
        <f>F30/'- 3 -'!$D30*100</f>
        <v>0</v>
      </c>
      <c r="H30" s="16">
        <v>13940</v>
      </c>
      <c r="I30" s="267">
        <f>H30/'- 3 -'!$D30*100</f>
        <v>9.2030447157721504E-2</v>
      </c>
    </row>
    <row r="31" spans="1:9" ht="14.1" customHeight="1" x14ac:dyDescent="0.2">
      <c r="A31" s="271" t="s">
        <v>123</v>
      </c>
      <c r="B31" s="272">
        <v>0</v>
      </c>
      <c r="C31" s="273">
        <f>B31/'- 3 -'!$D31*100</f>
        <v>0</v>
      </c>
      <c r="D31" s="272">
        <v>0</v>
      </c>
      <c r="E31" s="273">
        <f>D31/'- 3 -'!$D31*100</f>
        <v>0</v>
      </c>
      <c r="F31" s="272">
        <v>0</v>
      </c>
      <c r="G31" s="273">
        <f>F31/'- 3 -'!$D31*100</f>
        <v>0</v>
      </c>
      <c r="H31" s="272">
        <v>46350</v>
      </c>
      <c r="I31" s="273">
        <f>H31/'- 3 -'!$D31*100</f>
        <v>0.12105936740930343</v>
      </c>
    </row>
    <row r="32" spans="1:9" ht="14.1" customHeight="1" x14ac:dyDescent="0.2">
      <c r="A32" s="15" t="s">
        <v>124</v>
      </c>
      <c r="B32" s="16">
        <v>0</v>
      </c>
      <c r="C32" s="267">
        <f>B32/'- 3 -'!$D32*100</f>
        <v>0</v>
      </c>
      <c r="D32" s="16">
        <v>0</v>
      </c>
      <c r="E32" s="267">
        <f>D32/'- 3 -'!$D32*100</f>
        <v>0</v>
      </c>
      <c r="F32" s="16">
        <v>0</v>
      </c>
      <c r="G32" s="267">
        <f>F32/'- 3 -'!$D32*100</f>
        <v>0</v>
      </c>
      <c r="H32" s="16">
        <v>36229</v>
      </c>
      <c r="I32" s="267">
        <f>H32/'- 3 -'!$D32*100</f>
        <v>0.11569867031956262</v>
      </c>
    </row>
    <row r="33" spans="1:9" ht="14.1" customHeight="1" x14ac:dyDescent="0.2">
      <c r="A33" s="271" t="s">
        <v>125</v>
      </c>
      <c r="B33" s="272">
        <v>0</v>
      </c>
      <c r="C33" s="273">
        <f>B33/'- 3 -'!$D33*100</f>
        <v>0</v>
      </c>
      <c r="D33" s="272">
        <v>0</v>
      </c>
      <c r="E33" s="273">
        <f>D33/'- 3 -'!$D33*100</f>
        <v>0</v>
      </c>
      <c r="F33" s="272">
        <v>0</v>
      </c>
      <c r="G33" s="273">
        <f>F33/'- 3 -'!$D33*100</f>
        <v>0</v>
      </c>
      <c r="H33" s="272">
        <v>31600</v>
      </c>
      <c r="I33" s="273">
        <f>H33/'- 3 -'!$D33*100</f>
        <v>0.11136720870073939</v>
      </c>
    </row>
    <row r="34" spans="1:9" ht="14.1" customHeight="1" x14ac:dyDescent="0.2">
      <c r="A34" s="15" t="s">
        <v>126</v>
      </c>
      <c r="B34" s="16">
        <v>0</v>
      </c>
      <c r="C34" s="267">
        <f>B34/'- 3 -'!$D34*100</f>
        <v>0</v>
      </c>
      <c r="D34" s="16">
        <v>0</v>
      </c>
      <c r="E34" s="267">
        <f>D34/'- 3 -'!$D34*100</f>
        <v>0</v>
      </c>
      <c r="F34" s="16">
        <v>0</v>
      </c>
      <c r="G34" s="267">
        <f>F34/'- 3 -'!$D34*100</f>
        <v>0</v>
      </c>
      <c r="H34" s="16">
        <v>59111</v>
      </c>
      <c r="I34" s="267">
        <f>H34/'- 3 -'!$D34*100</f>
        <v>0.19226261920422252</v>
      </c>
    </row>
    <row r="35" spans="1:9" ht="14.1" customHeight="1" x14ac:dyDescent="0.2">
      <c r="A35" s="271" t="s">
        <v>127</v>
      </c>
      <c r="B35" s="272">
        <v>361100</v>
      </c>
      <c r="C35" s="273">
        <f>B35/'- 3 -'!$D35*100</f>
        <v>0.19495991738018748</v>
      </c>
      <c r="D35" s="272">
        <v>0</v>
      </c>
      <c r="E35" s="273">
        <f>D35/'- 3 -'!$D35*100</f>
        <v>0</v>
      </c>
      <c r="F35" s="272">
        <v>0</v>
      </c>
      <c r="G35" s="273">
        <f>F35/'- 3 -'!$D35*100</f>
        <v>0</v>
      </c>
      <c r="H35" s="272">
        <v>216190</v>
      </c>
      <c r="I35" s="273">
        <f>H35/'- 3 -'!$D35*100</f>
        <v>0.11672219478931799</v>
      </c>
    </row>
    <row r="36" spans="1:9" ht="14.1" customHeight="1" x14ac:dyDescent="0.2">
      <c r="A36" s="15" t="s">
        <v>128</v>
      </c>
      <c r="B36" s="16">
        <v>0</v>
      </c>
      <c r="C36" s="267">
        <f>B36/'- 3 -'!$D36*100</f>
        <v>0</v>
      </c>
      <c r="D36" s="16">
        <v>0</v>
      </c>
      <c r="E36" s="267">
        <f>D36/'- 3 -'!$D36*100</f>
        <v>0</v>
      </c>
      <c r="F36" s="16">
        <v>0</v>
      </c>
      <c r="G36" s="267">
        <f>F36/'- 3 -'!$D36*100</f>
        <v>0</v>
      </c>
      <c r="H36" s="16">
        <v>41925</v>
      </c>
      <c r="I36" s="267">
        <f>H36/'- 3 -'!$D36*100</f>
        <v>0.17487508996629927</v>
      </c>
    </row>
    <row r="37" spans="1:9" ht="14.1" customHeight="1" x14ac:dyDescent="0.2">
      <c r="A37" s="271" t="s">
        <v>129</v>
      </c>
      <c r="B37" s="272">
        <v>0</v>
      </c>
      <c r="C37" s="273">
        <f>B37/'- 3 -'!$D37*100</f>
        <v>0</v>
      </c>
      <c r="D37" s="272">
        <v>0</v>
      </c>
      <c r="E37" s="273">
        <f>D37/'- 3 -'!$D37*100</f>
        <v>0</v>
      </c>
      <c r="F37" s="272">
        <v>5000</v>
      </c>
      <c r="G37" s="273">
        <f>F37/'- 3 -'!$D37*100</f>
        <v>9.5912221135217041E-3</v>
      </c>
      <c r="H37" s="272">
        <v>364424</v>
      </c>
      <c r="I37" s="273">
        <f>H37/'- 3 -'!$D37*100</f>
        <v>0.69905430549960679</v>
      </c>
    </row>
    <row r="38" spans="1:9" ht="14.1" customHeight="1" x14ac:dyDescent="0.2">
      <c r="A38" s="15" t="s">
        <v>130</v>
      </c>
      <c r="B38" s="16">
        <v>15700</v>
      </c>
      <c r="C38" s="267">
        <f>B38/'- 3 -'!$D38*100</f>
        <v>1.1117857360864264E-2</v>
      </c>
      <c r="D38" s="16">
        <v>625780</v>
      </c>
      <c r="E38" s="267">
        <f>D38/'- 3 -'!$D38*100</f>
        <v>0.44314221524086872</v>
      </c>
      <c r="F38" s="16">
        <v>902330</v>
      </c>
      <c r="G38" s="267">
        <f>F38/'- 3 -'!$D38*100</f>
        <v>0.63897937786169756</v>
      </c>
      <c r="H38" s="16">
        <v>480190</v>
      </c>
      <c r="I38" s="267">
        <f>H38/'- 3 -'!$D38*100</f>
        <v>0.34004356217282872</v>
      </c>
    </row>
    <row r="39" spans="1:9" ht="14.1" customHeight="1" x14ac:dyDescent="0.2">
      <c r="A39" s="271" t="s">
        <v>131</v>
      </c>
      <c r="B39" s="272">
        <v>0</v>
      </c>
      <c r="C39" s="273">
        <f>B39/'- 3 -'!$D39*100</f>
        <v>0</v>
      </c>
      <c r="D39" s="272">
        <v>0</v>
      </c>
      <c r="E39" s="273">
        <f>D39/'- 3 -'!$D39*100</f>
        <v>0</v>
      </c>
      <c r="F39" s="272">
        <v>0</v>
      </c>
      <c r="G39" s="273">
        <f>F39/'- 3 -'!$D39*100</f>
        <v>0</v>
      </c>
      <c r="H39" s="272">
        <v>153900</v>
      </c>
      <c r="I39" s="273">
        <f>H39/'- 3 -'!$D39*100</f>
        <v>0.66135093498004982</v>
      </c>
    </row>
    <row r="40" spans="1:9" ht="14.1" customHeight="1" x14ac:dyDescent="0.2">
      <c r="A40" s="15" t="s">
        <v>132</v>
      </c>
      <c r="B40" s="16">
        <v>491103</v>
      </c>
      <c r="C40" s="267">
        <f>B40/'- 3 -'!$D40*100</f>
        <v>0.4555648760308959</v>
      </c>
      <c r="D40" s="16">
        <v>0</v>
      </c>
      <c r="E40" s="267">
        <f>D40/'- 3 -'!$D40*100</f>
        <v>0</v>
      </c>
      <c r="F40" s="16">
        <v>446245</v>
      </c>
      <c r="G40" s="267">
        <f>F40/'- 3 -'!$D40*100</f>
        <v>0.41395297545404358</v>
      </c>
      <c r="H40" s="16">
        <v>104832</v>
      </c>
      <c r="I40" s="267">
        <f>H40/'- 3 -'!$D40*100</f>
        <v>9.7245948577123098E-2</v>
      </c>
    </row>
    <row r="41" spans="1:9" ht="14.1" customHeight="1" x14ac:dyDescent="0.2">
      <c r="A41" s="271" t="s">
        <v>133</v>
      </c>
      <c r="B41" s="272">
        <v>0</v>
      </c>
      <c r="C41" s="273">
        <f>B41/'- 3 -'!$D41*100</f>
        <v>0</v>
      </c>
      <c r="D41" s="272">
        <v>0</v>
      </c>
      <c r="E41" s="273">
        <f>D41/'- 3 -'!$D41*100</f>
        <v>0</v>
      </c>
      <c r="F41" s="272">
        <v>0</v>
      </c>
      <c r="G41" s="273">
        <f>F41/'- 3 -'!$D41*100</f>
        <v>0</v>
      </c>
      <c r="H41" s="272">
        <v>287192</v>
      </c>
      <c r="I41" s="273">
        <f>H41/'- 3 -'!$D41*100</f>
        <v>0.44467225758512863</v>
      </c>
    </row>
    <row r="42" spans="1:9" ht="14.1" customHeight="1" x14ac:dyDescent="0.2">
      <c r="A42" s="15" t="s">
        <v>134</v>
      </c>
      <c r="B42" s="16">
        <v>0</v>
      </c>
      <c r="C42" s="267">
        <f>B42/'- 3 -'!$D42*100</f>
        <v>0</v>
      </c>
      <c r="D42" s="16">
        <v>0</v>
      </c>
      <c r="E42" s="267">
        <f>D42/'- 3 -'!$D42*100</f>
        <v>0</v>
      </c>
      <c r="F42" s="16">
        <v>0</v>
      </c>
      <c r="G42" s="267">
        <f>F42/'- 3 -'!$D42*100</f>
        <v>0</v>
      </c>
      <c r="H42" s="16">
        <v>64656</v>
      </c>
      <c r="I42" s="267">
        <f>H42/'- 3 -'!$D42*100</f>
        <v>0.30138560184545538</v>
      </c>
    </row>
    <row r="43" spans="1:9" ht="14.1" customHeight="1" x14ac:dyDescent="0.2">
      <c r="A43" s="271" t="s">
        <v>135</v>
      </c>
      <c r="B43" s="272">
        <v>0</v>
      </c>
      <c r="C43" s="273">
        <f>B43/'- 3 -'!$D43*100</f>
        <v>0</v>
      </c>
      <c r="D43" s="272">
        <v>0</v>
      </c>
      <c r="E43" s="273">
        <f>D43/'- 3 -'!$D43*100</f>
        <v>0</v>
      </c>
      <c r="F43" s="272">
        <v>0</v>
      </c>
      <c r="G43" s="273">
        <f>F43/'- 3 -'!$D43*100</f>
        <v>0</v>
      </c>
      <c r="H43" s="272">
        <v>16513</v>
      </c>
      <c r="I43" s="273">
        <f>H43/'- 3 -'!$D43*100</f>
        <v>0.12080438322459987</v>
      </c>
    </row>
    <row r="44" spans="1:9" ht="14.1" customHeight="1" x14ac:dyDescent="0.2">
      <c r="A44" s="15" t="s">
        <v>136</v>
      </c>
      <c r="B44" s="16">
        <v>0</v>
      </c>
      <c r="C44" s="267">
        <f>B44/'- 3 -'!$D44*100</f>
        <v>0</v>
      </c>
      <c r="D44" s="16">
        <v>0</v>
      </c>
      <c r="E44" s="267">
        <f>D44/'- 3 -'!$D44*100</f>
        <v>0</v>
      </c>
      <c r="F44" s="16">
        <v>0</v>
      </c>
      <c r="G44" s="267">
        <f>F44/'- 3 -'!$D44*100</f>
        <v>0</v>
      </c>
      <c r="H44" s="16">
        <v>39500</v>
      </c>
      <c r="I44" s="267">
        <f>H44/'- 3 -'!$D44*100</f>
        <v>0.3501765599080286</v>
      </c>
    </row>
    <row r="45" spans="1:9" ht="14.1" customHeight="1" x14ac:dyDescent="0.2">
      <c r="A45" s="271" t="s">
        <v>137</v>
      </c>
      <c r="B45" s="272">
        <v>0</v>
      </c>
      <c r="C45" s="273">
        <f>B45/'- 3 -'!$D45*100</f>
        <v>0</v>
      </c>
      <c r="D45" s="272">
        <v>0</v>
      </c>
      <c r="E45" s="273">
        <f>D45/'- 3 -'!$D45*100</f>
        <v>0</v>
      </c>
      <c r="F45" s="272">
        <v>7000</v>
      </c>
      <c r="G45" s="273">
        <f>F45/'- 3 -'!$D45*100</f>
        <v>3.4607914820231407E-2</v>
      </c>
      <c r="H45" s="272">
        <v>47813</v>
      </c>
      <c r="I45" s="273">
        <f>H45/'- 3 -'!$D45*100</f>
        <v>0.23638689018567494</v>
      </c>
    </row>
    <row r="46" spans="1:9" ht="14.1" customHeight="1" x14ac:dyDescent="0.2">
      <c r="A46" s="15" t="s">
        <v>138</v>
      </c>
      <c r="B46" s="16">
        <v>0</v>
      </c>
      <c r="C46" s="267">
        <f>B46/'- 3 -'!$D46*100</f>
        <v>0</v>
      </c>
      <c r="D46" s="16">
        <v>4290800</v>
      </c>
      <c r="E46" s="267">
        <f>D46/'- 3 -'!$D46*100</f>
        <v>1.0661334177467432</v>
      </c>
      <c r="F46" s="16">
        <v>168900</v>
      </c>
      <c r="G46" s="267">
        <f>F46/'- 3 -'!$D46*100</f>
        <v>4.196651772569799E-2</v>
      </c>
      <c r="H46" s="16">
        <v>5563100</v>
      </c>
      <c r="I46" s="267">
        <f>H46/'- 3 -'!$D46*100</f>
        <v>1.3822613070445857</v>
      </c>
    </row>
    <row r="47" spans="1:9" ht="5.0999999999999996" customHeight="1" x14ac:dyDescent="0.2">
      <c r="A47"/>
      <c r="B47"/>
      <c r="C47"/>
      <c r="D47"/>
      <c r="E47"/>
      <c r="F47"/>
      <c r="G47"/>
      <c r="H47" s="508"/>
      <c r="I47"/>
    </row>
    <row r="48" spans="1:9" ht="14.1" customHeight="1" x14ac:dyDescent="0.2">
      <c r="A48" s="274" t="s">
        <v>139</v>
      </c>
      <c r="B48" s="275">
        <f>SUM(B11:B46)</f>
        <v>1706457</v>
      </c>
      <c r="C48" s="276">
        <f>B48/'- 3 -'!$D48*100</f>
        <v>7.1932686537688306E-2</v>
      </c>
      <c r="D48" s="275">
        <f>SUM(D11:D46)</f>
        <v>4916580</v>
      </c>
      <c r="E48" s="276">
        <f>D48/'- 3 -'!$D48*100</f>
        <v>0.20724976250644911</v>
      </c>
      <c r="F48" s="275">
        <f>SUM(F11:F46)</f>
        <v>3915623</v>
      </c>
      <c r="G48" s="276">
        <f>F48/'- 3 -'!$D48*100</f>
        <v>0.16505618474931552</v>
      </c>
      <c r="H48" s="275">
        <f>SUM(H11:H46)</f>
        <v>12998475</v>
      </c>
      <c r="I48" s="276">
        <f>H48/'- 3 -'!$D48*100</f>
        <v>0.54792779873326902</v>
      </c>
    </row>
    <row r="49" spans="1:9" ht="5.0999999999999996" customHeight="1" x14ac:dyDescent="0.2">
      <c r="A49" s="17" t="s">
        <v>1</v>
      </c>
      <c r="B49" s="18"/>
      <c r="C49" s="266"/>
      <c r="D49" s="18"/>
      <c r="E49" s="266"/>
      <c r="F49" s="18"/>
      <c r="G49" s="266"/>
      <c r="H49" s="18"/>
      <c r="I49" s="266"/>
    </row>
    <row r="50" spans="1:9" ht="14.1" customHeight="1" x14ac:dyDescent="0.2">
      <c r="A50" s="15" t="s">
        <v>140</v>
      </c>
      <c r="B50" s="16">
        <v>56081</v>
      </c>
      <c r="C50" s="267">
        <f>B50/'- 3 -'!$D50*100</f>
        <v>1.5754151965301031</v>
      </c>
      <c r="D50" s="16">
        <v>0</v>
      </c>
      <c r="E50" s="267">
        <f>D50/'- 3 -'!$D50*100</f>
        <v>0</v>
      </c>
      <c r="F50" s="16">
        <v>52118</v>
      </c>
      <c r="G50" s="267">
        <f>F50/'- 3 -'!$D50*100</f>
        <v>1.4640874665707801</v>
      </c>
      <c r="H50" s="16">
        <v>84419</v>
      </c>
      <c r="I50" s="267">
        <f>H50/'- 3 -'!$D50*100</f>
        <v>2.3714800997820076</v>
      </c>
    </row>
    <row r="51" spans="1:9" ht="14.1" customHeight="1" x14ac:dyDescent="0.2">
      <c r="A51" s="360" t="s">
        <v>516</v>
      </c>
      <c r="B51" s="272">
        <v>0</v>
      </c>
      <c r="C51" s="273">
        <f>B51/'- 3 -'!$D51*100</f>
        <v>0</v>
      </c>
      <c r="D51" s="272">
        <v>1870452</v>
      </c>
      <c r="E51" s="273">
        <f>D51/'- 3 -'!$D51*100</f>
        <v>6.1109760160334172</v>
      </c>
      <c r="F51" s="272">
        <v>7805008</v>
      </c>
      <c r="G51" s="273">
        <f>F51/'- 3 -'!$D51*100</f>
        <v>25.499834635130412</v>
      </c>
      <c r="H51" s="272">
        <v>0</v>
      </c>
      <c r="I51" s="273">
        <f>H51/'- 3 -'!$D51*100</f>
        <v>0</v>
      </c>
    </row>
    <row r="52" spans="1:9" ht="50.1" customHeight="1" x14ac:dyDescent="0.2"/>
    <row r="53" spans="1:9" ht="15" customHeight="1" x14ac:dyDescent="0.2"/>
    <row r="54" spans="1:9" ht="14.45" customHeight="1" x14ac:dyDescent="0.2"/>
    <row r="55" spans="1:9" ht="14.45" customHeight="1" x14ac:dyDescent="0.2"/>
    <row r="56" spans="1:9" ht="14.45" customHeight="1" x14ac:dyDescent="0.2"/>
    <row r="57" spans="1:9" ht="14.45" customHeight="1" x14ac:dyDescent="0.2"/>
    <row r="58" spans="1:9" ht="14.45" customHeight="1" x14ac:dyDescent="0.2"/>
    <row r="59" spans="1:9" ht="14.45" customHeight="1" x14ac:dyDescent="0.2"/>
  </sheetData>
  <mergeCells count="5">
    <mergeCell ref="B5:I5"/>
    <mergeCell ref="B7:C8"/>
    <mergeCell ref="D6:E8"/>
    <mergeCell ref="F7:G8"/>
    <mergeCell ref="H7:I8"/>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J59"/>
  <sheetViews>
    <sheetView showGridLines="0" showZeros="0" workbookViewId="0"/>
  </sheetViews>
  <sheetFormatPr defaultColWidth="15.83203125" defaultRowHeight="12" x14ac:dyDescent="0.2"/>
  <cols>
    <col min="1" max="1" width="30.83203125" style="1" customWidth="1"/>
    <col min="2" max="2" width="15.1640625" style="1" customWidth="1"/>
    <col min="3" max="3" width="7.83203125" style="1" customWidth="1"/>
    <col min="4" max="4" width="8" style="1" customWidth="1"/>
    <col min="5" max="5" width="12.6640625" style="1" customWidth="1"/>
    <col min="6" max="6" width="7.83203125" style="1" customWidth="1"/>
    <col min="7" max="7" width="7.33203125" style="1" customWidth="1"/>
    <col min="8" max="8" width="12.6640625" style="1" customWidth="1"/>
    <col min="9" max="9" width="7.83203125" style="1" customWidth="1"/>
    <col min="10" max="10" width="9.5" style="1" customWidth="1"/>
    <col min="11" max="16384" width="15.83203125" style="1"/>
  </cols>
  <sheetData>
    <row r="1" spans="1:10" ht="6.95" customHeight="1" x14ac:dyDescent="0.2">
      <c r="A1" s="3"/>
      <c r="B1" s="4"/>
      <c r="C1" s="4"/>
      <c r="D1" s="4"/>
      <c r="E1" s="4"/>
      <c r="F1" s="4"/>
      <c r="G1" s="4"/>
      <c r="H1" s="4"/>
      <c r="I1" s="4"/>
      <c r="J1" s="4"/>
    </row>
    <row r="2" spans="1:10" ht="15.95" customHeight="1" x14ac:dyDescent="0.2">
      <c r="A2" s="132"/>
      <c r="B2" s="5" t="str">
        <f>AEXP_BP</f>
        <v>ANALYSIS OF EXPENSE BY PROGRAM</v>
      </c>
      <c r="C2" s="6"/>
      <c r="D2" s="6"/>
      <c r="E2" s="6"/>
      <c r="F2" s="6"/>
      <c r="G2" s="85"/>
      <c r="H2" s="85"/>
      <c r="I2" s="141"/>
      <c r="J2" s="503" t="s">
        <v>531</v>
      </c>
    </row>
    <row r="3" spans="1:10" ht="15.95" customHeight="1" x14ac:dyDescent="0.2">
      <c r="A3" s="135"/>
      <c r="B3" s="7" t="str">
        <f>OPYEAR</f>
        <v>OPERATING FUND 2017/2018 BUDGET</v>
      </c>
      <c r="C3" s="8"/>
      <c r="D3" s="8"/>
      <c r="E3" s="8"/>
      <c r="F3" s="8"/>
      <c r="G3" s="87"/>
      <c r="H3" s="87"/>
      <c r="I3" s="87"/>
      <c r="J3" s="81"/>
    </row>
    <row r="4" spans="1:10" ht="15.95" customHeight="1" x14ac:dyDescent="0.2">
      <c r="B4" s="4"/>
      <c r="C4" s="4"/>
      <c r="D4" s="4"/>
      <c r="E4" s="4"/>
      <c r="F4" s="4"/>
      <c r="G4" s="4"/>
      <c r="H4" s="4"/>
      <c r="I4" s="4"/>
      <c r="J4" s="4"/>
    </row>
    <row r="5" spans="1:10" ht="15.95" customHeight="1" x14ac:dyDescent="0.2">
      <c r="B5" s="668" t="s">
        <v>83</v>
      </c>
      <c r="C5" s="669"/>
      <c r="D5" s="669"/>
      <c r="E5" s="669"/>
      <c r="F5" s="669"/>
      <c r="G5" s="669"/>
      <c r="H5" s="669"/>
      <c r="I5" s="669"/>
      <c r="J5" s="670"/>
    </row>
    <row r="6" spans="1:10" ht="15.95" customHeight="1" x14ac:dyDescent="0.2">
      <c r="B6" s="268"/>
      <c r="C6" s="269"/>
      <c r="D6" s="270"/>
      <c r="E6" s="620" t="s">
        <v>419</v>
      </c>
      <c r="F6" s="630"/>
      <c r="G6" s="621"/>
      <c r="H6" s="620" t="s">
        <v>420</v>
      </c>
      <c r="I6" s="630"/>
      <c r="J6" s="621"/>
    </row>
    <row r="7" spans="1:10" ht="15.95" customHeight="1" x14ac:dyDescent="0.2">
      <c r="B7" s="627" t="s">
        <v>18</v>
      </c>
      <c r="C7" s="629"/>
      <c r="D7" s="615"/>
      <c r="E7" s="622"/>
      <c r="F7" s="631"/>
      <c r="G7" s="623"/>
      <c r="H7" s="622"/>
      <c r="I7" s="631"/>
      <c r="J7" s="623"/>
    </row>
    <row r="8" spans="1:10" ht="15.95" customHeight="1" x14ac:dyDescent="0.2">
      <c r="A8" s="82"/>
      <c r="B8" s="138"/>
      <c r="C8" s="137"/>
      <c r="D8" s="538" t="s">
        <v>396</v>
      </c>
      <c r="E8" s="138"/>
      <c r="F8" s="137"/>
      <c r="G8" s="538" t="s">
        <v>396</v>
      </c>
      <c r="H8" s="138"/>
      <c r="I8" s="137"/>
      <c r="J8" s="538" t="s">
        <v>396</v>
      </c>
    </row>
    <row r="9" spans="1:10" ht="15.95" customHeight="1" x14ac:dyDescent="0.2">
      <c r="A9" s="27" t="s">
        <v>37</v>
      </c>
      <c r="B9" s="89" t="s">
        <v>38</v>
      </c>
      <c r="C9" s="89" t="s">
        <v>39</v>
      </c>
      <c r="D9" s="578"/>
      <c r="E9" s="89" t="s">
        <v>38</v>
      </c>
      <c r="F9" s="89" t="s">
        <v>39</v>
      </c>
      <c r="G9" s="578"/>
      <c r="H9" s="89" t="s">
        <v>38</v>
      </c>
      <c r="I9" s="89" t="s">
        <v>39</v>
      </c>
      <c r="J9" s="578"/>
    </row>
    <row r="10" spans="1:10" ht="5.0999999999999996" customHeight="1" x14ac:dyDescent="0.2">
      <c r="A10" s="29"/>
    </row>
    <row r="11" spans="1:10" ht="14.1" customHeight="1" x14ac:dyDescent="0.2">
      <c r="A11" s="271" t="s">
        <v>104</v>
      </c>
      <c r="B11" s="272">
        <v>128800</v>
      </c>
      <c r="C11" s="273">
        <f>B11/'- 3 -'!$D11*100</f>
        <v>0.63848938962496382</v>
      </c>
      <c r="D11" s="272">
        <f>B11/'- 7 -'!$E11</f>
        <v>71.714922048997778</v>
      </c>
      <c r="E11" s="272">
        <v>150800</v>
      </c>
      <c r="F11" s="273">
        <f>E11/'- 3 -'!$D11*100</f>
        <v>0.74754813630003525</v>
      </c>
      <c r="G11" s="272">
        <f>E11/'- 7 -'!$E11</f>
        <v>83.964365256124722</v>
      </c>
      <c r="H11" s="272">
        <v>328500</v>
      </c>
      <c r="I11" s="273">
        <f>H11/'- 3 -'!$D11*100</f>
        <v>1.6284453764891353</v>
      </c>
      <c r="J11" s="272">
        <f>H11/'- 7 -'!$E11</f>
        <v>182.90645879732739</v>
      </c>
    </row>
    <row r="12" spans="1:10" ht="14.1" customHeight="1" x14ac:dyDescent="0.2">
      <c r="A12" s="15" t="s">
        <v>105</v>
      </c>
      <c r="B12" s="16">
        <v>171964</v>
      </c>
      <c r="C12" s="267">
        <f>B12/'- 3 -'!$D12*100</f>
        <v>0.49088188693394214</v>
      </c>
      <c r="D12" s="16">
        <f>B12/'- 7 -'!$E12</f>
        <v>79.983255813953491</v>
      </c>
      <c r="E12" s="16">
        <v>292286</v>
      </c>
      <c r="F12" s="267">
        <f>E12/'- 3 -'!$D12*100</f>
        <v>0.8343484869180422</v>
      </c>
      <c r="G12" s="16">
        <f>E12/'- 7 -'!$E12</f>
        <v>135.94697674418606</v>
      </c>
      <c r="H12" s="16">
        <v>775591</v>
      </c>
      <c r="I12" s="267">
        <f>H12/'- 3 -'!$D12*100</f>
        <v>2.2139725382579094</v>
      </c>
      <c r="J12" s="16">
        <f>H12/'- 7 -'!$E12</f>
        <v>360.74</v>
      </c>
    </row>
    <row r="13" spans="1:10" ht="14.1" customHeight="1" x14ac:dyDescent="0.2">
      <c r="A13" s="271" t="s">
        <v>106</v>
      </c>
      <c r="B13" s="272">
        <v>371000</v>
      </c>
      <c r="C13" s="273">
        <f>B13/'- 3 -'!$D13*100</f>
        <v>0.36428978221166119</v>
      </c>
      <c r="D13" s="272">
        <f>B13/'- 7 -'!$E13</f>
        <v>43.493552168815945</v>
      </c>
      <c r="E13" s="272">
        <v>658800</v>
      </c>
      <c r="F13" s="273">
        <f>E13/'- 3 -'!$D13*100</f>
        <v>0.64688438954458871</v>
      </c>
      <c r="G13" s="272">
        <f>E13/'- 7 -'!$E13</f>
        <v>77.23329425556858</v>
      </c>
      <c r="H13" s="272">
        <v>1962500</v>
      </c>
      <c r="I13" s="273">
        <f>H13/'- 3 -'!$D13*100</f>
        <v>1.9270045757153238</v>
      </c>
      <c r="J13" s="272">
        <f>H13/'- 7 -'!$E13</f>
        <v>230.07033997655333</v>
      </c>
    </row>
    <row r="14" spans="1:10" ht="14.1" customHeight="1" x14ac:dyDescent="0.2">
      <c r="A14" s="15" t="s">
        <v>315</v>
      </c>
      <c r="B14" s="16">
        <v>765368</v>
      </c>
      <c r="C14" s="267">
        <f>B14/'- 3 -'!$D14*100</f>
        <v>0.84781412549733337</v>
      </c>
      <c r="D14" s="16">
        <f>B14/'- 7 -'!$E14</f>
        <v>137.40897666068221</v>
      </c>
      <c r="E14" s="16">
        <v>1515108</v>
      </c>
      <c r="F14" s="267">
        <f>E14/'- 3 -'!$D14*100</f>
        <v>1.6783167888571431</v>
      </c>
      <c r="G14" s="16">
        <f>E14/'- 7 -'!$E14</f>
        <v>272.01220825852783</v>
      </c>
      <c r="H14" s="16">
        <v>983529</v>
      </c>
      <c r="I14" s="267">
        <f>H14/'- 3 -'!$D14*100</f>
        <v>1.089475623538307</v>
      </c>
      <c r="J14" s="16">
        <f>H14/'- 7 -'!$E14</f>
        <v>176.57612208258527</v>
      </c>
    </row>
    <row r="15" spans="1:10" ht="14.1" customHeight="1" x14ac:dyDescent="0.2">
      <c r="A15" s="271" t="s">
        <v>107</v>
      </c>
      <c r="B15" s="272">
        <v>210700</v>
      </c>
      <c r="C15" s="273">
        <f>B15/'- 3 -'!$D15*100</f>
        <v>1.0171846761297509</v>
      </c>
      <c r="D15" s="272">
        <f>B15/'- 7 -'!$E15</f>
        <v>152.90275761973876</v>
      </c>
      <c r="E15" s="272">
        <v>218400</v>
      </c>
      <c r="F15" s="273">
        <f>E15/'- 3 -'!$D15*100</f>
        <v>1.0543575380481138</v>
      </c>
      <c r="G15" s="272">
        <f>E15/'- 7 -'!$E15</f>
        <v>158.49056603773585</v>
      </c>
      <c r="H15" s="272">
        <v>378700</v>
      </c>
      <c r="I15" s="273">
        <f>H15/'- 3 -'!$D15*100</f>
        <v>1.8282289361667616</v>
      </c>
      <c r="J15" s="272">
        <f>H15/'- 7 -'!$E15</f>
        <v>274.81857764876634</v>
      </c>
    </row>
    <row r="16" spans="1:10" ht="14.1" customHeight="1" x14ac:dyDescent="0.2">
      <c r="A16" s="15" t="s">
        <v>108</v>
      </c>
      <c r="B16" s="16">
        <v>128571</v>
      </c>
      <c r="C16" s="267">
        <f>B16/'- 3 -'!$D16*100</f>
        <v>0.8692635609334346</v>
      </c>
      <c r="D16" s="16">
        <f>B16/'- 7 -'!$E16</f>
        <v>138.62102425876012</v>
      </c>
      <c r="E16" s="16">
        <v>193860</v>
      </c>
      <c r="F16" s="267">
        <f>E16/'- 3 -'!$D16*100</f>
        <v>1.310679966108653</v>
      </c>
      <c r="G16" s="16">
        <f>E16/'- 7 -'!$E16</f>
        <v>209.01347708894878</v>
      </c>
      <c r="H16" s="16">
        <v>358539</v>
      </c>
      <c r="I16" s="267">
        <f>H16/'- 3 -'!$D16*100</f>
        <v>2.4240683192439407</v>
      </c>
      <c r="J16" s="16">
        <f>H16/'- 7 -'!$E16</f>
        <v>386.56495956873317</v>
      </c>
    </row>
    <row r="17" spans="1:10" ht="14.1" customHeight="1" x14ac:dyDescent="0.2">
      <c r="A17" s="271" t="s">
        <v>109</v>
      </c>
      <c r="B17" s="272">
        <v>228540</v>
      </c>
      <c r="C17" s="273">
        <f>B17/'- 3 -'!$D17*100</f>
        <v>1.222115117960793</v>
      </c>
      <c r="D17" s="272">
        <f>B17/'- 7 -'!$E17</f>
        <v>162.25772097976571</v>
      </c>
      <c r="E17" s="272">
        <v>174567</v>
      </c>
      <c r="F17" s="273">
        <f>E17/'- 3 -'!$D17*100</f>
        <v>0.93349509843818035</v>
      </c>
      <c r="G17" s="272">
        <f>E17/'- 7 -'!$E17</f>
        <v>123.93823216187434</v>
      </c>
      <c r="H17" s="272">
        <v>324681</v>
      </c>
      <c r="I17" s="273">
        <f>H17/'- 3 -'!$D17*100</f>
        <v>1.736228050295914</v>
      </c>
      <c r="J17" s="272">
        <f>H17/'- 7 -'!$E17</f>
        <v>230.51544195953142</v>
      </c>
    </row>
    <row r="18" spans="1:10" ht="14.1" customHeight="1" x14ac:dyDescent="0.2">
      <c r="A18" s="15" t="s">
        <v>110</v>
      </c>
      <c r="B18" s="16">
        <v>1220122</v>
      </c>
      <c r="C18" s="267">
        <f>B18/'- 3 -'!$D18*100</f>
        <v>0.92607858430161993</v>
      </c>
      <c r="D18" s="16">
        <f>B18/'- 7 -'!$E18</f>
        <v>199.53588015961273</v>
      </c>
      <c r="E18" s="16">
        <v>2244784</v>
      </c>
      <c r="F18" s="267">
        <f>E18/'- 3 -'!$D18*100</f>
        <v>1.7038020696151104</v>
      </c>
      <c r="G18" s="16">
        <f>E18/'- 7 -'!$E18</f>
        <v>367.10669196048929</v>
      </c>
      <c r="H18" s="16">
        <v>3442938</v>
      </c>
      <c r="I18" s="267">
        <f>H18/'- 3 -'!$D18*100</f>
        <v>2.6132068341348251</v>
      </c>
      <c r="J18" s="16">
        <f>H18/'- 7 -'!$E18</f>
        <v>563.04997710472946</v>
      </c>
    </row>
    <row r="19" spans="1:10" ht="14.1" customHeight="1" x14ac:dyDescent="0.2">
      <c r="A19" s="271" t="s">
        <v>111</v>
      </c>
      <c r="B19" s="272">
        <v>205490</v>
      </c>
      <c r="C19" s="273">
        <f>B19/'- 3 -'!$D19*100</f>
        <v>0.42166743955605845</v>
      </c>
      <c r="D19" s="272">
        <f>B19/'- 7 -'!$E19</f>
        <v>47.364296415811914</v>
      </c>
      <c r="E19" s="272">
        <v>403360</v>
      </c>
      <c r="F19" s="273">
        <f>E19/'- 3 -'!$D19*100</f>
        <v>0.82769856644767004</v>
      </c>
      <c r="G19" s="272">
        <f>E19/'- 7 -'!$E19</f>
        <v>92.972225423533473</v>
      </c>
      <c r="H19" s="272">
        <v>686705</v>
      </c>
      <c r="I19" s="273">
        <f>H19/'- 3 -'!$D19*100</f>
        <v>1.4091252084303036</v>
      </c>
      <c r="J19" s="272">
        <f>H19/'- 7 -'!$E19</f>
        <v>158.28166416964388</v>
      </c>
    </row>
    <row r="20" spans="1:10" ht="14.1" customHeight="1" x14ac:dyDescent="0.2">
      <c r="A20" s="15" t="s">
        <v>112</v>
      </c>
      <c r="B20" s="16">
        <v>284300</v>
      </c>
      <c r="C20" s="267">
        <f>B20/'- 3 -'!$D20*100</f>
        <v>0.33486927966001878</v>
      </c>
      <c r="D20" s="16">
        <f>B20/'- 7 -'!$E20</f>
        <v>36.707553260167849</v>
      </c>
      <c r="E20" s="16">
        <v>597300</v>
      </c>
      <c r="F20" s="267">
        <f>E20/'- 3 -'!$D20*100</f>
        <v>0.70354351298251561</v>
      </c>
      <c r="G20" s="16">
        <f>E20/'- 7 -'!$E20</f>
        <v>77.120723047127186</v>
      </c>
      <c r="H20" s="16">
        <v>1324000</v>
      </c>
      <c r="I20" s="267">
        <f>H20/'- 3 -'!$D20*100</f>
        <v>1.5595037856836609</v>
      </c>
      <c r="J20" s="16">
        <f>H20/'- 7 -'!$E20</f>
        <v>170.9489993544222</v>
      </c>
    </row>
    <row r="21" spans="1:10" ht="14.1" customHeight="1" x14ac:dyDescent="0.2">
      <c r="A21" s="271" t="s">
        <v>113</v>
      </c>
      <c r="B21" s="272">
        <v>233600</v>
      </c>
      <c r="C21" s="273">
        <f>B21/'- 3 -'!$D21*100</f>
        <v>0.62898162059699403</v>
      </c>
      <c r="D21" s="272">
        <f>B21/'- 7 -'!$E21</f>
        <v>84.775902739974597</v>
      </c>
      <c r="E21" s="272">
        <v>406000</v>
      </c>
      <c r="F21" s="273">
        <f>E21/'- 3 -'!$D21*100</f>
        <v>1.093178672784159</v>
      </c>
      <c r="G21" s="272">
        <f>E21/'- 7 -'!$E21</f>
        <v>147.34168027581202</v>
      </c>
      <c r="H21" s="272">
        <v>716000</v>
      </c>
      <c r="I21" s="273">
        <f>H21/'- 3 -'!$D21*100</f>
        <v>1.9278717480627043</v>
      </c>
      <c r="J21" s="272">
        <f>H21/'- 7 -'!$E21</f>
        <v>259.84394846670295</v>
      </c>
    </row>
    <row r="22" spans="1:10" ht="14.1" customHeight="1" x14ac:dyDescent="0.2">
      <c r="A22" s="15" t="s">
        <v>114</v>
      </c>
      <c r="B22" s="16">
        <v>124210</v>
      </c>
      <c r="C22" s="267">
        <f>B22/'- 3 -'!$D22*100</f>
        <v>0.58258784196724356</v>
      </c>
      <c r="D22" s="16">
        <f>B22/'- 7 -'!$E22</f>
        <v>81.760136914165344</v>
      </c>
      <c r="E22" s="16">
        <v>136375</v>
      </c>
      <c r="F22" s="267">
        <f>E22/'- 3 -'!$D22*100</f>
        <v>0.63964589765947055</v>
      </c>
      <c r="G22" s="16">
        <f>E22/'- 7 -'!$E22</f>
        <v>89.767640863612428</v>
      </c>
      <c r="H22" s="16">
        <v>570545</v>
      </c>
      <c r="I22" s="267">
        <f>H22/'- 3 -'!$D22*100</f>
        <v>2.6760532992126316</v>
      </c>
      <c r="J22" s="16">
        <f>H22/'- 7 -'!$E22</f>
        <v>375.55621379673511</v>
      </c>
    </row>
    <row r="23" spans="1:10" ht="14.1" customHeight="1" x14ac:dyDescent="0.2">
      <c r="A23" s="271" t="s">
        <v>115</v>
      </c>
      <c r="B23" s="272">
        <v>113700</v>
      </c>
      <c r="C23" s="273">
        <f>B23/'- 3 -'!$D23*100</f>
        <v>0.67539267668809999</v>
      </c>
      <c r="D23" s="272">
        <f>B23/'- 7 -'!$E23</f>
        <v>102.89592760180996</v>
      </c>
      <c r="E23" s="272">
        <v>173250</v>
      </c>
      <c r="F23" s="273">
        <f>E23/'- 3 -'!$D23*100</f>
        <v>1.0291273635550866</v>
      </c>
      <c r="G23" s="272">
        <f>E23/'- 7 -'!$E23</f>
        <v>156.78733031674207</v>
      </c>
      <c r="H23" s="272">
        <v>325950</v>
      </c>
      <c r="I23" s="273">
        <f>H23/'- 3 -'!$D23*100</f>
        <v>1.9361850744633793</v>
      </c>
      <c r="J23" s="272">
        <f>H23/'- 7 -'!$E23</f>
        <v>294.97737556561088</v>
      </c>
    </row>
    <row r="24" spans="1:10" ht="14.1" customHeight="1" x14ac:dyDescent="0.2">
      <c r="A24" s="15" t="s">
        <v>116</v>
      </c>
      <c r="B24" s="16">
        <v>361305</v>
      </c>
      <c r="C24" s="267">
        <f>B24/'- 3 -'!$D24*100</f>
        <v>0.61846783416075291</v>
      </c>
      <c r="D24" s="16">
        <f>B24/'- 7 -'!$E24</f>
        <v>92.773141609962764</v>
      </c>
      <c r="E24" s="16">
        <v>353490</v>
      </c>
      <c r="F24" s="267">
        <f>E24/'- 3 -'!$D24*100</f>
        <v>0.60509042138216895</v>
      </c>
      <c r="G24" s="16">
        <f>E24/'- 7 -'!$E24</f>
        <v>90.766465528309155</v>
      </c>
      <c r="H24" s="16">
        <v>1184040</v>
      </c>
      <c r="I24" s="267">
        <f>H24/'- 3 -'!$D24*100</f>
        <v>2.0267935798278405</v>
      </c>
      <c r="J24" s="16">
        <f>H24/'- 7 -'!$E24</f>
        <v>304.02875850558479</v>
      </c>
    </row>
    <row r="25" spans="1:10" ht="14.1" customHeight="1" x14ac:dyDescent="0.2">
      <c r="A25" s="271" t="s">
        <v>117</v>
      </c>
      <c r="B25" s="272">
        <v>496817</v>
      </c>
      <c r="C25" s="273">
        <f>B25/'- 3 -'!$D25*100</f>
        <v>0.27292827826516197</v>
      </c>
      <c r="D25" s="272">
        <f>B25/'- 7 -'!$E25</f>
        <v>34.32834686474348</v>
      </c>
      <c r="E25" s="272">
        <v>626889</v>
      </c>
      <c r="F25" s="273">
        <f>E25/'- 3 -'!$D25*100</f>
        <v>0.34438381825374154</v>
      </c>
      <c r="G25" s="272">
        <f>E25/'- 7 -'!$E25</f>
        <v>43.31587493522197</v>
      </c>
      <c r="H25" s="272">
        <v>4185840</v>
      </c>
      <c r="I25" s="273">
        <f>H25/'- 3 -'!$D25*100</f>
        <v>2.2995068693169629</v>
      </c>
      <c r="J25" s="272">
        <f>H25/'- 7 -'!$E25</f>
        <v>289.22715494904128</v>
      </c>
    </row>
    <row r="26" spans="1:10" ht="14.1" customHeight="1" x14ac:dyDescent="0.2">
      <c r="A26" s="15" t="s">
        <v>118</v>
      </c>
      <c r="B26" s="16">
        <v>225114</v>
      </c>
      <c r="C26" s="267">
        <f>B26/'- 3 -'!$D26*100</f>
        <v>0.546798564770966</v>
      </c>
      <c r="D26" s="16">
        <f>B26/'- 7 -'!$E26</f>
        <v>73.807868852459023</v>
      </c>
      <c r="E26" s="16">
        <v>450778</v>
      </c>
      <c r="F26" s="267">
        <f>E26/'- 3 -'!$D26*100</f>
        <v>1.0949330713786194</v>
      </c>
      <c r="G26" s="16">
        <f>E26/'- 7 -'!$E26</f>
        <v>147.79606557377051</v>
      </c>
      <c r="H26" s="16">
        <v>749968</v>
      </c>
      <c r="I26" s="267">
        <f>H26/'- 3 -'!$D26*100</f>
        <v>1.8216611406849499</v>
      </c>
      <c r="J26" s="16">
        <f>H26/'- 7 -'!$E26</f>
        <v>245.89114754098361</v>
      </c>
    </row>
    <row r="27" spans="1:10" ht="14.1" customHeight="1" x14ac:dyDescent="0.2">
      <c r="A27" s="271" t="s">
        <v>119</v>
      </c>
      <c r="B27" s="272">
        <v>264501</v>
      </c>
      <c r="C27" s="273">
        <f>B27/'- 3 -'!$D27*100</f>
        <v>0.60051868271264686</v>
      </c>
      <c r="D27" s="272">
        <f>B27/'- 7 -'!$E27</f>
        <v>88.448349989490382</v>
      </c>
      <c r="E27" s="272">
        <v>592163</v>
      </c>
      <c r="F27" s="273">
        <f>E27/'- 3 -'!$D27*100</f>
        <v>1.3444370520760567</v>
      </c>
      <c r="G27" s="272">
        <f>E27/'- 7 -'!$E27</f>
        <v>198.01755106720427</v>
      </c>
      <c r="H27" s="272">
        <v>930936</v>
      </c>
      <c r="I27" s="273">
        <f>H27/'- 3 -'!$D27*100</f>
        <v>2.1135816515241173</v>
      </c>
      <c r="J27" s="272">
        <f>H27/'- 7 -'!$E27</f>
        <v>311.30223759387007</v>
      </c>
    </row>
    <row r="28" spans="1:10" ht="14.1" customHeight="1" x14ac:dyDescent="0.2">
      <c r="A28" s="15" t="s">
        <v>120</v>
      </c>
      <c r="B28" s="16">
        <v>177257</v>
      </c>
      <c r="C28" s="267">
        <f>B28/'- 3 -'!$D28*100</f>
        <v>0.61343132804523914</v>
      </c>
      <c r="D28" s="16">
        <f>B28/'- 7 -'!$E28</f>
        <v>90.483409903011747</v>
      </c>
      <c r="E28" s="16">
        <v>388593</v>
      </c>
      <c r="F28" s="267">
        <f>E28/'- 3 -'!$D28*100</f>
        <v>1.3447994722864747</v>
      </c>
      <c r="G28" s="16">
        <f>E28/'- 7 -'!$E28</f>
        <v>198.36294027565083</v>
      </c>
      <c r="H28" s="16">
        <v>545597</v>
      </c>
      <c r="I28" s="267">
        <f>H28/'- 3 -'!$D28*100</f>
        <v>1.8881414685315581</v>
      </c>
      <c r="J28" s="16">
        <f>H28/'- 7 -'!$E28</f>
        <v>278.50791220010211</v>
      </c>
    </row>
    <row r="29" spans="1:10" ht="14.1" customHeight="1" x14ac:dyDescent="0.2">
      <c r="A29" s="271" t="s">
        <v>121</v>
      </c>
      <c r="B29" s="272">
        <v>424111</v>
      </c>
      <c r="C29" s="273">
        <f>B29/'- 3 -'!$D29*100</f>
        <v>0.2580104336810507</v>
      </c>
      <c r="D29" s="272">
        <f>B29/'- 7 -'!$E29</f>
        <v>32.464348318649101</v>
      </c>
      <c r="E29" s="272">
        <v>2259216</v>
      </c>
      <c r="F29" s="273">
        <f>E29/'- 3 -'!$D29*100</f>
        <v>1.3744074073513035</v>
      </c>
      <c r="G29" s="272">
        <f>E29/'- 7 -'!$E29</f>
        <v>172.93580018218142</v>
      </c>
      <c r="H29" s="272">
        <v>1778227</v>
      </c>
      <c r="I29" s="273">
        <f>H29/'- 3 -'!$D29*100</f>
        <v>1.0817949061763401</v>
      </c>
      <c r="J29" s="272">
        <f>H29/'- 7 -'!$E29</f>
        <v>136.11762184340051</v>
      </c>
    </row>
    <row r="30" spans="1:10" ht="14.1" customHeight="1" x14ac:dyDescent="0.2">
      <c r="A30" s="15" t="s">
        <v>122</v>
      </c>
      <c r="B30" s="16">
        <v>107495</v>
      </c>
      <c r="C30" s="267">
        <f>B30/'- 3 -'!$D30*100</f>
        <v>0.70967094097699235</v>
      </c>
      <c r="D30" s="16">
        <f>B30/'- 7 -'!$E30</f>
        <v>105.85425898572132</v>
      </c>
      <c r="E30" s="16">
        <v>112152</v>
      </c>
      <c r="F30" s="267">
        <f>E30/'- 3 -'!$D30*100</f>
        <v>0.74041597630077349</v>
      </c>
      <c r="G30" s="16">
        <f>E30/'- 7 -'!$E30</f>
        <v>110.44017725258493</v>
      </c>
      <c r="H30" s="16">
        <v>290954</v>
      </c>
      <c r="I30" s="267">
        <f>H30/'- 3 -'!$D30*100</f>
        <v>1.9208484018886443</v>
      </c>
      <c r="J30" s="16">
        <f>H30/'- 7 -'!$E30</f>
        <v>286.51304775972426</v>
      </c>
    </row>
    <row r="31" spans="1:10" ht="14.1" customHeight="1" x14ac:dyDescent="0.2">
      <c r="A31" s="271" t="s">
        <v>123</v>
      </c>
      <c r="B31" s="272">
        <v>163130</v>
      </c>
      <c r="C31" s="273">
        <f>B31/'- 3 -'!$D31*100</f>
        <v>0.42607151252383318</v>
      </c>
      <c r="D31" s="272">
        <f>B31/'- 7 -'!$E31</f>
        <v>49.666615923275991</v>
      </c>
      <c r="E31" s="272">
        <v>324113</v>
      </c>
      <c r="F31" s="273">
        <f>E31/'- 3 -'!$D31*100</f>
        <v>0.84653537754329145</v>
      </c>
      <c r="G31" s="272">
        <f>E31/'- 7 -'!$E31</f>
        <v>98.679555487897701</v>
      </c>
      <c r="H31" s="272">
        <v>653531</v>
      </c>
      <c r="I31" s="273">
        <f>H31/'- 3 -'!$D31*100</f>
        <v>1.7069266330608301</v>
      </c>
      <c r="J31" s="272">
        <f>H31/'- 7 -'!$E31</f>
        <v>198.9742731009286</v>
      </c>
    </row>
    <row r="32" spans="1:10" ht="14.1" customHeight="1" x14ac:dyDescent="0.2">
      <c r="A32" s="15" t="s">
        <v>124</v>
      </c>
      <c r="B32" s="16">
        <v>202662</v>
      </c>
      <c r="C32" s="267">
        <f>B32/'- 3 -'!$D32*100</f>
        <v>0.64720869812313886</v>
      </c>
      <c r="D32" s="16">
        <f>B32/'- 7 -'!$E32</f>
        <v>91.577948486217807</v>
      </c>
      <c r="E32" s="16">
        <v>181863</v>
      </c>
      <c r="F32" s="267">
        <f>E32/'- 3 -'!$D32*100</f>
        <v>0.58078631152741222</v>
      </c>
      <c r="G32" s="16">
        <f>E32/'- 7 -'!$E32</f>
        <v>82.179394487121556</v>
      </c>
      <c r="H32" s="16">
        <v>672458</v>
      </c>
      <c r="I32" s="267">
        <f>H32/'- 3 -'!$D32*100</f>
        <v>2.147519844482388</v>
      </c>
      <c r="J32" s="16">
        <f>H32/'- 7 -'!$E32</f>
        <v>303.86714866696792</v>
      </c>
    </row>
    <row r="33" spans="1:10" ht="14.1" customHeight="1" x14ac:dyDescent="0.2">
      <c r="A33" s="271" t="s">
        <v>125</v>
      </c>
      <c r="B33" s="272">
        <v>218000</v>
      </c>
      <c r="C33" s="273">
        <f>B33/'- 3 -'!$D33*100</f>
        <v>0.76829276888484777</v>
      </c>
      <c r="D33" s="272">
        <f>B33/'- 7 -'!$E33</f>
        <v>109.87903225806451</v>
      </c>
      <c r="E33" s="272">
        <v>238000</v>
      </c>
      <c r="F33" s="273">
        <f>E33/'- 3 -'!$D33*100</f>
        <v>0.83877834401189788</v>
      </c>
      <c r="G33" s="272">
        <f>E33/'- 7 -'!$E33</f>
        <v>119.95967741935483</v>
      </c>
      <c r="H33" s="272">
        <v>387700</v>
      </c>
      <c r="I33" s="273">
        <f>H33/'- 3 -'!$D33*100</f>
        <v>1.366362873837869</v>
      </c>
      <c r="J33" s="272">
        <f>H33/'- 7 -'!$E33</f>
        <v>195.4133064516129</v>
      </c>
    </row>
    <row r="34" spans="1:10" ht="14.1" customHeight="1" x14ac:dyDescent="0.2">
      <c r="A34" s="15" t="s">
        <v>126</v>
      </c>
      <c r="B34" s="16">
        <v>183886</v>
      </c>
      <c r="C34" s="267">
        <f>B34/'- 3 -'!$D34*100</f>
        <v>0.5981019437158509</v>
      </c>
      <c r="D34" s="16">
        <f>B34/'- 7 -'!$E34</f>
        <v>89.482238442822378</v>
      </c>
      <c r="E34" s="16">
        <v>305341</v>
      </c>
      <c r="F34" s="267">
        <f>E34/'- 3 -'!$D34*100</f>
        <v>0.99314273841478751</v>
      </c>
      <c r="G34" s="16">
        <f>E34/'- 7 -'!$E34</f>
        <v>148.58442822384427</v>
      </c>
      <c r="H34" s="16">
        <v>666461</v>
      </c>
      <c r="I34" s="267">
        <f>H34/'- 3 -'!$D34*100</f>
        <v>2.1677105353904573</v>
      </c>
      <c r="J34" s="16">
        <f>H34/'- 7 -'!$E34</f>
        <v>324.31192214111923</v>
      </c>
    </row>
    <row r="35" spans="1:10" ht="14.1" customHeight="1" x14ac:dyDescent="0.2">
      <c r="A35" s="271" t="s">
        <v>127</v>
      </c>
      <c r="B35" s="272">
        <v>458400</v>
      </c>
      <c r="C35" s="273">
        <f>B35/'- 3 -'!$D35*100</f>
        <v>0.2474927336667902</v>
      </c>
      <c r="D35" s="272">
        <f>B35/'- 7 -'!$E35</f>
        <v>29.192803693679352</v>
      </c>
      <c r="E35" s="272">
        <v>1191491</v>
      </c>
      <c r="F35" s="273">
        <f>E35/'- 3 -'!$D35*100</f>
        <v>0.64329268047420929</v>
      </c>
      <c r="G35" s="272">
        <f>E35/'- 7 -'!$E35</f>
        <v>75.87906384333705</v>
      </c>
      <c r="H35" s="272">
        <v>2285609</v>
      </c>
      <c r="I35" s="273">
        <f>H35/'- 3 -'!$D35*100</f>
        <v>1.2340131315519605</v>
      </c>
      <c r="J35" s="272">
        <f>H35/'- 7 -'!$E35</f>
        <v>145.5570132144563</v>
      </c>
    </row>
    <row r="36" spans="1:10" ht="14.1" customHeight="1" x14ac:dyDescent="0.2">
      <c r="A36" s="15" t="s">
        <v>128</v>
      </c>
      <c r="B36" s="16">
        <v>231700</v>
      </c>
      <c r="C36" s="267">
        <f>B36/'- 3 -'!$D36*100</f>
        <v>0.96645338927111601</v>
      </c>
      <c r="D36" s="16">
        <f>B36/'- 7 -'!$E36</f>
        <v>137.79363663395779</v>
      </c>
      <c r="E36" s="16">
        <v>178740</v>
      </c>
      <c r="F36" s="267">
        <f>E36/'- 3 -'!$D36*100</f>
        <v>0.74554975743771801</v>
      </c>
      <c r="G36" s="16">
        <f>E36/'- 7 -'!$E36</f>
        <v>106.29794826048172</v>
      </c>
      <c r="H36" s="16">
        <v>522275</v>
      </c>
      <c r="I36" s="267">
        <f>H36/'- 3 -'!$D36*100</f>
        <v>2.1784827098902553</v>
      </c>
      <c r="J36" s="16">
        <f>H36/'- 7 -'!$E36</f>
        <v>310.60065417781743</v>
      </c>
    </row>
    <row r="37" spans="1:10" ht="14.1" customHeight="1" x14ac:dyDescent="0.2">
      <c r="A37" s="271" t="s">
        <v>129</v>
      </c>
      <c r="B37" s="272">
        <v>218500</v>
      </c>
      <c r="C37" s="273">
        <f>B37/'- 3 -'!$D37*100</f>
        <v>0.41913640636089849</v>
      </c>
      <c r="D37" s="272">
        <f>B37/'- 7 -'!$E37</f>
        <v>51.367045160683645</v>
      </c>
      <c r="E37" s="272">
        <v>475900</v>
      </c>
      <c r="F37" s="273">
        <f>E37/'- 3 -'!$D37*100</f>
        <v>0.91289252076499594</v>
      </c>
      <c r="G37" s="272">
        <f>E37/'- 7 -'!$E37</f>
        <v>111.87906998612972</v>
      </c>
      <c r="H37" s="272">
        <v>877300</v>
      </c>
      <c r="I37" s="273">
        <f>H37/'- 3 -'!$D37*100</f>
        <v>1.6828758320385182</v>
      </c>
      <c r="J37" s="272">
        <f>H37/'- 7 -'!$E37</f>
        <v>206.24397583280438</v>
      </c>
    </row>
    <row r="38" spans="1:10" ht="14.1" customHeight="1" x14ac:dyDescent="0.2">
      <c r="A38" s="15" t="s">
        <v>130</v>
      </c>
      <c r="B38" s="16">
        <v>409130</v>
      </c>
      <c r="C38" s="267">
        <f>B38/'- 3 -'!$D38*100</f>
        <v>0.28972286509875134</v>
      </c>
      <c r="D38" s="16">
        <f>B38/'- 7 -'!$E38</f>
        <v>36.238263950398583</v>
      </c>
      <c r="E38" s="16">
        <v>1334610</v>
      </c>
      <c r="F38" s="267">
        <f>E38/'- 3 -'!$D38*100</f>
        <v>0.94509577148936663</v>
      </c>
      <c r="G38" s="16">
        <f>E38/'- 7 -'!$E38</f>
        <v>118.21169176262178</v>
      </c>
      <c r="H38" s="16">
        <v>1935240</v>
      </c>
      <c r="I38" s="267">
        <f>H38/'- 3 -'!$D38*100</f>
        <v>1.3704281706394241</v>
      </c>
      <c r="J38" s="16">
        <f>H38/'- 7 -'!$E38</f>
        <v>171.41186891054031</v>
      </c>
    </row>
    <row r="39" spans="1:10" ht="14.1" customHeight="1" x14ac:dyDescent="0.2">
      <c r="A39" s="271" t="s">
        <v>131</v>
      </c>
      <c r="B39" s="272">
        <v>193000</v>
      </c>
      <c r="C39" s="273">
        <f>B39/'- 3 -'!$D39*100</f>
        <v>0.82937446686906846</v>
      </c>
      <c r="D39" s="272">
        <f>B39/'- 7 -'!$E39</f>
        <v>127.9840848806366</v>
      </c>
      <c r="E39" s="272">
        <v>269800</v>
      </c>
      <c r="F39" s="273">
        <f>E39/'- 3 -'!$D39*100</f>
        <v>1.1594053428045319</v>
      </c>
      <c r="G39" s="272">
        <f>E39/'- 7 -'!$E39</f>
        <v>178.91246684350133</v>
      </c>
      <c r="H39" s="272">
        <v>459100</v>
      </c>
      <c r="I39" s="273">
        <f>H39/'- 3 -'!$D39*100</f>
        <v>1.9728798846610847</v>
      </c>
      <c r="J39" s="272">
        <f>H39/'- 7 -'!$E39</f>
        <v>304.44297082228115</v>
      </c>
    </row>
    <row r="40" spans="1:10" ht="14.1" customHeight="1" x14ac:dyDescent="0.2">
      <c r="A40" s="15" t="s">
        <v>132</v>
      </c>
      <c r="B40" s="16">
        <v>432679</v>
      </c>
      <c r="C40" s="267">
        <f>B40/'- 3 -'!$D40*100</f>
        <v>0.40136866399955207</v>
      </c>
      <c r="D40" s="16">
        <f>B40/'- 7 -'!$E40</f>
        <v>52.639909484646452</v>
      </c>
      <c r="E40" s="16">
        <v>1321271</v>
      </c>
      <c r="F40" s="267">
        <f>E40/'- 3 -'!$D40*100</f>
        <v>1.2256586893548154</v>
      </c>
      <c r="G40" s="16">
        <f>E40/'- 7 -'!$E40</f>
        <v>160.74638668548346</v>
      </c>
      <c r="H40" s="16">
        <v>1627038</v>
      </c>
      <c r="I40" s="267">
        <f>H40/'- 3 -'!$D40*100</f>
        <v>1.509299199490854</v>
      </c>
      <c r="J40" s="16">
        <f>H40/'- 7 -'!$E40</f>
        <v>197.94612876539003</v>
      </c>
    </row>
    <row r="41" spans="1:10" ht="14.1" customHeight="1" x14ac:dyDescent="0.2">
      <c r="A41" s="271" t="s">
        <v>133</v>
      </c>
      <c r="B41" s="272">
        <v>280982</v>
      </c>
      <c r="C41" s="273">
        <f>B41/'- 3 -'!$D41*100</f>
        <v>0.43505703599259238</v>
      </c>
      <c r="D41" s="272">
        <f>B41/'- 7 -'!$E41</f>
        <v>63.455736224028904</v>
      </c>
      <c r="E41" s="272">
        <v>766066</v>
      </c>
      <c r="F41" s="273">
        <f>E41/'- 3 -'!$D41*100</f>
        <v>1.1861343549932071</v>
      </c>
      <c r="G41" s="272">
        <f>E41/'- 7 -'!$E41</f>
        <v>173.00496838301717</v>
      </c>
      <c r="H41" s="272">
        <v>1242719</v>
      </c>
      <c r="I41" s="273">
        <f>H41/'- 3 -'!$D41*100</f>
        <v>1.9241575784629568</v>
      </c>
      <c r="J41" s="272">
        <f>H41/'- 7 -'!$E41</f>
        <v>280.65018066847335</v>
      </c>
    </row>
    <row r="42" spans="1:10" ht="14.1" customHeight="1" x14ac:dyDescent="0.2">
      <c r="A42" s="15" t="s">
        <v>134</v>
      </c>
      <c r="B42" s="16">
        <v>207648</v>
      </c>
      <c r="C42" s="267">
        <f>B42/'- 3 -'!$D42*100</f>
        <v>0.96792436049253172</v>
      </c>
      <c r="D42" s="16">
        <f>B42/'- 7 -'!$E42</f>
        <v>149.71016582552272</v>
      </c>
      <c r="E42" s="16">
        <v>216668</v>
      </c>
      <c r="F42" s="267">
        <f>E42/'- 3 -'!$D42*100</f>
        <v>1.0099699266990092</v>
      </c>
      <c r="G42" s="16">
        <f>E42/'- 7 -'!$E42</f>
        <v>156.21341023792357</v>
      </c>
      <c r="H42" s="16">
        <v>415158</v>
      </c>
      <c r="I42" s="267">
        <f>H42/'- 3 -'!$D42*100</f>
        <v>1.9352054517903301</v>
      </c>
      <c r="J42" s="16">
        <f>H42/'- 7 -'!$E42</f>
        <v>299.32083633741888</v>
      </c>
    </row>
    <row r="43" spans="1:10" ht="14.1" customHeight="1" x14ac:dyDescent="0.2">
      <c r="A43" s="271" t="s">
        <v>135</v>
      </c>
      <c r="B43" s="272">
        <v>123526</v>
      </c>
      <c r="C43" s="273">
        <f>B43/'- 3 -'!$D43*100</f>
        <v>0.90368087217355575</v>
      </c>
      <c r="D43" s="272">
        <f>B43/'- 7 -'!$E43</f>
        <v>129.68608923884514</v>
      </c>
      <c r="E43" s="272">
        <v>130765</v>
      </c>
      <c r="F43" s="273">
        <f>E43/'- 3 -'!$D43*100</f>
        <v>0.95663932491762871</v>
      </c>
      <c r="G43" s="272">
        <f>E43/'- 7 -'!$E43</f>
        <v>137.28608923884514</v>
      </c>
      <c r="H43" s="272">
        <v>300509</v>
      </c>
      <c r="I43" s="273">
        <f>H43/'- 3 -'!$D43*100</f>
        <v>2.1984378609847566</v>
      </c>
      <c r="J43" s="272">
        <f>H43/'- 7 -'!$E43</f>
        <v>315.49501312335957</v>
      </c>
    </row>
    <row r="44" spans="1:10" ht="14.1" customHeight="1" x14ac:dyDescent="0.2">
      <c r="A44" s="15" t="s">
        <v>136</v>
      </c>
      <c r="B44" s="16">
        <v>103750</v>
      </c>
      <c r="C44" s="267">
        <f>B44/'- 3 -'!$D44*100</f>
        <v>0.91976754659387261</v>
      </c>
      <c r="D44" s="16">
        <f>B44/'- 7 -'!$E44</f>
        <v>144.9022346368715</v>
      </c>
      <c r="E44" s="16">
        <v>53608</v>
      </c>
      <c r="F44" s="267">
        <f>E44/'- 3 -'!$D44*100</f>
        <v>0.47524721578606566</v>
      </c>
      <c r="G44" s="16">
        <f>E44/'- 7 -'!$E44</f>
        <v>74.871508379888269</v>
      </c>
      <c r="H44" s="16">
        <v>261941</v>
      </c>
      <c r="I44" s="267">
        <f>H44/'- 3 -'!$D44*100</f>
        <v>2.3221670450346559</v>
      </c>
      <c r="J44" s="16">
        <f>H44/'- 7 -'!$E44</f>
        <v>365.83938547486031</v>
      </c>
    </row>
    <row r="45" spans="1:10" ht="14.1" customHeight="1" x14ac:dyDescent="0.2">
      <c r="A45" s="271" t="s">
        <v>137</v>
      </c>
      <c r="B45" s="272">
        <v>138612</v>
      </c>
      <c r="C45" s="273">
        <f>B45/'- 3 -'!$D45*100</f>
        <v>0.68529604129455957</v>
      </c>
      <c r="D45" s="272">
        <f>B45/'- 7 -'!$E45</f>
        <v>80.030023094688218</v>
      </c>
      <c r="E45" s="272">
        <v>173729</v>
      </c>
      <c r="F45" s="273">
        <f>E45/'- 3 -'!$D45*100</f>
        <v>0.85891406197199749</v>
      </c>
      <c r="G45" s="272">
        <f>E45/'- 7 -'!$E45</f>
        <v>100.3054272517321</v>
      </c>
      <c r="H45" s="272">
        <v>457540</v>
      </c>
      <c r="I45" s="273">
        <f>H45/'- 3 -'!$D45*100</f>
        <v>2.2620721924069542</v>
      </c>
      <c r="J45" s="272">
        <f>H45/'- 7 -'!$E45</f>
        <v>264.16859122401848</v>
      </c>
    </row>
    <row r="46" spans="1:10" ht="14.1" customHeight="1" x14ac:dyDescent="0.2">
      <c r="A46" s="15" t="s">
        <v>138</v>
      </c>
      <c r="B46" s="16">
        <v>899300</v>
      </c>
      <c r="C46" s="267">
        <f>B46/'- 3 -'!$D46*100</f>
        <v>0.22344872345009004</v>
      </c>
      <c r="D46" s="16">
        <f>B46/'- 7 -'!$E46</f>
        <v>29.718610069232167</v>
      </c>
      <c r="E46" s="16">
        <v>3083800</v>
      </c>
      <c r="F46" s="267">
        <f>E46/'- 3 -'!$D46*100</f>
        <v>0.76623059421259609</v>
      </c>
      <c r="G46" s="16">
        <f>E46/'- 7 -'!$E46</f>
        <v>101.9084284793708</v>
      </c>
      <c r="H46" s="16">
        <v>6674700</v>
      </c>
      <c r="I46" s="267">
        <f>H46/'- 3 -'!$D46*100</f>
        <v>1.6584601294476993</v>
      </c>
      <c r="J46" s="16">
        <f>H46/'- 7 -'!$E46</f>
        <v>220.57467655854992</v>
      </c>
    </row>
    <row r="47" spans="1:10" ht="5.0999999999999996" customHeight="1" x14ac:dyDescent="0.2">
      <c r="A47"/>
      <c r="B47" s="508"/>
      <c r="C47"/>
      <c r="D47"/>
      <c r="E47"/>
      <c r="F47"/>
      <c r="G47"/>
      <c r="H47"/>
      <c r="I47"/>
      <c r="J47"/>
    </row>
    <row r="48" spans="1:10" ht="14.1" customHeight="1" x14ac:dyDescent="0.2">
      <c r="A48" s="274" t="s">
        <v>139</v>
      </c>
      <c r="B48" s="275">
        <f>SUM(B11:B46)</f>
        <v>10707870</v>
      </c>
      <c r="C48" s="276">
        <f>B48/'- 3 -'!$D48*100</f>
        <v>0.45137138304470403</v>
      </c>
      <c r="D48" s="275">
        <f>B48/'- 7 -'!$E48</f>
        <v>60.342462687624547</v>
      </c>
      <c r="E48" s="275">
        <f>SUM(E11:E46)</f>
        <v>22193936</v>
      </c>
      <c r="F48" s="276">
        <f>E48/'- 3 -'!$D48*100</f>
        <v>0.93554624659485475</v>
      </c>
      <c r="G48" s="275">
        <f>E48/'- 7 -'!$E48</f>
        <v>125.07032257316602</v>
      </c>
      <c r="H48" s="275">
        <f>SUM(H11:H46)</f>
        <v>41283019</v>
      </c>
      <c r="I48" s="276">
        <f>H48/'- 3 -'!$D48*100</f>
        <v>1.7402128884914361</v>
      </c>
      <c r="J48" s="275">
        <f>H48/'- 7 -'!$E48</f>
        <v>232.64375021736305</v>
      </c>
    </row>
    <row r="49" spans="1:10" ht="5.0999999999999996" customHeight="1" x14ac:dyDescent="0.2">
      <c r="A49" s="17" t="s">
        <v>1</v>
      </c>
      <c r="B49" s="18"/>
      <c r="C49" s="266"/>
      <c r="D49" s="18"/>
      <c r="E49" s="18"/>
      <c r="F49" s="266"/>
      <c r="H49" s="18"/>
      <c r="I49" s="266"/>
      <c r="J49" s="18"/>
    </row>
    <row r="50" spans="1:10" ht="14.1" customHeight="1" x14ac:dyDescent="0.2">
      <c r="A50" s="15" t="s">
        <v>140</v>
      </c>
      <c r="B50" s="16">
        <v>45602</v>
      </c>
      <c r="C50" s="267">
        <f>B50/'- 3 -'!$D50*100</f>
        <v>1.2810414185225971</v>
      </c>
      <c r="D50" s="16">
        <f>B50/'- 7 -'!$E50</f>
        <v>281.49382716049382</v>
      </c>
      <c r="E50" s="16">
        <v>24453</v>
      </c>
      <c r="F50" s="267">
        <f>E50/'- 3 -'!$D50*100</f>
        <v>0.6869283322471178</v>
      </c>
      <c r="G50" s="16">
        <f>E50/'- 7 -'!$E50</f>
        <v>150.94444444444446</v>
      </c>
      <c r="H50" s="16">
        <v>104315</v>
      </c>
      <c r="I50" s="267">
        <f>H50/'- 3 -'!$D50*100</f>
        <v>2.9303941838775645</v>
      </c>
      <c r="J50" s="16">
        <f>H50/'- 7 -'!$E50</f>
        <v>643.91975308641975</v>
      </c>
    </row>
    <row r="51" spans="1:10" ht="14.1" customHeight="1" x14ac:dyDescent="0.2">
      <c r="A51" s="360" t="s">
        <v>516</v>
      </c>
      <c r="B51" s="272">
        <v>78965</v>
      </c>
      <c r="C51" s="273">
        <f>B51/'- 3 -'!$D51*100</f>
        <v>0.25798749238477053</v>
      </c>
      <c r="D51" s="272">
        <f>B51/'- 7 -'!$E51</f>
        <v>74.075984990619133</v>
      </c>
      <c r="E51" s="272">
        <v>459927</v>
      </c>
      <c r="F51" s="273">
        <f>E51/'- 3 -'!$D51*100</f>
        <v>1.5026329818280295</v>
      </c>
      <c r="G51" s="272">
        <f>E51/'- 7 -'!$E51</f>
        <v>431.45121951219511</v>
      </c>
      <c r="H51" s="272">
        <v>3281109</v>
      </c>
      <c r="I51" s="273">
        <f>H51/'- 3 -'!$D51*100</f>
        <v>10.719750309011612</v>
      </c>
      <c r="J51" s="272">
        <f>H51/'- 7 -'!$E51</f>
        <v>3077.9634146341464</v>
      </c>
    </row>
    <row r="52" spans="1:10" ht="50.1" customHeight="1" x14ac:dyDescent="0.2">
      <c r="B52"/>
      <c r="C52"/>
      <c r="D52"/>
      <c r="E52"/>
      <c r="F52"/>
      <c r="G52"/>
      <c r="H52"/>
      <c r="I52"/>
      <c r="J52"/>
    </row>
    <row r="53" spans="1:10" ht="15" customHeight="1" x14ac:dyDescent="0.2"/>
    <row r="54" spans="1:10" ht="14.45" customHeight="1" x14ac:dyDescent="0.2"/>
    <row r="55" spans="1:10" ht="14.45" customHeight="1" x14ac:dyDescent="0.2"/>
    <row r="56" spans="1:10" ht="14.45" customHeight="1" x14ac:dyDescent="0.2"/>
    <row r="57" spans="1:10" ht="14.45" customHeight="1" x14ac:dyDescent="0.2"/>
    <row r="58" spans="1:10" ht="14.45" customHeight="1" x14ac:dyDescent="0.2"/>
    <row r="59" spans="1:10" ht="14.45" customHeight="1" x14ac:dyDescent="0.2"/>
  </sheetData>
  <mergeCells count="7">
    <mergeCell ref="B5:J5"/>
    <mergeCell ref="D8:D9"/>
    <mergeCell ref="G8:G9"/>
    <mergeCell ref="J8:J9"/>
    <mergeCell ref="B7:D7"/>
    <mergeCell ref="E6:G7"/>
    <mergeCell ref="H6:J7"/>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59"/>
  <sheetViews>
    <sheetView showGridLines="0" showZeros="0" workbookViewId="0"/>
  </sheetViews>
  <sheetFormatPr defaultColWidth="15.83203125" defaultRowHeight="12" x14ac:dyDescent="0.2"/>
  <cols>
    <col min="1" max="1" width="36.83203125" style="1" customWidth="1"/>
    <col min="2" max="2" width="19.83203125" style="1" customWidth="1"/>
    <col min="3" max="3" width="11.5" style="1" customWidth="1"/>
    <col min="4" max="4" width="12.6640625" style="1" customWidth="1"/>
    <col min="5" max="5" width="44.83203125" style="1" customWidth="1"/>
    <col min="6" max="16384" width="15.83203125" style="1"/>
  </cols>
  <sheetData>
    <row r="1" spans="1:5" ht="6.95" customHeight="1" x14ac:dyDescent="0.2">
      <c r="A1" s="3"/>
      <c r="B1" s="4"/>
      <c r="C1" s="4"/>
      <c r="D1" s="4"/>
      <c r="E1" s="4"/>
    </row>
    <row r="2" spans="1:5" ht="15.95" customHeight="1" x14ac:dyDescent="0.2">
      <c r="A2" s="132"/>
      <c r="B2" s="5" t="str">
        <f>AEXP_BP</f>
        <v>ANALYSIS OF EXPENSE BY PROGRAM</v>
      </c>
      <c r="C2" s="6"/>
      <c r="D2" s="6"/>
      <c r="E2" s="503" t="s">
        <v>532</v>
      </c>
    </row>
    <row r="3" spans="1:5" ht="15.95" customHeight="1" x14ac:dyDescent="0.2">
      <c r="A3" s="135"/>
      <c r="B3" s="7" t="str">
        <f>OPYEAR</f>
        <v>OPERATING FUND 2017/2018 BUDGET</v>
      </c>
      <c r="C3" s="8"/>
      <c r="D3" s="8"/>
      <c r="E3" s="81"/>
    </row>
    <row r="4" spans="1:5" ht="15.95" customHeight="1" x14ac:dyDescent="0.2">
      <c r="B4" s="4"/>
      <c r="C4" s="4"/>
      <c r="D4" s="4"/>
      <c r="E4" s="4"/>
    </row>
    <row r="5" spans="1:5" ht="15.95" customHeight="1" x14ac:dyDescent="0.2">
      <c r="B5" s="668" t="s">
        <v>234</v>
      </c>
      <c r="C5" s="669"/>
      <c r="D5" s="670"/>
      <c r="E5" s="55"/>
    </row>
    <row r="6" spans="1:5" ht="15.95" customHeight="1" x14ac:dyDescent="0.2">
      <c r="B6" s="620" t="s">
        <v>421</v>
      </c>
      <c r="C6" s="630"/>
      <c r="D6" s="621"/>
      <c r="E6" s="84"/>
    </row>
    <row r="7" spans="1:5" ht="15.95" customHeight="1" x14ac:dyDescent="0.2">
      <c r="B7" s="622"/>
      <c r="C7" s="631"/>
      <c r="D7" s="623"/>
      <c r="E7" s="84"/>
    </row>
    <row r="8" spans="1:5" ht="15.95" customHeight="1" x14ac:dyDescent="0.2">
      <c r="A8" s="82"/>
      <c r="B8" s="138"/>
      <c r="C8" s="137"/>
      <c r="D8" s="538" t="s">
        <v>396</v>
      </c>
      <c r="E8" s="84"/>
    </row>
    <row r="9" spans="1:5" ht="15.95" customHeight="1" x14ac:dyDescent="0.2">
      <c r="A9" s="27" t="s">
        <v>37</v>
      </c>
      <c r="B9" s="89" t="s">
        <v>38</v>
      </c>
      <c r="C9" s="89" t="s">
        <v>39</v>
      </c>
      <c r="D9" s="578"/>
    </row>
    <row r="10" spans="1:5" ht="5.0999999999999996" customHeight="1" x14ac:dyDescent="0.2">
      <c r="A10" s="29"/>
    </row>
    <row r="11" spans="1:5" ht="14.1" customHeight="1" x14ac:dyDescent="0.2">
      <c r="A11" s="271" t="s">
        <v>104</v>
      </c>
      <c r="B11" s="272">
        <v>8000</v>
      </c>
      <c r="C11" s="273">
        <f>B11/'- 3 -'!$D11*100</f>
        <v>3.965772606366235E-2</v>
      </c>
      <c r="D11" s="272">
        <f>B11/'- 7 -'!$E11</f>
        <v>4.4543429844097995</v>
      </c>
    </row>
    <row r="12" spans="1:5" ht="14.1" customHeight="1" x14ac:dyDescent="0.2">
      <c r="A12" s="15" t="s">
        <v>105</v>
      </c>
      <c r="B12" s="16">
        <v>191018</v>
      </c>
      <c r="C12" s="267">
        <f>B12/'- 3 -'!$D12*100</f>
        <v>0.54527270985989951</v>
      </c>
      <c r="D12" s="16">
        <f>B12/'- 7 -'!$E12</f>
        <v>88.84558139534883</v>
      </c>
    </row>
    <row r="13" spans="1:5" ht="14.1" customHeight="1" x14ac:dyDescent="0.2">
      <c r="A13" s="271" t="s">
        <v>106</v>
      </c>
      <c r="B13" s="272">
        <v>379900</v>
      </c>
      <c r="C13" s="273">
        <f>B13/'- 3 -'!$D13*100</f>
        <v>0.3730288093321027</v>
      </c>
      <c r="D13" s="272">
        <f>B13/'- 7 -'!$E13</f>
        <v>44.536928487690503</v>
      </c>
    </row>
    <row r="14" spans="1:5" ht="14.1" customHeight="1" x14ac:dyDescent="0.2">
      <c r="A14" s="15" t="s">
        <v>315</v>
      </c>
      <c r="B14" s="16">
        <v>121203</v>
      </c>
      <c r="C14" s="267">
        <f>B14/'- 3 -'!$D14*100</f>
        <v>0.13425909556272708</v>
      </c>
      <c r="D14" s="16">
        <f>B14/'- 7 -'!$E14</f>
        <v>21.759964093357272</v>
      </c>
    </row>
    <row r="15" spans="1:5" ht="14.1" customHeight="1" x14ac:dyDescent="0.2">
      <c r="A15" s="271" t="s">
        <v>107</v>
      </c>
      <c r="B15" s="272">
        <v>54500</v>
      </c>
      <c r="C15" s="273">
        <f>B15/'- 3 -'!$D15*100</f>
        <v>0.26310662007153024</v>
      </c>
      <c r="D15" s="272">
        <f>B15/'- 7 -'!$E15</f>
        <v>39.550072568940493</v>
      </c>
    </row>
    <row r="16" spans="1:5" ht="14.1" customHeight="1" x14ac:dyDescent="0.2">
      <c r="A16" s="15" t="s">
        <v>108</v>
      </c>
      <c r="B16" s="16">
        <v>37280</v>
      </c>
      <c r="C16" s="267">
        <f>B16/'- 3 -'!$D16*100</f>
        <v>0.25204863889678419</v>
      </c>
      <c r="D16" s="16">
        <f>B16/'- 7 -'!$E16</f>
        <v>40.194070080862531</v>
      </c>
    </row>
    <row r="17" spans="1:4" ht="14.1" customHeight="1" x14ac:dyDescent="0.2">
      <c r="A17" s="271" t="s">
        <v>109</v>
      </c>
      <c r="B17" s="272">
        <v>81280</v>
      </c>
      <c r="C17" s="273">
        <f>B17/'- 3 -'!$D17*100</f>
        <v>0.43464389948303683</v>
      </c>
      <c r="D17" s="272">
        <f>B17/'- 7 -'!$E17</f>
        <v>57.706780262690806</v>
      </c>
    </row>
    <row r="18" spans="1:4" ht="14.1" customHeight="1" x14ac:dyDescent="0.2">
      <c r="A18" s="15" t="s">
        <v>110</v>
      </c>
      <c r="B18" s="16">
        <v>622567</v>
      </c>
      <c r="C18" s="267">
        <f>B18/'- 3 -'!$D18*100</f>
        <v>0.47253140750917255</v>
      </c>
      <c r="D18" s="16">
        <f>B18/'- 7 -'!$E18</f>
        <v>101.81314188526198</v>
      </c>
    </row>
    <row r="19" spans="1:4" ht="14.1" customHeight="1" x14ac:dyDescent="0.2">
      <c r="A19" s="271" t="s">
        <v>111</v>
      </c>
      <c r="B19" s="272">
        <v>152800</v>
      </c>
      <c r="C19" s="273">
        <f>B19/'- 3 -'!$D19*100</f>
        <v>0.31354705710334191</v>
      </c>
      <c r="D19" s="272">
        <f>B19/'- 7 -'!$E19</f>
        <v>35.219545926011293</v>
      </c>
    </row>
    <row r="20" spans="1:4" ht="14.1" customHeight="1" x14ac:dyDescent="0.2">
      <c r="A20" s="15" t="s">
        <v>112</v>
      </c>
      <c r="B20" s="16">
        <v>96800</v>
      </c>
      <c r="C20" s="267">
        <f>B20/'- 3 -'!$D20*100</f>
        <v>0.11401810155149425</v>
      </c>
      <c r="D20" s="16">
        <f>B20/'- 7 -'!$E20</f>
        <v>12.49838605551969</v>
      </c>
    </row>
    <row r="21" spans="1:4" ht="14.1" customHeight="1" x14ac:dyDescent="0.2">
      <c r="A21" s="271" t="s">
        <v>113</v>
      </c>
      <c r="B21" s="272">
        <v>52000</v>
      </c>
      <c r="C21" s="273">
        <f>B21/'- 3 -'!$D21*100</f>
        <v>0.14001303198220758</v>
      </c>
      <c r="D21" s="272">
        <f>B21/'- 7 -'!$E21</f>
        <v>18.871348212665577</v>
      </c>
    </row>
    <row r="22" spans="1:4" ht="14.1" customHeight="1" x14ac:dyDescent="0.2">
      <c r="A22" s="15" t="s">
        <v>114</v>
      </c>
      <c r="B22" s="16">
        <v>65000</v>
      </c>
      <c r="C22" s="267">
        <f>B22/'- 3 -'!$D22*100</f>
        <v>0.30487247184502725</v>
      </c>
      <c r="D22" s="16">
        <f>B22/'- 7 -'!$E22</f>
        <v>42.785676671932592</v>
      </c>
    </row>
    <row r="23" spans="1:4" ht="14.1" customHeight="1" x14ac:dyDescent="0.2">
      <c r="A23" s="271" t="s">
        <v>115</v>
      </c>
      <c r="B23" s="272">
        <v>50000</v>
      </c>
      <c r="C23" s="273">
        <f>B23/'- 3 -'!$D23*100</f>
        <v>0.29700645412845206</v>
      </c>
      <c r="D23" s="272">
        <f>B23/'- 7 -'!$E23</f>
        <v>45.248868778280546</v>
      </c>
    </row>
    <row r="24" spans="1:4" ht="14.1" customHeight="1" x14ac:dyDescent="0.2">
      <c r="A24" s="15" t="s">
        <v>116</v>
      </c>
      <c r="B24" s="16">
        <v>155015</v>
      </c>
      <c r="C24" s="267">
        <f>B24/'- 3 -'!$D24*100</f>
        <v>0.26534864259401097</v>
      </c>
      <c r="D24" s="16">
        <f>B24/'- 7 -'!$E24</f>
        <v>39.80356913596097</v>
      </c>
    </row>
    <row r="25" spans="1:4" ht="14.1" customHeight="1" x14ac:dyDescent="0.2">
      <c r="A25" s="271" t="s">
        <v>117</v>
      </c>
      <c r="B25" s="272">
        <v>918165</v>
      </c>
      <c r="C25" s="273">
        <f>B25/'- 3 -'!$D25*100</f>
        <v>0.50439737894100334</v>
      </c>
      <c r="D25" s="272">
        <f>B25/'- 7 -'!$E25</f>
        <v>63.442045258248399</v>
      </c>
    </row>
    <row r="26" spans="1:4" ht="14.1" customHeight="1" x14ac:dyDescent="0.2">
      <c r="A26" s="15" t="s">
        <v>118</v>
      </c>
      <c r="B26" s="16">
        <v>32000</v>
      </c>
      <c r="C26" s="267">
        <f>B26/'- 3 -'!$D26*100</f>
        <v>7.77275250436264E-2</v>
      </c>
      <c r="D26" s="16">
        <f>B26/'- 7 -'!$E26</f>
        <v>10.491803278688524</v>
      </c>
    </row>
    <row r="27" spans="1:4" ht="14.1" customHeight="1" x14ac:dyDescent="0.2">
      <c r="A27" s="271" t="s">
        <v>119</v>
      </c>
      <c r="B27" s="272">
        <v>219677</v>
      </c>
      <c r="C27" s="273">
        <f>B27/'- 3 -'!$D27*100</f>
        <v>0.49875101667769167</v>
      </c>
      <c r="D27" s="272">
        <f>B27/'- 7 -'!$E27</f>
        <v>73.459337320619881</v>
      </c>
    </row>
    <row r="28" spans="1:4" ht="14.1" customHeight="1" x14ac:dyDescent="0.2">
      <c r="A28" s="15" t="s">
        <v>120</v>
      </c>
      <c r="B28" s="16">
        <v>82500</v>
      </c>
      <c r="C28" s="267">
        <f>B28/'- 3 -'!$D28*100</f>
        <v>0.28550683224770945</v>
      </c>
      <c r="D28" s="16">
        <f>B28/'- 7 -'!$E28</f>
        <v>42.113323124042878</v>
      </c>
    </row>
    <row r="29" spans="1:4" ht="14.1" customHeight="1" x14ac:dyDescent="0.2">
      <c r="A29" s="271" t="s">
        <v>121</v>
      </c>
      <c r="B29" s="272">
        <v>1468359</v>
      </c>
      <c r="C29" s="273">
        <f>B29/'- 3 -'!$D29*100</f>
        <v>0.89328487681166935</v>
      </c>
      <c r="D29" s="272">
        <f>B29/'- 7 -'!$E29</f>
        <v>112.39821186628802</v>
      </c>
    </row>
    <row r="30" spans="1:4" ht="14.1" customHeight="1" x14ac:dyDescent="0.2">
      <c r="A30" s="15" t="s">
        <v>122</v>
      </c>
      <c r="B30" s="16">
        <v>46890</v>
      </c>
      <c r="C30" s="267">
        <f>B30/'- 3 -'!$D30*100</f>
        <v>0.30956296034616648</v>
      </c>
      <c r="D30" s="16">
        <f>B30/'- 7 -'!$E30</f>
        <v>46.174298375184641</v>
      </c>
    </row>
    <row r="31" spans="1:4" ht="14.1" customHeight="1" x14ac:dyDescent="0.2">
      <c r="A31" s="271" t="s">
        <v>123</v>
      </c>
      <c r="B31" s="272">
        <v>159618</v>
      </c>
      <c r="C31" s="273">
        <f>B31/'- 3 -'!$D31*100</f>
        <v>0.41689868623814869</v>
      </c>
      <c r="D31" s="272">
        <f>B31/'- 7 -'!$E31</f>
        <v>48.597351195006851</v>
      </c>
    </row>
    <row r="32" spans="1:4" ht="14.1" customHeight="1" x14ac:dyDescent="0.2">
      <c r="A32" s="15" t="s">
        <v>124</v>
      </c>
      <c r="B32" s="16">
        <v>70000</v>
      </c>
      <c r="C32" s="267">
        <f>B32/'- 3 -'!$D32*100</f>
        <v>0.22354762544838067</v>
      </c>
      <c r="D32" s="16">
        <f>B32/'- 7 -'!$E32</f>
        <v>31.631269769543607</v>
      </c>
    </row>
    <row r="33" spans="1:5" ht="14.1" customHeight="1" x14ac:dyDescent="0.2">
      <c r="A33" s="271" t="s">
        <v>125</v>
      </c>
      <c r="B33" s="272">
        <v>75700</v>
      </c>
      <c r="C33" s="273">
        <f>B33/'- 3 -'!$D33*100</f>
        <v>0.26678790185588519</v>
      </c>
      <c r="D33" s="272">
        <f>B33/'- 7 -'!$E33</f>
        <v>38.155241935483872</v>
      </c>
    </row>
    <row r="34" spans="1:5" ht="14.1" customHeight="1" x14ac:dyDescent="0.2">
      <c r="A34" s="15" t="s">
        <v>126</v>
      </c>
      <c r="B34" s="16">
        <v>59199</v>
      </c>
      <c r="C34" s="267">
        <f>B34/'- 3 -'!$D34*100</f>
        <v>0.19254884529564326</v>
      </c>
      <c r="D34" s="16">
        <f>B34/'- 7 -'!$E34</f>
        <v>28.807299270072992</v>
      </c>
    </row>
    <row r="35" spans="1:5" ht="14.1" customHeight="1" x14ac:dyDescent="0.2">
      <c r="A35" s="271" t="s">
        <v>127</v>
      </c>
      <c r="B35" s="272">
        <v>1049474</v>
      </c>
      <c r="C35" s="273">
        <f>B35/'- 3 -'!$D35*100</f>
        <v>0.56661690482596194</v>
      </c>
      <c r="D35" s="272">
        <f>B35/'- 7 -'!$E35</f>
        <v>66.83483521732208</v>
      </c>
    </row>
    <row r="36" spans="1:5" ht="14.1" customHeight="1" x14ac:dyDescent="0.2">
      <c r="A36" s="15" t="s">
        <v>128</v>
      </c>
      <c r="B36" s="16">
        <v>40600</v>
      </c>
      <c r="C36" s="267">
        <f>B36/'- 3 -'!$D36*100</f>
        <v>0.16934832802937985</v>
      </c>
      <c r="D36" s="16">
        <f>B36/'- 7 -'!$E36</f>
        <v>24.145108534046983</v>
      </c>
    </row>
    <row r="37" spans="1:5" ht="14.1" customHeight="1" x14ac:dyDescent="0.2">
      <c r="A37" s="271" t="s">
        <v>129</v>
      </c>
      <c r="B37" s="272">
        <v>191800</v>
      </c>
      <c r="C37" s="273">
        <f>B37/'- 3 -'!$D37*100</f>
        <v>0.36791928027469262</v>
      </c>
      <c r="D37" s="272">
        <f>B37/'- 7 -'!$E37</f>
        <v>45.090156804664176</v>
      </c>
    </row>
    <row r="38" spans="1:5" ht="14.1" customHeight="1" x14ac:dyDescent="0.2">
      <c r="A38" s="15" t="s">
        <v>130</v>
      </c>
      <c r="B38" s="16">
        <v>482350</v>
      </c>
      <c r="C38" s="267">
        <f>B38/'- 3 -'!$D38*100</f>
        <v>0.34157315273967376</v>
      </c>
      <c r="D38" s="16">
        <f>B38/'- 7 -'!$E38</f>
        <v>42.723649247121344</v>
      </c>
    </row>
    <row r="39" spans="1:5" ht="14.1" customHeight="1" x14ac:dyDescent="0.2">
      <c r="A39" s="271" t="s">
        <v>131</v>
      </c>
      <c r="B39" s="272">
        <v>68000</v>
      </c>
      <c r="C39" s="273">
        <f>B39/'- 3 -'!$D39*100</f>
        <v>0.29221483806785831</v>
      </c>
      <c r="D39" s="272">
        <f>B39/'- 7 -'!$E39</f>
        <v>45.092838196286472</v>
      </c>
    </row>
    <row r="40" spans="1:5" ht="14.1" customHeight="1" x14ac:dyDescent="0.2">
      <c r="A40" s="15" t="s">
        <v>132</v>
      </c>
      <c r="B40" s="16">
        <v>460848</v>
      </c>
      <c r="C40" s="267">
        <f>B40/'- 3 -'!$D40*100</f>
        <v>0.42749924555355262</v>
      </c>
      <c r="D40" s="16">
        <f>B40/'- 7 -'!$E40</f>
        <v>56.066961895956005</v>
      </c>
    </row>
    <row r="41" spans="1:5" ht="14.1" customHeight="1" x14ac:dyDescent="0.2">
      <c r="A41" s="271" t="s">
        <v>133</v>
      </c>
      <c r="B41" s="272">
        <v>112754</v>
      </c>
      <c r="C41" s="273">
        <f>B41/'- 3 -'!$D41*100</f>
        <v>0.17458207656116323</v>
      </c>
      <c r="D41" s="272">
        <f>B41/'- 7 -'!$E41</f>
        <v>25.46386630532972</v>
      </c>
    </row>
    <row r="42" spans="1:5" ht="14.1" customHeight="1" x14ac:dyDescent="0.2">
      <c r="A42" s="15" t="s">
        <v>134</v>
      </c>
      <c r="B42" s="16">
        <v>21800</v>
      </c>
      <c r="C42" s="267">
        <f>B42/'- 3 -'!$D42*100</f>
        <v>0.1016178872839478</v>
      </c>
      <c r="D42" s="16">
        <f>B42/'- 7 -'!$E42</f>
        <v>15.717375630857967</v>
      </c>
    </row>
    <row r="43" spans="1:5" ht="14.1" customHeight="1" x14ac:dyDescent="0.2">
      <c r="A43" s="271" t="s">
        <v>135</v>
      </c>
      <c r="B43" s="272">
        <v>32000</v>
      </c>
      <c r="C43" s="273">
        <f>B43/'- 3 -'!$D43*100</f>
        <v>0.23410284401303191</v>
      </c>
      <c r="D43" s="272">
        <f>B43/'- 7 -'!$E43</f>
        <v>33.595800524934383</v>
      </c>
    </row>
    <row r="44" spans="1:5" ht="14.1" customHeight="1" x14ac:dyDescent="0.2">
      <c r="A44" s="15" t="s">
        <v>136</v>
      </c>
      <c r="B44" s="16">
        <v>8000</v>
      </c>
      <c r="C44" s="267">
        <f>B44/'- 3 -'!$D44*100</f>
        <v>7.0921834918081739E-2</v>
      </c>
      <c r="D44" s="16">
        <f>B44/'- 7 -'!$E44</f>
        <v>11.173184357541899</v>
      </c>
    </row>
    <row r="45" spans="1:5" ht="14.1" customHeight="1" x14ac:dyDescent="0.2">
      <c r="A45" s="271" t="s">
        <v>137</v>
      </c>
      <c r="B45" s="272">
        <v>74500</v>
      </c>
      <c r="C45" s="273">
        <f>B45/'- 3 -'!$D45*100</f>
        <v>0.36832709344389147</v>
      </c>
      <c r="D45" s="272">
        <f>B45/'- 7 -'!$E45</f>
        <v>43.013856812933028</v>
      </c>
    </row>
    <row r="46" spans="1:5" ht="14.1" customHeight="1" x14ac:dyDescent="0.2">
      <c r="A46" s="15" t="s">
        <v>138</v>
      </c>
      <c r="B46" s="16">
        <v>1361800</v>
      </c>
      <c r="C46" s="267">
        <f>B46/'- 3 -'!$D46*100</f>
        <v>0.33836591970903213</v>
      </c>
      <c r="D46" s="16">
        <f>B46/'- 7 -'!$E46</f>
        <v>45.002561094496123</v>
      </c>
    </row>
    <row r="47" spans="1:5" ht="5.0999999999999996" customHeight="1" x14ac:dyDescent="0.2">
      <c r="A47"/>
      <c r="B47"/>
      <c r="C47"/>
      <c r="D47"/>
    </row>
    <row r="48" spans="1:5" ht="14.1" customHeight="1" x14ac:dyDescent="0.2">
      <c r="A48" s="274" t="s">
        <v>139</v>
      </c>
      <c r="B48" s="275">
        <f>SUM(B11:B46)</f>
        <v>9103397</v>
      </c>
      <c r="C48" s="276">
        <f>B48/'- 3 -'!$D48*100</f>
        <v>0.38373765224036244</v>
      </c>
      <c r="D48" s="275">
        <f>B48/'- 7 -'!$E48</f>
        <v>51.300715623474439</v>
      </c>
      <c r="E48" s="29"/>
    </row>
    <row r="49" spans="1:4" ht="5.0999999999999996" customHeight="1" x14ac:dyDescent="0.2">
      <c r="A49" s="17" t="s">
        <v>1</v>
      </c>
      <c r="B49" s="18"/>
      <c r="C49" s="266"/>
      <c r="D49" s="18"/>
    </row>
    <row r="50" spans="1:4" ht="14.1" customHeight="1" x14ac:dyDescent="0.2">
      <c r="A50" s="15" t="s">
        <v>140</v>
      </c>
      <c r="B50" s="16">
        <v>6000</v>
      </c>
      <c r="C50" s="267">
        <f>B50/'- 3 -'!$D50*100</f>
        <v>0.1685506888104816</v>
      </c>
      <c r="D50" s="16">
        <f>B50/'- 7 -'!$E50</f>
        <v>37.037037037037038</v>
      </c>
    </row>
    <row r="51" spans="1:4" ht="14.1" customHeight="1" x14ac:dyDescent="0.2">
      <c r="A51" s="360" t="s">
        <v>516</v>
      </c>
      <c r="B51" s="272">
        <v>1437628</v>
      </c>
      <c r="C51" s="273">
        <f>B51/'- 3 -'!$D51*100</f>
        <v>4.6968915684433972</v>
      </c>
      <c r="D51" s="272">
        <f>B51/'- 7 -'!$E51</f>
        <v>1348.6191369606004</v>
      </c>
    </row>
    <row r="52" spans="1:4" ht="50.1" customHeight="1" x14ac:dyDescent="0.2"/>
    <row r="53" spans="1:4" ht="15" customHeight="1" x14ac:dyDescent="0.2"/>
    <row r="54" spans="1:4" ht="14.45" customHeight="1" x14ac:dyDescent="0.2"/>
    <row r="55" spans="1:4" ht="14.45" customHeight="1" x14ac:dyDescent="0.2"/>
    <row r="56" spans="1:4" ht="14.45" customHeight="1" x14ac:dyDescent="0.2"/>
    <row r="57" spans="1:4" ht="14.45" customHeight="1" x14ac:dyDescent="0.2"/>
    <row r="58" spans="1:4" ht="14.45" customHeight="1" x14ac:dyDescent="0.2"/>
    <row r="59" spans="1:4" ht="14.45" customHeight="1" x14ac:dyDescent="0.2"/>
  </sheetData>
  <mergeCells count="3">
    <mergeCell ref="D8:D9"/>
    <mergeCell ref="B6:D7"/>
    <mergeCell ref="B5:D5"/>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J59"/>
  <sheetViews>
    <sheetView showGridLines="0" showZeros="0" workbookViewId="0"/>
  </sheetViews>
  <sheetFormatPr defaultColWidth="15.83203125" defaultRowHeight="12" x14ac:dyDescent="0.2"/>
  <cols>
    <col min="1" max="1" width="29.83203125" style="1" customWidth="1"/>
    <col min="2" max="2" width="15" style="1" customWidth="1"/>
    <col min="3" max="3" width="9.1640625" style="1" customWidth="1"/>
    <col min="4" max="4" width="9.83203125" style="1" customWidth="1"/>
    <col min="5" max="5" width="12.6640625" style="1" customWidth="1"/>
    <col min="6" max="6" width="8.1640625" style="1" customWidth="1"/>
    <col min="7" max="7" width="9.1640625" style="1" customWidth="1"/>
    <col min="8" max="8" width="12.6640625" style="1" customWidth="1"/>
    <col min="9" max="9" width="8.5" style="1" customWidth="1"/>
    <col min="10" max="10" width="9.1640625" style="1" customWidth="1"/>
    <col min="11" max="16384" width="15.83203125" style="1"/>
  </cols>
  <sheetData>
    <row r="1" spans="1:10" ht="6.95" customHeight="1" x14ac:dyDescent="0.2">
      <c r="A1" s="3"/>
      <c r="B1" s="4"/>
      <c r="C1" s="4"/>
      <c r="D1" s="4"/>
      <c r="E1" s="4"/>
      <c r="F1" s="4"/>
      <c r="G1" s="4"/>
      <c r="H1" s="4"/>
      <c r="I1" s="4"/>
      <c r="J1" s="4"/>
    </row>
    <row r="2" spans="1:10" ht="15.95" customHeight="1" x14ac:dyDescent="0.2">
      <c r="A2" s="132"/>
      <c r="B2" s="5" t="str">
        <f>AEXP_BP</f>
        <v>ANALYSIS OF EXPENSE BY PROGRAM</v>
      </c>
      <c r="C2" s="6"/>
      <c r="D2" s="133"/>
      <c r="E2" s="6"/>
      <c r="F2" s="6"/>
      <c r="G2" s="6"/>
      <c r="H2" s="85"/>
      <c r="I2" s="85"/>
      <c r="J2" s="503" t="s">
        <v>533</v>
      </c>
    </row>
    <row r="3" spans="1:10" ht="15.95" customHeight="1" x14ac:dyDescent="0.2">
      <c r="A3" s="135"/>
      <c r="B3" s="7" t="str">
        <f>OPYEAR</f>
        <v>OPERATING FUND 2017/2018 BUDGET</v>
      </c>
      <c r="C3" s="8"/>
      <c r="D3" s="144"/>
      <c r="E3" s="8"/>
      <c r="F3" s="8"/>
      <c r="G3" s="8"/>
      <c r="H3" s="87"/>
      <c r="I3" s="87"/>
      <c r="J3" s="8"/>
    </row>
    <row r="4" spans="1:10" ht="15.95" customHeight="1" x14ac:dyDescent="0.2">
      <c r="B4" s="4"/>
      <c r="C4" s="4"/>
      <c r="D4" s="4"/>
      <c r="E4" s="4"/>
      <c r="F4" s="4"/>
      <c r="G4" s="4"/>
      <c r="H4" s="4"/>
      <c r="I4" s="4"/>
      <c r="J4" s="4"/>
    </row>
    <row r="5" spans="1:10" ht="15.95" customHeight="1" x14ac:dyDescent="0.2">
      <c r="B5" s="688" t="s">
        <v>246</v>
      </c>
      <c r="C5" s="689"/>
      <c r="D5" s="689"/>
      <c r="E5" s="689"/>
      <c r="F5" s="689"/>
      <c r="G5" s="689"/>
      <c r="H5" s="689"/>
      <c r="I5" s="689"/>
      <c r="J5" s="690"/>
    </row>
    <row r="6" spans="1:10" ht="15.95" customHeight="1" x14ac:dyDescent="0.2">
      <c r="B6" s="624" t="s">
        <v>422</v>
      </c>
      <c r="C6" s="630"/>
      <c r="D6" s="621"/>
      <c r="E6" s="624" t="s">
        <v>423</v>
      </c>
      <c r="F6" s="630"/>
      <c r="G6" s="621"/>
      <c r="H6" s="620" t="s">
        <v>424</v>
      </c>
      <c r="I6" s="628"/>
      <c r="J6" s="613"/>
    </row>
    <row r="7" spans="1:10" ht="15.95" customHeight="1" x14ac:dyDescent="0.2">
      <c r="B7" s="622"/>
      <c r="C7" s="631"/>
      <c r="D7" s="623"/>
      <c r="E7" s="622"/>
      <c r="F7" s="631"/>
      <c r="G7" s="623"/>
      <c r="H7" s="627"/>
      <c r="I7" s="629"/>
      <c r="J7" s="615"/>
    </row>
    <row r="8" spans="1:10" ht="15.95" customHeight="1" x14ac:dyDescent="0.2">
      <c r="A8" s="82"/>
      <c r="B8" s="138"/>
      <c r="C8" s="137"/>
      <c r="D8" s="538" t="s">
        <v>396</v>
      </c>
      <c r="E8" s="138"/>
      <c r="F8" s="137"/>
      <c r="G8" s="538" t="s">
        <v>396</v>
      </c>
      <c r="H8" s="138"/>
      <c r="I8" s="137"/>
      <c r="J8" s="538" t="s">
        <v>396</v>
      </c>
    </row>
    <row r="9" spans="1:10" ht="15.95" customHeight="1" x14ac:dyDescent="0.2">
      <c r="A9" s="27" t="s">
        <v>37</v>
      </c>
      <c r="B9" s="89" t="s">
        <v>38</v>
      </c>
      <c r="C9" s="89" t="s">
        <v>39</v>
      </c>
      <c r="D9" s="578"/>
      <c r="E9" s="89" t="s">
        <v>38</v>
      </c>
      <c r="F9" s="89" t="s">
        <v>39</v>
      </c>
      <c r="G9" s="578"/>
      <c r="H9" s="89" t="s">
        <v>38</v>
      </c>
      <c r="I9" s="89" t="s">
        <v>39</v>
      </c>
      <c r="J9" s="578"/>
    </row>
    <row r="10" spans="1:10" ht="5.0999999999999996" customHeight="1" x14ac:dyDescent="0.2">
      <c r="A10" s="29"/>
    </row>
    <row r="11" spans="1:10" ht="14.1" customHeight="1" x14ac:dyDescent="0.2">
      <c r="A11" s="271" t="s">
        <v>104</v>
      </c>
      <c r="B11" s="272">
        <v>0</v>
      </c>
      <c r="C11" s="273">
        <f>B11/'- 3 -'!$D11*100</f>
        <v>0</v>
      </c>
      <c r="D11" s="272">
        <f>B11/'- 7 -'!$C11</f>
        <v>0</v>
      </c>
      <c r="E11" s="272">
        <v>152900</v>
      </c>
      <c r="F11" s="273">
        <f>E11/'- 3 -'!$D11*100</f>
        <v>0.7579582893917467</v>
      </c>
      <c r="G11" s="272">
        <f>E11/'- 7 -'!$E11</f>
        <v>85.133630289532292</v>
      </c>
      <c r="H11" s="272">
        <v>246231</v>
      </c>
      <c r="I11" s="273">
        <f>H11/'- 3 -'!$D11*100</f>
        <v>1.2206201932977054</v>
      </c>
      <c r="J11" s="272">
        <f>H11/'- 7 -'!$E11</f>
        <v>137.09966592427617</v>
      </c>
    </row>
    <row r="12" spans="1:10" ht="14.1" customHeight="1" x14ac:dyDescent="0.2">
      <c r="A12" s="15" t="s">
        <v>105</v>
      </c>
      <c r="B12" s="16">
        <v>0</v>
      </c>
      <c r="C12" s="267">
        <f>B12/'- 3 -'!$D12*100</f>
        <v>0</v>
      </c>
      <c r="D12" s="16">
        <f>B12/'- 7 -'!$C12</f>
        <v>0</v>
      </c>
      <c r="E12" s="16">
        <v>0</v>
      </c>
      <c r="F12" s="267">
        <f>E12/'- 3 -'!$D12*100</f>
        <v>0</v>
      </c>
      <c r="G12" s="16">
        <f>E12/'- 7 -'!$E12</f>
        <v>0</v>
      </c>
      <c r="H12" s="16">
        <v>275895</v>
      </c>
      <c r="I12" s="267">
        <f>H12/'- 3 -'!$D12*100</f>
        <v>0.78755936239933921</v>
      </c>
      <c r="J12" s="16">
        <f>H12/'- 7 -'!$E12</f>
        <v>128.32325581395349</v>
      </c>
    </row>
    <row r="13" spans="1:10" ht="14.1" customHeight="1" x14ac:dyDescent="0.2">
      <c r="A13" s="271" t="s">
        <v>106</v>
      </c>
      <c r="B13" s="272">
        <v>83800</v>
      </c>
      <c r="C13" s="273">
        <f>B13/'- 3 -'!$D13*100</f>
        <v>8.2284322774493823E-2</v>
      </c>
      <c r="D13" s="272">
        <f>B13/'- 7 -'!$C13</f>
        <v>9.824150058616647</v>
      </c>
      <c r="E13" s="272">
        <v>572200</v>
      </c>
      <c r="F13" s="273">
        <f>E13/'- 3 -'!$D13*100</f>
        <v>0.5618507099232144</v>
      </c>
      <c r="G13" s="272">
        <f>E13/'- 7 -'!$E13</f>
        <v>67.080890973036347</v>
      </c>
      <c r="H13" s="272">
        <v>1070300</v>
      </c>
      <c r="I13" s="273">
        <f>H13/'- 3 -'!$D13*100</f>
        <v>1.0509416547200565</v>
      </c>
      <c r="J13" s="272">
        <f>H13/'- 7 -'!$E13</f>
        <v>125.47479484173505</v>
      </c>
    </row>
    <row r="14" spans="1:10" ht="14.1" customHeight="1" x14ac:dyDescent="0.2">
      <c r="A14" s="15" t="s">
        <v>315</v>
      </c>
      <c r="B14" s="16">
        <v>186604</v>
      </c>
      <c r="C14" s="267">
        <f>B14/'- 3 -'!$D14*100</f>
        <v>0.20670514977671448</v>
      </c>
      <c r="D14" s="16">
        <f>B14/'- 7 -'!$C14</f>
        <v>33.501615798922799</v>
      </c>
      <c r="E14" s="16">
        <v>1859392</v>
      </c>
      <c r="F14" s="267">
        <f>E14/'- 3 -'!$D14*100</f>
        <v>2.0596873692612414</v>
      </c>
      <c r="G14" s="16">
        <f>E14/'- 7 -'!$E14</f>
        <v>333.82262118491923</v>
      </c>
      <c r="H14" s="16">
        <v>906745</v>
      </c>
      <c r="I14" s="267">
        <f>H14/'- 3 -'!$D14*100</f>
        <v>1.0044203823834803</v>
      </c>
      <c r="J14" s="16">
        <f>H14/'- 7 -'!$E14</f>
        <v>162.79084380610414</v>
      </c>
    </row>
    <row r="15" spans="1:10" ht="14.1" customHeight="1" x14ac:dyDescent="0.2">
      <c r="A15" s="271" t="s">
        <v>107</v>
      </c>
      <c r="B15" s="272">
        <v>69600</v>
      </c>
      <c r="C15" s="273">
        <f>B15/'- 3 -'!$D15*100</f>
        <v>0.33600405058676153</v>
      </c>
      <c r="D15" s="272">
        <f>B15/'- 7 -'!$C15</f>
        <v>50.507982583454279</v>
      </c>
      <c r="E15" s="272">
        <v>192000</v>
      </c>
      <c r="F15" s="273">
        <f>E15/'- 3 -'!$D15*100</f>
        <v>0.92690772575658353</v>
      </c>
      <c r="G15" s="272">
        <f>E15/'- 7 -'!$E15</f>
        <v>139.33236574746007</v>
      </c>
      <c r="H15" s="272">
        <v>218100</v>
      </c>
      <c r="I15" s="273">
        <f>H15/'- 3 -'!$D15*100</f>
        <v>1.0529092447266191</v>
      </c>
      <c r="J15" s="272">
        <f>H15/'- 7 -'!$E15</f>
        <v>158.27285921625545</v>
      </c>
    </row>
    <row r="16" spans="1:10" ht="14.1" customHeight="1" x14ac:dyDescent="0.2">
      <c r="A16" s="15" t="s">
        <v>108</v>
      </c>
      <c r="B16" s="16">
        <v>0</v>
      </c>
      <c r="C16" s="267">
        <f>B16/'- 3 -'!$D16*100</f>
        <v>0</v>
      </c>
      <c r="D16" s="16">
        <f>B16/'- 7 -'!$C16</f>
        <v>0</v>
      </c>
      <c r="E16" s="16">
        <v>0</v>
      </c>
      <c r="F16" s="267">
        <f>E16/'- 3 -'!$D16*100</f>
        <v>0</v>
      </c>
      <c r="G16" s="16">
        <f>E16/'- 7 -'!$E16</f>
        <v>0</v>
      </c>
      <c r="H16" s="16">
        <v>162945</v>
      </c>
      <c r="I16" s="267">
        <f>H16/'- 3 -'!$D16*100</f>
        <v>1.1016648461651422</v>
      </c>
      <c r="J16" s="16">
        <f>H16/'- 7 -'!$E16</f>
        <v>175.68194070080864</v>
      </c>
    </row>
    <row r="17" spans="1:10" ht="14.1" customHeight="1" x14ac:dyDescent="0.2">
      <c r="A17" s="271" t="s">
        <v>109</v>
      </c>
      <c r="B17" s="272">
        <v>0</v>
      </c>
      <c r="C17" s="273">
        <f>B17/'- 3 -'!$D17*100</f>
        <v>0</v>
      </c>
      <c r="D17" s="272">
        <f>B17/'- 7 -'!$C17</f>
        <v>0</v>
      </c>
      <c r="E17" s="272">
        <v>114150</v>
      </c>
      <c r="F17" s="273">
        <f>E17/'- 3 -'!$D17*100</f>
        <v>0.6104158603098998</v>
      </c>
      <c r="G17" s="272">
        <f>E17/'- 7 -'!$E17</f>
        <v>81.043663471778487</v>
      </c>
      <c r="H17" s="272">
        <v>234970</v>
      </c>
      <c r="I17" s="273">
        <f>H17/'- 3 -'!$D17*100</f>
        <v>1.2564994717215694</v>
      </c>
      <c r="J17" s="272">
        <f>H17/'- 7 -'!$E17</f>
        <v>166.82286119985801</v>
      </c>
    </row>
    <row r="18" spans="1:10" ht="14.1" customHeight="1" x14ac:dyDescent="0.2">
      <c r="A18" s="15" t="s">
        <v>110</v>
      </c>
      <c r="B18" s="16">
        <v>0</v>
      </c>
      <c r="C18" s="267">
        <f>B18/'- 3 -'!$D18*100</f>
        <v>0</v>
      </c>
      <c r="D18" s="16">
        <f>B18/'- 7 -'!$C18</f>
        <v>0</v>
      </c>
      <c r="E18" s="16">
        <v>2823707</v>
      </c>
      <c r="F18" s="267">
        <f>E18/'- 3 -'!$D18*100</f>
        <v>2.1432074669931156</v>
      </c>
      <c r="G18" s="16">
        <f>E18/'- 7 -'!$E18</f>
        <v>461.7823968077451</v>
      </c>
      <c r="H18" s="16">
        <v>1933875</v>
      </c>
      <c r="I18" s="267">
        <f>H18/'- 3 -'!$D18*100</f>
        <v>1.4678206131979388</v>
      </c>
      <c r="J18" s="16">
        <f>H18/'- 7 -'!$E18</f>
        <v>316.26136586642247</v>
      </c>
    </row>
    <row r="19" spans="1:10" ht="14.1" customHeight="1" x14ac:dyDescent="0.2">
      <c r="A19" s="271" t="s">
        <v>111</v>
      </c>
      <c r="B19" s="272">
        <v>51450</v>
      </c>
      <c r="C19" s="273">
        <f>B19/'- 3 -'!$D19*100</f>
        <v>0.1055758906280559</v>
      </c>
      <c r="D19" s="272">
        <f>B19/'- 7 -'!$C19</f>
        <v>11.858937420767546</v>
      </c>
      <c r="E19" s="272">
        <v>203300</v>
      </c>
      <c r="F19" s="273">
        <f>E19/'- 3 -'!$D19*100</f>
        <v>0.41717353867218199</v>
      </c>
      <c r="G19" s="272">
        <f>E19/'- 7 -'!$E19</f>
        <v>46.859513656793823</v>
      </c>
      <c r="H19" s="272">
        <v>500416</v>
      </c>
      <c r="I19" s="273">
        <f>H19/'- 3 -'!$D19*100</f>
        <v>1.0268584039753006</v>
      </c>
      <c r="J19" s="272">
        <f>H19/'- 7 -'!$E19</f>
        <v>115.34309093004495</v>
      </c>
    </row>
    <row r="20" spans="1:10" ht="14.1" customHeight="1" x14ac:dyDescent="0.2">
      <c r="A20" s="15" t="s">
        <v>112</v>
      </c>
      <c r="B20" s="16">
        <v>40800</v>
      </c>
      <c r="C20" s="267">
        <f>B20/'- 3 -'!$D20*100</f>
        <v>4.8057216356414932E-2</v>
      </c>
      <c r="D20" s="16">
        <f>B20/'- 7 -'!$C20</f>
        <v>5.26791478373144</v>
      </c>
      <c r="E20" s="16">
        <v>583900</v>
      </c>
      <c r="F20" s="267">
        <f>E20/'- 3 -'!$D20*100</f>
        <v>0.68776001545369314</v>
      </c>
      <c r="G20" s="16">
        <f>E20/'- 7 -'!$E20</f>
        <v>75.390574564234996</v>
      </c>
      <c r="H20" s="16">
        <v>913200</v>
      </c>
      <c r="I20" s="267">
        <f>H20/'- 3 -'!$D20*100</f>
        <v>1.0756335778597577</v>
      </c>
      <c r="J20" s="16">
        <f>H20/'- 7 -'!$E20</f>
        <v>117.90832795351839</v>
      </c>
    </row>
    <row r="21" spans="1:10" ht="14.1" customHeight="1" x14ac:dyDescent="0.2">
      <c r="A21" s="271" t="s">
        <v>113</v>
      </c>
      <c r="B21" s="272">
        <v>0</v>
      </c>
      <c r="C21" s="273">
        <f>B21/'- 3 -'!$D21*100</f>
        <v>0</v>
      </c>
      <c r="D21" s="272">
        <f>B21/'- 7 -'!$C21</f>
        <v>0</v>
      </c>
      <c r="E21" s="272">
        <v>0</v>
      </c>
      <c r="F21" s="273">
        <f>E21/'- 3 -'!$D21*100</f>
        <v>0</v>
      </c>
      <c r="G21" s="272">
        <f>E21/'- 7 -'!$E21</f>
        <v>0</v>
      </c>
      <c r="H21" s="272">
        <v>560050</v>
      </c>
      <c r="I21" s="273">
        <f>H21/'- 3 -'!$D21*100</f>
        <v>1.507967280031449</v>
      </c>
      <c r="J21" s="272">
        <f>H21/'- 7 -'!$E21</f>
        <v>203.24804935583379</v>
      </c>
    </row>
    <row r="22" spans="1:10" ht="14.1" customHeight="1" x14ac:dyDescent="0.2">
      <c r="A22" s="15" t="s">
        <v>114</v>
      </c>
      <c r="B22" s="16">
        <v>24410</v>
      </c>
      <c r="C22" s="267">
        <f>B22/'- 3 -'!$D22*100</f>
        <v>0.11449133904210945</v>
      </c>
      <c r="D22" s="16">
        <f>B22/'- 7 -'!$C22</f>
        <v>16.067667193259609</v>
      </c>
      <c r="E22" s="16">
        <v>75450</v>
      </c>
      <c r="F22" s="267">
        <f>E22/'- 3 -'!$D22*100</f>
        <v>0.35388658462626621</v>
      </c>
      <c r="G22" s="16">
        <f>E22/'- 7 -'!$E22</f>
        <v>49.66429699842022</v>
      </c>
      <c r="H22" s="16">
        <v>189625</v>
      </c>
      <c r="I22" s="267">
        <f>H22/'- 3 -'!$D22*100</f>
        <v>0.88940680728635835</v>
      </c>
      <c r="J22" s="16">
        <f>H22/'- 7 -'!$E22</f>
        <v>124.81898367561874</v>
      </c>
    </row>
    <row r="23" spans="1:10" ht="14.1" customHeight="1" x14ac:dyDescent="0.2">
      <c r="A23" s="271" t="s">
        <v>115</v>
      </c>
      <c r="B23" s="272">
        <v>0</v>
      </c>
      <c r="C23" s="273">
        <f>B23/'- 3 -'!$D23*100</f>
        <v>0</v>
      </c>
      <c r="D23" s="272">
        <f>B23/'- 7 -'!$C23</f>
        <v>0</v>
      </c>
      <c r="E23" s="272">
        <v>0</v>
      </c>
      <c r="F23" s="273">
        <f>E23/'- 3 -'!$D23*100</f>
        <v>0</v>
      </c>
      <c r="G23" s="272">
        <f>E23/'- 7 -'!$E23</f>
        <v>0</v>
      </c>
      <c r="H23" s="272">
        <v>136800</v>
      </c>
      <c r="I23" s="273">
        <f>H23/'- 3 -'!$D23*100</f>
        <v>0.81260965849544486</v>
      </c>
      <c r="J23" s="272">
        <f>H23/'- 7 -'!$E23</f>
        <v>123.80090497737557</v>
      </c>
    </row>
    <row r="24" spans="1:10" ht="14.1" customHeight="1" x14ac:dyDescent="0.2">
      <c r="A24" s="15" t="s">
        <v>116</v>
      </c>
      <c r="B24" s="16">
        <v>73595</v>
      </c>
      <c r="C24" s="267">
        <f>B24/'- 3 -'!$D24*100</f>
        <v>0.12597705610235291</v>
      </c>
      <c r="D24" s="16">
        <f>B24/'- 7 -'!$C24</f>
        <v>18.897162665297213</v>
      </c>
      <c r="E24" s="16">
        <v>127971</v>
      </c>
      <c r="F24" s="267">
        <f>E24/'- 3 -'!$D24*100</f>
        <v>0.21905577615971469</v>
      </c>
      <c r="G24" s="16">
        <f>E24/'- 7 -'!$E24</f>
        <v>32.859417126717162</v>
      </c>
      <c r="H24" s="16">
        <v>609055</v>
      </c>
      <c r="I24" s="267">
        <f>H24/'- 3 -'!$D24*100</f>
        <v>1.0425566397774109</v>
      </c>
      <c r="J24" s="16">
        <f>H24/'- 7 -'!$E24</f>
        <v>156.38849659776608</v>
      </c>
    </row>
    <row r="25" spans="1:10" ht="14.1" customHeight="1" x14ac:dyDescent="0.2">
      <c r="A25" s="271" t="s">
        <v>117</v>
      </c>
      <c r="B25" s="272">
        <v>241831</v>
      </c>
      <c r="C25" s="273">
        <f>B25/'- 3 -'!$D25*100</f>
        <v>0.13285076489158459</v>
      </c>
      <c r="D25" s="272">
        <f>B25/'- 7 -'!$C25</f>
        <v>16.709690792883055</v>
      </c>
      <c r="E25" s="272">
        <v>1177212</v>
      </c>
      <c r="F25" s="273">
        <f>E25/'- 3 -'!$D25*100</f>
        <v>0.64670581786268955</v>
      </c>
      <c r="G25" s="272">
        <f>E25/'- 7 -'!$E25</f>
        <v>81.341302470202109</v>
      </c>
      <c r="H25" s="272">
        <v>4208875</v>
      </c>
      <c r="I25" s="273">
        <f>H25/'- 3 -'!$D25*100</f>
        <v>2.3121612327744092</v>
      </c>
      <c r="J25" s="272">
        <f>H25/'- 7 -'!$E25</f>
        <v>290.81879426498534</v>
      </c>
    </row>
    <row r="26" spans="1:10" ht="14.1" customHeight="1" x14ac:dyDescent="0.2">
      <c r="A26" s="15" t="s">
        <v>118</v>
      </c>
      <c r="B26" s="16">
        <v>17038</v>
      </c>
      <c r="C26" s="267">
        <f>B26/'- 3 -'!$D26*100</f>
        <v>4.138504911541583E-2</v>
      </c>
      <c r="D26" s="16">
        <f>B26/'- 7 -'!$C26</f>
        <v>5.5862295081967215</v>
      </c>
      <c r="E26" s="16">
        <v>229374</v>
      </c>
      <c r="F26" s="267">
        <f>E26/'- 3 -'!$D26*100</f>
        <v>0.55714604154239877</v>
      </c>
      <c r="G26" s="16">
        <f>E26/'- 7 -'!$E26</f>
        <v>75.204590163934427</v>
      </c>
      <c r="H26" s="16">
        <v>554278</v>
      </c>
      <c r="I26" s="267">
        <f>H26/'- 3 -'!$D26*100</f>
        <v>1.3463330351915985</v>
      </c>
      <c r="J26" s="16">
        <f>H26/'- 7 -'!$E26</f>
        <v>181.73049180327868</v>
      </c>
    </row>
    <row r="27" spans="1:10" ht="14.1" customHeight="1" x14ac:dyDescent="0.2">
      <c r="A27" s="271" t="s">
        <v>119</v>
      </c>
      <c r="B27" s="272">
        <v>0</v>
      </c>
      <c r="C27" s="273">
        <f>B27/'- 3 -'!$D27*100</f>
        <v>0</v>
      </c>
      <c r="D27" s="272">
        <f>B27/'- 7 -'!$C27</f>
        <v>0</v>
      </c>
      <c r="E27" s="272">
        <v>687123</v>
      </c>
      <c r="F27" s="273">
        <f>E27/'- 3 -'!$D27*100</f>
        <v>1.5600326608276038</v>
      </c>
      <c r="G27" s="272">
        <f>E27/'- 7 -'!$E27</f>
        <v>229.77189345155068</v>
      </c>
      <c r="H27" s="272">
        <v>948615</v>
      </c>
      <c r="I27" s="273">
        <f>H27/'- 3 -'!$D27*100</f>
        <v>2.1537197598551896</v>
      </c>
      <c r="J27" s="272">
        <f>H27/'- 7 -'!$E27</f>
        <v>317.21404276460362</v>
      </c>
    </row>
    <row r="28" spans="1:10" ht="14.1" customHeight="1" x14ac:dyDescent="0.2">
      <c r="A28" s="15" t="s">
        <v>120</v>
      </c>
      <c r="B28" s="16">
        <v>108063</v>
      </c>
      <c r="C28" s="267">
        <f>B28/'- 3 -'!$D28*100</f>
        <v>0.37397242197799063</v>
      </c>
      <c r="D28" s="16">
        <f>B28/'- 7 -'!$C28</f>
        <v>55.162327718223587</v>
      </c>
      <c r="E28" s="16">
        <v>0</v>
      </c>
      <c r="F28" s="267">
        <f>E28/'- 3 -'!$D28*100</f>
        <v>0</v>
      </c>
      <c r="G28" s="16">
        <f>E28/'- 7 -'!$E28</f>
        <v>0</v>
      </c>
      <c r="H28" s="16">
        <v>297577</v>
      </c>
      <c r="I28" s="267">
        <f>H28/'- 3 -'!$D28*100</f>
        <v>1.0298214135730501</v>
      </c>
      <c r="J28" s="16">
        <f>H28/'- 7 -'!$E28</f>
        <v>151.9025012761613</v>
      </c>
    </row>
    <row r="29" spans="1:10" ht="14.1" customHeight="1" x14ac:dyDescent="0.2">
      <c r="A29" s="271" t="s">
        <v>121</v>
      </c>
      <c r="B29" s="272">
        <v>359216</v>
      </c>
      <c r="C29" s="273">
        <f>B29/'- 3 -'!$D29*100</f>
        <v>0.21853117685033474</v>
      </c>
      <c r="D29" s="272">
        <f>B29/'- 7 -'!$C29</f>
        <v>27.496842443680677</v>
      </c>
      <c r="E29" s="272">
        <v>563153</v>
      </c>
      <c r="F29" s="273">
        <f>E29/'- 3 -'!$D29*100</f>
        <v>0.34259745622911159</v>
      </c>
      <c r="G29" s="272">
        <f>E29/'- 7 -'!$E29</f>
        <v>43.107571245952585</v>
      </c>
      <c r="H29" s="272">
        <v>3626268</v>
      </c>
      <c r="I29" s="273">
        <f>H29/'- 3 -'!$D29*100</f>
        <v>2.2060615719085721</v>
      </c>
      <c r="J29" s="272">
        <f>H29/'- 7 -'!$E29</f>
        <v>277.57928336867246</v>
      </c>
    </row>
    <row r="30" spans="1:10" ht="14.1" customHeight="1" x14ac:dyDescent="0.2">
      <c r="A30" s="15" t="s">
        <v>122</v>
      </c>
      <c r="B30" s="16">
        <v>0</v>
      </c>
      <c r="C30" s="267">
        <f>B30/'- 3 -'!$D30*100</f>
        <v>0</v>
      </c>
      <c r="D30" s="16">
        <f>B30/'- 7 -'!$C30</f>
        <v>0</v>
      </c>
      <c r="E30" s="16">
        <v>0</v>
      </c>
      <c r="F30" s="267">
        <f>E30/'- 3 -'!$D30*100</f>
        <v>0</v>
      </c>
      <c r="G30" s="16">
        <f>E30/'- 7 -'!$E30</f>
        <v>0</v>
      </c>
      <c r="H30" s="16">
        <v>447603</v>
      </c>
      <c r="I30" s="267">
        <f>H30/'- 3 -'!$D30*100</f>
        <v>2.9550289985034159</v>
      </c>
      <c r="J30" s="16">
        <f>H30/'- 7 -'!$E30</f>
        <v>440.77104874446087</v>
      </c>
    </row>
    <row r="31" spans="1:10" ht="14.1" customHeight="1" x14ac:dyDescent="0.2">
      <c r="A31" s="271" t="s">
        <v>123</v>
      </c>
      <c r="B31" s="272">
        <v>0</v>
      </c>
      <c r="C31" s="273">
        <f>B31/'- 3 -'!$D31*100</f>
        <v>0</v>
      </c>
      <c r="D31" s="272">
        <f>B31/'- 7 -'!$C31</f>
        <v>0</v>
      </c>
      <c r="E31" s="272">
        <v>107288</v>
      </c>
      <c r="F31" s="273">
        <f>E31/'- 3 -'!$D31*100</f>
        <v>0.2802204403583462</v>
      </c>
      <c r="G31" s="272">
        <f>E31/'- 7 -'!$E31</f>
        <v>32.664941391383771</v>
      </c>
      <c r="H31" s="272">
        <v>492753</v>
      </c>
      <c r="I31" s="273">
        <f>H31/'- 3 -'!$D31*100</f>
        <v>1.2869981978217149</v>
      </c>
      <c r="J31" s="272">
        <f>H31/'- 7 -'!$E31</f>
        <v>150.02374790683513</v>
      </c>
    </row>
    <row r="32" spans="1:10" ht="14.1" customHeight="1" x14ac:dyDescent="0.2">
      <c r="A32" s="15" t="s">
        <v>124</v>
      </c>
      <c r="B32" s="16">
        <v>0</v>
      </c>
      <c r="C32" s="267">
        <f>B32/'- 3 -'!$D32*100</f>
        <v>0</v>
      </c>
      <c r="D32" s="16">
        <f>B32/'- 7 -'!$C32</f>
        <v>0</v>
      </c>
      <c r="E32" s="16">
        <v>128077</v>
      </c>
      <c r="F32" s="267">
        <f>E32/'- 3 -'!$D32*100</f>
        <v>0.4090187032078893</v>
      </c>
      <c r="G32" s="16">
        <f>E32/'- 7 -'!$E32</f>
        <v>57.87483054676909</v>
      </c>
      <c r="H32" s="16">
        <v>324568</v>
      </c>
      <c r="I32" s="267">
        <f>H32/'- 3 -'!$D32*100</f>
        <v>1.0365200813790003</v>
      </c>
      <c r="J32" s="16">
        <f>H32/'- 7 -'!$E32</f>
        <v>146.66425666516042</v>
      </c>
    </row>
    <row r="33" spans="1:10" ht="14.1" customHeight="1" x14ac:dyDescent="0.2">
      <c r="A33" s="271" t="s">
        <v>125</v>
      </c>
      <c r="B33" s="272">
        <v>0</v>
      </c>
      <c r="C33" s="273">
        <f>B33/'- 3 -'!$D33*100</f>
        <v>0</v>
      </c>
      <c r="D33" s="272">
        <f>B33/'- 7 -'!$C33</f>
        <v>0</v>
      </c>
      <c r="E33" s="272">
        <v>168100</v>
      </c>
      <c r="F33" s="273">
        <f>E33/'- 3 -'!$D33*100</f>
        <v>0.59243125894285742</v>
      </c>
      <c r="G33" s="272">
        <f>E33/'- 7 -'!$E33</f>
        <v>84.727822580645167</v>
      </c>
      <c r="H33" s="272">
        <v>409700</v>
      </c>
      <c r="I33" s="273">
        <f>H33/'- 3 -'!$D33*100</f>
        <v>1.4438970064776244</v>
      </c>
      <c r="J33" s="272">
        <f>H33/'- 7 -'!$E33</f>
        <v>206.50201612903226</v>
      </c>
    </row>
    <row r="34" spans="1:10" ht="14.1" customHeight="1" x14ac:dyDescent="0.2">
      <c r="A34" s="15" t="s">
        <v>126</v>
      </c>
      <c r="B34" s="16">
        <v>7540</v>
      </c>
      <c r="C34" s="267">
        <f>B34/'- 3 -'!$D34*100</f>
        <v>2.4524371924004629E-2</v>
      </c>
      <c r="D34" s="16">
        <f>B34/'- 7 -'!$C34</f>
        <v>3.6690997566909975</v>
      </c>
      <c r="E34" s="16">
        <v>167214</v>
      </c>
      <c r="F34" s="267">
        <f>E34/'- 3 -'!$D34*100</f>
        <v>0.54387510966850261</v>
      </c>
      <c r="G34" s="16">
        <f>E34/'- 7 -'!$E34</f>
        <v>81.369343065693428</v>
      </c>
      <c r="H34" s="16">
        <v>241149</v>
      </c>
      <c r="I34" s="267">
        <f>H34/'- 3 -'!$D34*100</f>
        <v>0.78435381500023771</v>
      </c>
      <c r="J34" s="16">
        <f>H34/'- 7 -'!$E34</f>
        <v>117.34744525547445</v>
      </c>
    </row>
    <row r="35" spans="1:10" ht="14.1" customHeight="1" x14ac:dyDescent="0.2">
      <c r="A35" s="271" t="s">
        <v>127</v>
      </c>
      <c r="B35" s="272">
        <v>423415</v>
      </c>
      <c r="C35" s="273">
        <f>B35/'- 3 -'!$D35*100</f>
        <v>0.22860413574503483</v>
      </c>
      <c r="D35" s="272">
        <f>B35/'- 7 -'!$C35</f>
        <v>26.964814519980894</v>
      </c>
      <c r="E35" s="272">
        <v>612248</v>
      </c>
      <c r="F35" s="273">
        <f>E35/'- 3 -'!$D35*100</f>
        <v>0.33055613263967049</v>
      </c>
      <c r="G35" s="272">
        <f>E35/'- 7 -'!$E35</f>
        <v>38.990479223053654</v>
      </c>
      <c r="H35" s="272">
        <v>4202140</v>
      </c>
      <c r="I35" s="273">
        <f>H35/'- 3 -'!$D35*100</f>
        <v>2.2687589787316007</v>
      </c>
      <c r="J35" s="272">
        <f>H35/'- 7 -'!$E35</f>
        <v>267.60961630313642</v>
      </c>
    </row>
    <row r="36" spans="1:10" ht="14.1" customHeight="1" x14ac:dyDescent="0.2">
      <c r="A36" s="15" t="s">
        <v>128</v>
      </c>
      <c r="B36" s="16">
        <v>16985</v>
      </c>
      <c r="C36" s="267">
        <f>B36/'- 3 -'!$D36*100</f>
        <v>7.0846831319680212E-2</v>
      </c>
      <c r="D36" s="16">
        <f>B36/'- 7 -'!$C36</f>
        <v>10.101100208147487</v>
      </c>
      <c r="E36" s="16">
        <v>235715</v>
      </c>
      <c r="F36" s="267">
        <f>E36/'- 3 -'!$D36*100</f>
        <v>0.9832005207252531</v>
      </c>
      <c r="G36" s="16">
        <f>E36/'- 7 -'!$E36</f>
        <v>140.18138566755871</v>
      </c>
      <c r="H36" s="16">
        <v>317100</v>
      </c>
      <c r="I36" s="267">
        <f>H36/'- 3 -'!$D36*100</f>
        <v>1.3226688378846392</v>
      </c>
      <c r="J36" s="16">
        <f>H36/'- 7 -'!$E36</f>
        <v>188.58162355040142</v>
      </c>
    </row>
    <row r="37" spans="1:10" ht="14.1" customHeight="1" x14ac:dyDescent="0.2">
      <c r="A37" s="271" t="s">
        <v>129</v>
      </c>
      <c r="B37" s="272">
        <v>60000</v>
      </c>
      <c r="C37" s="273">
        <f>B37/'- 3 -'!$D37*100</f>
        <v>0.11509466536226046</v>
      </c>
      <c r="D37" s="272">
        <f>B37/'- 7 -'!$C37</f>
        <v>14.105367092178575</v>
      </c>
      <c r="E37" s="272">
        <v>392000</v>
      </c>
      <c r="F37" s="273">
        <f>E37/'- 3 -'!$D37*100</f>
        <v>0.75195181370010167</v>
      </c>
      <c r="G37" s="272">
        <f>E37/'- 7 -'!$E37</f>
        <v>92.155065002233357</v>
      </c>
      <c r="H37" s="272">
        <v>582750</v>
      </c>
      <c r="I37" s="273">
        <f>H37/'- 3 -'!$D37*100</f>
        <v>1.1178569373309548</v>
      </c>
      <c r="J37" s="272">
        <f>H37/'- 7 -'!$E37</f>
        <v>136.99837788278441</v>
      </c>
    </row>
    <row r="38" spans="1:10" ht="14.1" customHeight="1" x14ac:dyDescent="0.2">
      <c r="A38" s="15" t="s">
        <v>130</v>
      </c>
      <c r="B38" s="16">
        <v>84780</v>
      </c>
      <c r="C38" s="267">
        <f>B38/'- 3 -'!$D38*100</f>
        <v>6.003642974866702E-2</v>
      </c>
      <c r="D38" s="16">
        <f>B38/'- 7 -'!$C38</f>
        <v>7.5093002657218779</v>
      </c>
      <c r="E38" s="16">
        <v>454830</v>
      </c>
      <c r="F38" s="267">
        <f>E38/'- 3 -'!$D38*100</f>
        <v>0.32208503588801868</v>
      </c>
      <c r="G38" s="16">
        <f>E38/'- 7 -'!$E38</f>
        <v>40.286093888396813</v>
      </c>
      <c r="H38" s="16">
        <v>1896120</v>
      </c>
      <c r="I38" s="267">
        <f>H38/'- 3 -'!$D38*100</f>
        <v>1.3427255859287865</v>
      </c>
      <c r="J38" s="16">
        <f>H38/'- 7 -'!$E38</f>
        <v>167.94685562444641</v>
      </c>
    </row>
    <row r="39" spans="1:10" ht="14.1" customHeight="1" x14ac:dyDescent="0.2">
      <c r="A39" s="271" t="s">
        <v>131</v>
      </c>
      <c r="B39" s="272">
        <v>0</v>
      </c>
      <c r="C39" s="273">
        <f>B39/'- 3 -'!$D39*100</f>
        <v>0</v>
      </c>
      <c r="D39" s="272">
        <f>B39/'- 7 -'!$C39</f>
        <v>0</v>
      </c>
      <c r="E39" s="272">
        <v>114400</v>
      </c>
      <c r="F39" s="273">
        <f>E39/'- 3 -'!$D39*100</f>
        <v>0.49160849227886749</v>
      </c>
      <c r="G39" s="272">
        <f>E39/'- 7 -'!$E39</f>
        <v>75.862068965517238</v>
      </c>
      <c r="H39" s="272">
        <v>286700</v>
      </c>
      <c r="I39" s="273">
        <f>H39/'- 3 -'!$D39*100</f>
        <v>1.2320293246184555</v>
      </c>
      <c r="J39" s="272">
        <f>H39/'- 7 -'!$E39</f>
        <v>190.11936339522546</v>
      </c>
    </row>
    <row r="40" spans="1:10" ht="14.1" customHeight="1" x14ac:dyDescent="0.2">
      <c r="A40" s="15" t="s">
        <v>132</v>
      </c>
      <c r="B40" s="16">
        <v>39840</v>
      </c>
      <c r="C40" s="267">
        <f>B40/'- 3 -'!$D40*100</f>
        <v>3.6957022581965274E-2</v>
      </c>
      <c r="D40" s="16">
        <f>B40/'- 7 -'!$C40</f>
        <v>4.8469511898389213</v>
      </c>
      <c r="E40" s="16">
        <v>1021866</v>
      </c>
      <c r="F40" s="267">
        <f>E40/'- 3 -'!$D40*100</f>
        <v>0.9479198001441399</v>
      </c>
      <c r="G40" s="16">
        <f>E40/'- 7 -'!$E40</f>
        <v>124.32064820672538</v>
      </c>
      <c r="H40" s="16">
        <v>1396443</v>
      </c>
      <c r="I40" s="267">
        <f>H40/'- 3 -'!$D40*100</f>
        <v>1.2953909509394412</v>
      </c>
      <c r="J40" s="16">
        <f>H40/'- 7 -'!$E40</f>
        <v>169.89184388534721</v>
      </c>
    </row>
    <row r="41" spans="1:10" ht="14.1" customHeight="1" x14ac:dyDescent="0.2">
      <c r="A41" s="271" t="s">
        <v>133</v>
      </c>
      <c r="B41" s="272">
        <v>44508</v>
      </c>
      <c r="C41" s="273">
        <f>B41/'- 3 -'!$D41*100</f>
        <v>6.8913733114428333E-2</v>
      </c>
      <c r="D41" s="272">
        <f>B41/'- 7 -'!$C41</f>
        <v>10.051490514905149</v>
      </c>
      <c r="E41" s="272">
        <v>327595</v>
      </c>
      <c r="F41" s="273">
        <f>E41/'- 3 -'!$D41*100</f>
        <v>0.50723003504136677</v>
      </c>
      <c r="G41" s="272">
        <f>E41/'- 7 -'!$E41</f>
        <v>73.982610659439928</v>
      </c>
      <c r="H41" s="272">
        <v>565588</v>
      </c>
      <c r="I41" s="273">
        <f>H41/'- 3 -'!$D41*100</f>
        <v>0.87572527376479048</v>
      </c>
      <c r="J41" s="272">
        <f>H41/'- 7 -'!$E41</f>
        <v>127.72990063233965</v>
      </c>
    </row>
    <row r="42" spans="1:10" ht="14.1" customHeight="1" x14ac:dyDescent="0.2">
      <c r="A42" s="15" t="s">
        <v>134</v>
      </c>
      <c r="B42" s="16">
        <v>0</v>
      </c>
      <c r="C42" s="267">
        <f>B42/'- 3 -'!$D42*100</f>
        <v>0</v>
      </c>
      <c r="D42" s="16">
        <f>B42/'- 7 -'!$C42</f>
        <v>0</v>
      </c>
      <c r="E42" s="16">
        <v>0</v>
      </c>
      <c r="F42" s="267">
        <f>E42/'- 3 -'!$D42*100</f>
        <v>0</v>
      </c>
      <c r="G42" s="16">
        <f>E42/'- 7 -'!$E42</f>
        <v>0</v>
      </c>
      <c r="H42" s="16">
        <v>319527</v>
      </c>
      <c r="I42" s="267">
        <f>H42/'- 3 -'!$D42*100</f>
        <v>1.4894338839531185</v>
      </c>
      <c r="J42" s="16">
        <f>H42/'- 7 -'!$E42</f>
        <v>230.37274693583274</v>
      </c>
    </row>
    <row r="43" spans="1:10" ht="14.1" customHeight="1" x14ac:dyDescent="0.2">
      <c r="A43" s="271" t="s">
        <v>135</v>
      </c>
      <c r="B43" s="272">
        <v>0</v>
      </c>
      <c r="C43" s="273">
        <f>B43/'- 3 -'!$D43*100</f>
        <v>0</v>
      </c>
      <c r="D43" s="272">
        <f>B43/'- 7 -'!$C43</f>
        <v>0</v>
      </c>
      <c r="E43" s="272">
        <v>48009</v>
      </c>
      <c r="F43" s="273">
        <f>E43/'- 3 -'!$D43*100</f>
        <v>0.35122010744442655</v>
      </c>
      <c r="G43" s="272">
        <f>E43/'- 7 -'!$E43</f>
        <v>50.403149606299216</v>
      </c>
      <c r="H43" s="272">
        <v>255888</v>
      </c>
      <c r="I43" s="273">
        <f>H43/'- 3 -'!$D43*100</f>
        <v>1.8720033921502097</v>
      </c>
      <c r="J43" s="272">
        <f>H43/'- 7 -'!$E43</f>
        <v>268.6488188976378</v>
      </c>
    </row>
    <row r="44" spans="1:10" ht="14.1" customHeight="1" x14ac:dyDescent="0.2">
      <c r="A44" s="15" t="s">
        <v>136</v>
      </c>
      <c r="B44" s="16">
        <v>0</v>
      </c>
      <c r="C44" s="267">
        <f>B44/'- 3 -'!$D44*100</f>
        <v>0</v>
      </c>
      <c r="D44" s="16">
        <f>B44/'- 7 -'!$C44</f>
        <v>0</v>
      </c>
      <c r="E44" s="16">
        <v>0</v>
      </c>
      <c r="F44" s="267">
        <f>E44/'- 3 -'!$D44*100</f>
        <v>0</v>
      </c>
      <c r="G44" s="16">
        <f>E44/'- 7 -'!$E44</f>
        <v>0</v>
      </c>
      <c r="H44" s="16">
        <v>130284</v>
      </c>
      <c r="I44" s="267">
        <f>H44/'- 3 -'!$D44*100</f>
        <v>1.15499754255842</v>
      </c>
      <c r="J44" s="16">
        <f>H44/'- 7 -'!$E44</f>
        <v>181.9608938547486</v>
      </c>
    </row>
    <row r="45" spans="1:10" ht="14.1" customHeight="1" x14ac:dyDescent="0.2">
      <c r="A45" s="271" t="s">
        <v>137</v>
      </c>
      <c r="B45" s="272">
        <v>0</v>
      </c>
      <c r="C45" s="273">
        <f>B45/'- 3 -'!$D45*100</f>
        <v>0</v>
      </c>
      <c r="D45" s="272">
        <f>B45/'- 7 -'!$C45</f>
        <v>0</v>
      </c>
      <c r="E45" s="272">
        <v>0</v>
      </c>
      <c r="F45" s="273">
        <f>E45/'- 3 -'!$D45*100</f>
        <v>0</v>
      </c>
      <c r="G45" s="272">
        <f>E45/'- 7 -'!$E45</f>
        <v>0</v>
      </c>
      <c r="H45" s="272">
        <v>225005</v>
      </c>
      <c r="I45" s="273">
        <f>H45/'- 3 -'!$D45*100</f>
        <v>1.1124219820180241</v>
      </c>
      <c r="J45" s="272">
        <f>H45/'- 7 -'!$E45</f>
        <v>129.91050808314088</v>
      </c>
    </row>
    <row r="46" spans="1:10" ht="14.1" customHeight="1" x14ac:dyDescent="0.2">
      <c r="A46" s="15" t="s">
        <v>138</v>
      </c>
      <c r="B46" s="16">
        <v>34100</v>
      </c>
      <c r="C46" s="267">
        <f>B46/'- 3 -'!$D46*100</f>
        <v>8.4728138214701099E-3</v>
      </c>
      <c r="D46" s="16">
        <f>B46/'- 7 -'!$C46</f>
        <v>1.1268815782951371</v>
      </c>
      <c r="E46" s="16">
        <v>745300</v>
      </c>
      <c r="F46" s="267">
        <f>E46/'- 3 -'!$D46*100</f>
        <v>0.18518440296603147</v>
      </c>
      <c r="G46" s="16">
        <f>E46/'- 7 -'!$E46</f>
        <v>24.629467457576709</v>
      </c>
      <c r="H46" s="16">
        <v>2079200</v>
      </c>
      <c r="I46" s="267">
        <f>H46/'- 3 -'!$D46*100</f>
        <v>0.51661802045749716</v>
      </c>
      <c r="J46" s="16">
        <f>H46/'- 7 -'!$E46</f>
        <v>68.71003453346772</v>
      </c>
    </row>
    <row r="47" spans="1:10" ht="5.0999999999999996" customHeight="1" x14ac:dyDescent="0.2">
      <c r="A47"/>
      <c r="B47"/>
      <c r="C47"/>
      <c r="D47"/>
      <c r="E47"/>
      <c r="F47"/>
      <c r="G47"/>
      <c r="H47"/>
      <c r="I47"/>
      <c r="J47"/>
    </row>
    <row r="48" spans="1:10" ht="14.1" customHeight="1" x14ac:dyDescent="0.2">
      <c r="A48" s="274" t="s">
        <v>139</v>
      </c>
      <c r="B48" s="275">
        <f>SUM(B11:B46)</f>
        <v>1967575</v>
      </c>
      <c r="C48" s="276">
        <f>B48/'- 3 -'!$D48*100</f>
        <v>8.2939655505173626E-2</v>
      </c>
      <c r="D48" s="275">
        <f>B48/'- 7 -'!$C48</f>
        <v>11.087949426226025</v>
      </c>
      <c r="E48" s="275">
        <f>SUM(E11:E46)</f>
        <v>13884474</v>
      </c>
      <c r="F48" s="276">
        <f>E48/'- 3 -'!$D48*100</f>
        <v>0.58527552465880095</v>
      </c>
      <c r="G48" s="275">
        <f>E48/'- 7 -'!$E48</f>
        <v>78.243698726478115</v>
      </c>
      <c r="H48" s="275">
        <f>SUM(H11:H46)</f>
        <v>31766338</v>
      </c>
      <c r="I48" s="276">
        <f>H48/'- 3 -'!$D48*100</f>
        <v>1.339053977805627</v>
      </c>
      <c r="J48" s="275">
        <f>H48/'- 7 -'!$E48</f>
        <v>179.01403971914769</v>
      </c>
    </row>
    <row r="49" spans="1:10" ht="5.0999999999999996" customHeight="1" x14ac:dyDescent="0.2">
      <c r="A49" s="17" t="s">
        <v>1</v>
      </c>
      <c r="B49" s="18"/>
      <c r="C49" s="266"/>
      <c r="D49" s="18"/>
      <c r="E49" s="18"/>
      <c r="F49" s="266"/>
      <c r="H49" s="18"/>
      <c r="I49" s="266"/>
      <c r="J49" s="18"/>
    </row>
    <row r="50" spans="1:10" ht="14.1" customHeight="1" x14ac:dyDescent="0.2">
      <c r="A50" s="15" t="s">
        <v>140</v>
      </c>
      <c r="B50" s="16">
        <v>0</v>
      </c>
      <c r="C50" s="267">
        <f>B50/'- 3 -'!$D50*100</f>
        <v>0</v>
      </c>
      <c r="D50" s="16">
        <f>B50/'- 7 -'!$C50</f>
        <v>0</v>
      </c>
      <c r="E50" s="16">
        <v>0</v>
      </c>
      <c r="F50" s="267">
        <f>E50/'- 3 -'!$D50*100</f>
        <v>0</v>
      </c>
      <c r="G50" s="16">
        <f>E50/'- 7 -'!$E50</f>
        <v>0</v>
      </c>
      <c r="H50" s="16">
        <v>25026</v>
      </c>
      <c r="I50" s="267">
        <f>H50/'- 3 -'!$D50*100</f>
        <v>0.70302492302851882</v>
      </c>
      <c r="J50" s="16">
        <f>H50/'- 7 -'!$E50</f>
        <v>154.4814814814815</v>
      </c>
    </row>
    <row r="51" spans="1:10" ht="14.1" customHeight="1" x14ac:dyDescent="0.2">
      <c r="A51" s="360" t="s">
        <v>516</v>
      </c>
      <c r="B51" s="272">
        <v>0</v>
      </c>
      <c r="C51" s="273">
        <f>B51/'- 3 -'!$D51*100</f>
        <v>0</v>
      </c>
      <c r="D51" s="272">
        <f>B51/'- 7 -'!$C51</f>
        <v>0</v>
      </c>
      <c r="E51" s="272">
        <v>527476</v>
      </c>
      <c r="F51" s="273">
        <f>E51/'- 3 -'!$D51*100</f>
        <v>1.7233231245887319</v>
      </c>
      <c r="G51" s="272">
        <f>E51/'- 7 -'!$E51</f>
        <v>494.81801125703566</v>
      </c>
      <c r="H51" s="272">
        <v>0</v>
      </c>
      <c r="I51" s="273">
        <f>H51/'- 3 -'!$D51*100</f>
        <v>0</v>
      </c>
      <c r="J51" s="272">
        <f>H51/'- 7 -'!$E51</f>
        <v>0</v>
      </c>
    </row>
    <row r="52" spans="1:10" ht="50.1" customHeight="1" x14ac:dyDescent="0.2">
      <c r="A52" s="164"/>
      <c r="B52" s="164"/>
      <c r="C52" s="164"/>
      <c r="D52" s="164"/>
      <c r="E52" s="164"/>
      <c r="F52" s="164"/>
      <c r="G52" s="164"/>
      <c r="H52" s="164"/>
      <c r="I52" s="164"/>
      <c r="J52" s="164"/>
    </row>
    <row r="53" spans="1:10" ht="15" customHeight="1" x14ac:dyDescent="0.2">
      <c r="A53" s="130"/>
      <c r="B53" s="164"/>
      <c r="C53" s="164"/>
      <c r="D53" s="164"/>
      <c r="E53" s="164"/>
      <c r="F53" s="164"/>
      <c r="G53" s="164"/>
      <c r="H53" s="164"/>
      <c r="I53" s="164"/>
      <c r="J53" s="164"/>
    </row>
    <row r="54" spans="1:10" ht="14.45" customHeight="1" x14ac:dyDescent="0.2"/>
    <row r="55" spans="1:10" ht="14.45" customHeight="1" x14ac:dyDescent="0.2"/>
    <row r="56" spans="1:10" ht="14.45" customHeight="1" x14ac:dyDescent="0.2"/>
    <row r="57" spans="1:10" ht="14.45" customHeight="1" x14ac:dyDescent="0.2"/>
    <row r="58" spans="1:10" ht="14.45" customHeight="1" x14ac:dyDescent="0.2"/>
    <row r="59" spans="1:10" ht="14.45" customHeight="1" x14ac:dyDescent="0.2"/>
  </sheetData>
  <mergeCells count="7">
    <mergeCell ref="D8:D9"/>
    <mergeCell ref="G8:G9"/>
    <mergeCell ref="J8:J9"/>
    <mergeCell ref="B5:J5"/>
    <mergeCell ref="B6:D7"/>
    <mergeCell ref="E6:G7"/>
    <mergeCell ref="H6:J7"/>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G59"/>
  <sheetViews>
    <sheetView showGridLines="0" showZeros="0" workbookViewId="0"/>
  </sheetViews>
  <sheetFormatPr defaultColWidth="15.83203125" defaultRowHeight="12" x14ac:dyDescent="0.2"/>
  <cols>
    <col min="1" max="1" width="35.83203125" style="1" customWidth="1"/>
    <col min="2" max="2" width="15.6640625" style="1" customWidth="1"/>
    <col min="3" max="3" width="8.6640625" style="1" customWidth="1"/>
    <col min="4" max="4" width="11.6640625" style="1" customWidth="1"/>
    <col min="5" max="5" width="16.83203125" style="1" customWidth="1"/>
    <col min="6" max="6" width="8.33203125" style="1" customWidth="1"/>
    <col min="7" max="7" width="11.6640625" style="1" customWidth="1"/>
    <col min="8" max="16384" width="15.83203125" style="1"/>
  </cols>
  <sheetData>
    <row r="1" spans="1:7" ht="6.95" customHeight="1" x14ac:dyDescent="0.2">
      <c r="A1" s="3"/>
      <c r="B1" s="32"/>
      <c r="C1" s="32"/>
      <c r="D1" s="32"/>
      <c r="E1" s="32"/>
      <c r="F1" s="32"/>
      <c r="G1" s="32"/>
    </row>
    <row r="2" spans="1:7" ht="15.95" customHeight="1" x14ac:dyDescent="0.2">
      <c r="A2" s="132"/>
      <c r="B2" s="5" t="str">
        <f>AEXP_BP</f>
        <v>ANALYSIS OF EXPENSE BY PROGRAM</v>
      </c>
      <c r="C2" s="155"/>
      <c r="D2" s="35"/>
      <c r="E2" s="35"/>
      <c r="F2" s="35"/>
      <c r="G2" s="503" t="s">
        <v>534</v>
      </c>
    </row>
    <row r="3" spans="1:7" ht="15.95" customHeight="1" x14ac:dyDescent="0.2">
      <c r="A3" s="135"/>
      <c r="B3" s="175" t="str">
        <f>OPYEAR</f>
        <v>OPERATING FUND 2017/2018 BUDGET</v>
      </c>
      <c r="C3" s="39"/>
      <c r="D3" s="156"/>
      <c r="E3" s="39"/>
      <c r="F3" s="39"/>
      <c r="G3" s="41"/>
    </row>
    <row r="4" spans="1:7" ht="15.95" customHeight="1" x14ac:dyDescent="0.2">
      <c r="B4" s="32"/>
      <c r="C4" s="32"/>
      <c r="D4" s="32"/>
      <c r="E4" s="32"/>
      <c r="F4" s="32"/>
      <c r="G4" s="32"/>
    </row>
    <row r="5" spans="1:7" ht="15.95" customHeight="1" x14ac:dyDescent="0.2">
      <c r="B5" s="367" t="s">
        <v>247</v>
      </c>
      <c r="C5" s="157"/>
      <c r="D5" s="158"/>
      <c r="E5" s="158"/>
      <c r="F5" s="158"/>
      <c r="G5" s="159"/>
    </row>
    <row r="6" spans="1:7" ht="15.95" customHeight="1" x14ac:dyDescent="0.2">
      <c r="B6" s="646" t="s">
        <v>425</v>
      </c>
      <c r="C6" s="647"/>
      <c r="D6" s="648"/>
      <c r="E6" s="346"/>
      <c r="F6" s="347"/>
      <c r="G6" s="348"/>
    </row>
    <row r="7" spans="1:7" ht="15.95" customHeight="1" x14ac:dyDescent="0.2">
      <c r="B7" s="649"/>
      <c r="C7" s="650"/>
      <c r="D7" s="651"/>
      <c r="E7" s="643" t="s">
        <v>294</v>
      </c>
      <c r="F7" s="644"/>
      <c r="G7" s="645"/>
    </row>
    <row r="8" spans="1:7" ht="15.95" customHeight="1" x14ac:dyDescent="0.2">
      <c r="A8" s="82"/>
      <c r="B8" s="160"/>
      <c r="C8" s="161"/>
      <c r="D8" s="538" t="s">
        <v>396</v>
      </c>
      <c r="E8" s="162"/>
      <c r="F8" s="161"/>
      <c r="G8" s="538" t="s">
        <v>396</v>
      </c>
    </row>
    <row r="9" spans="1:7" ht="15.95" customHeight="1" x14ac:dyDescent="0.2">
      <c r="A9" s="27" t="s">
        <v>37</v>
      </c>
      <c r="B9" s="43" t="s">
        <v>38</v>
      </c>
      <c r="C9" s="43" t="s">
        <v>39</v>
      </c>
      <c r="D9" s="578"/>
      <c r="E9" s="163" t="s">
        <v>38</v>
      </c>
      <c r="F9" s="43" t="s">
        <v>39</v>
      </c>
      <c r="G9" s="578"/>
    </row>
    <row r="10" spans="1:7" ht="5.0999999999999996" customHeight="1" x14ac:dyDescent="0.2">
      <c r="A10" s="29"/>
      <c r="B10" s="46"/>
      <c r="C10" s="46"/>
      <c r="D10" s="46"/>
      <c r="E10" s="46"/>
      <c r="F10" s="46"/>
      <c r="G10" s="46"/>
    </row>
    <row r="11" spans="1:7" ht="14.1" customHeight="1" x14ac:dyDescent="0.2">
      <c r="A11" s="271" t="s">
        <v>104</v>
      </c>
      <c r="B11" s="272">
        <v>172200</v>
      </c>
      <c r="C11" s="273">
        <f>B11/'- 3 -'!$D11*100</f>
        <v>0.85363255352033196</v>
      </c>
      <c r="D11" s="272">
        <f>B11/'- 7 -'!$E11</f>
        <v>95.87973273942093</v>
      </c>
      <c r="E11" s="272">
        <v>9600</v>
      </c>
      <c r="F11" s="273">
        <f>E11/'- 3 -'!$D11*100</f>
        <v>4.7589271276394819E-2</v>
      </c>
      <c r="G11" s="272">
        <f>E11/'- 7 -'!$E11</f>
        <v>5.3452115812917596</v>
      </c>
    </row>
    <row r="12" spans="1:7" ht="14.1" customHeight="1" x14ac:dyDescent="0.2">
      <c r="A12" s="15" t="s">
        <v>105</v>
      </c>
      <c r="B12" s="16">
        <v>485567</v>
      </c>
      <c r="C12" s="267">
        <f>B12/'- 3 -'!$D12*100</f>
        <v>1.386081070415049</v>
      </c>
      <c r="D12" s="16">
        <f>B12/'- 7 -'!$E12</f>
        <v>225.84511627906977</v>
      </c>
      <c r="E12" s="16">
        <v>133006</v>
      </c>
      <c r="F12" s="267">
        <f>E12/'- 3 -'!$D12*100</f>
        <v>0.37967386344546483</v>
      </c>
      <c r="G12" s="16">
        <f>E12/'- 7 -'!$E12</f>
        <v>61.863255813953486</v>
      </c>
    </row>
    <row r="13" spans="1:7" ht="14.1" customHeight="1" x14ac:dyDescent="0.2">
      <c r="A13" s="271" t="s">
        <v>106</v>
      </c>
      <c r="B13" s="272">
        <v>1438400</v>
      </c>
      <c r="C13" s="273">
        <f>B13/'- 3 -'!$D13*100</f>
        <v>1.4123838887688773</v>
      </c>
      <c r="D13" s="272">
        <f>B13/'- 7 -'!$E13</f>
        <v>168.62837045720985</v>
      </c>
      <c r="E13" s="272">
        <v>115200</v>
      </c>
      <c r="F13" s="273">
        <f>E13/'- 3 -'!$D13*100</f>
        <v>0.11311639598593901</v>
      </c>
      <c r="G13" s="272">
        <f>E13/'- 7 -'!$E13</f>
        <v>13.505275498241501</v>
      </c>
    </row>
    <row r="14" spans="1:7" ht="14.1" customHeight="1" x14ac:dyDescent="0.2">
      <c r="A14" s="15" t="s">
        <v>315</v>
      </c>
      <c r="B14" s="16">
        <v>664767</v>
      </c>
      <c r="C14" s="267">
        <f>B14/'- 3 -'!$D14*100</f>
        <v>0.73637629580082498</v>
      </c>
      <c r="D14" s="16">
        <f>B14/'- 7 -'!$E14</f>
        <v>119.34775583482944</v>
      </c>
      <c r="E14" s="16">
        <v>47559</v>
      </c>
      <c r="F14" s="267">
        <f>E14/'- 3 -'!$D14*100</f>
        <v>5.2682098016284561E-2</v>
      </c>
      <c r="G14" s="16">
        <f>E14/'- 7 -'!$E14</f>
        <v>8.5384201077199275</v>
      </c>
    </row>
    <row r="15" spans="1:7" ht="14.1" customHeight="1" x14ac:dyDescent="0.2">
      <c r="A15" s="271" t="s">
        <v>107</v>
      </c>
      <c r="B15" s="272">
        <v>189900</v>
      </c>
      <c r="C15" s="273">
        <f>B15/'- 3 -'!$D15*100</f>
        <v>0.91676967250612107</v>
      </c>
      <c r="D15" s="272">
        <f>B15/'- 7 -'!$E15</f>
        <v>137.80841799709725</v>
      </c>
      <c r="E15" s="272">
        <v>5700</v>
      </c>
      <c r="F15" s="273">
        <f>E15/'- 3 -'!$D15*100</f>
        <v>2.7517573108398578E-2</v>
      </c>
      <c r="G15" s="272">
        <f>E15/'- 7 -'!$E15</f>
        <v>4.1364296081277212</v>
      </c>
    </row>
    <row r="16" spans="1:7" ht="14.1" customHeight="1" x14ac:dyDescent="0.2">
      <c r="A16" s="15" t="s">
        <v>108</v>
      </c>
      <c r="B16" s="16">
        <v>93500</v>
      </c>
      <c r="C16" s="267">
        <f>B16/'- 3 -'!$D16*100</f>
        <v>0.63214988564509988</v>
      </c>
      <c r="D16" s="16">
        <f>B16/'- 7 -'!$E16</f>
        <v>100.80862533692722</v>
      </c>
      <c r="E16" s="16">
        <v>54261</v>
      </c>
      <c r="F16" s="267">
        <f>E16/'- 3 -'!$D16*100</f>
        <v>0.36685652347581565</v>
      </c>
      <c r="G16" s="16">
        <f>E16/'- 7 -'!$E16</f>
        <v>58.502425876010783</v>
      </c>
    </row>
    <row r="17" spans="1:7" ht="14.1" customHeight="1" x14ac:dyDescent="0.2">
      <c r="A17" s="271" t="s">
        <v>109</v>
      </c>
      <c r="B17" s="272">
        <v>127940</v>
      </c>
      <c r="C17" s="273">
        <f>B17/'- 3 -'!$D17*100</f>
        <v>0.68415773252780188</v>
      </c>
      <c r="D17" s="272">
        <f>B17/'- 7 -'!$E17</f>
        <v>90.834220802271915</v>
      </c>
      <c r="E17" s="272">
        <v>1500</v>
      </c>
      <c r="F17" s="273">
        <f>E17/'- 3 -'!$D17*100</f>
        <v>8.0212333812076184E-3</v>
      </c>
      <c r="G17" s="272">
        <f>E17/'- 7 -'!$E17</f>
        <v>1.0649627263045793</v>
      </c>
    </row>
    <row r="18" spans="1:7" ht="14.1" customHeight="1" x14ac:dyDescent="0.2">
      <c r="A18" s="15" t="s">
        <v>110</v>
      </c>
      <c r="B18" s="16">
        <v>860159</v>
      </c>
      <c r="C18" s="267">
        <f>B18/'- 3 -'!$D18*100</f>
        <v>0.65286490121012253</v>
      </c>
      <c r="D18" s="16">
        <f>B18/'- 7 -'!$E18</f>
        <v>140.66837836069863</v>
      </c>
      <c r="E18" s="16">
        <v>1682467</v>
      </c>
      <c r="F18" s="267">
        <f>E18/'- 3 -'!$D18*100</f>
        <v>1.2770007077113548</v>
      </c>
      <c r="G18" s="16">
        <f>E18/'- 7 -'!$E18</f>
        <v>275.14669326879044</v>
      </c>
    </row>
    <row r="19" spans="1:7" ht="14.1" customHeight="1" x14ac:dyDescent="0.2">
      <c r="A19" s="271" t="s">
        <v>111</v>
      </c>
      <c r="B19" s="272">
        <v>560275</v>
      </c>
      <c r="C19" s="273">
        <f>B19/'- 3 -'!$D19*100</f>
        <v>1.1496896427917205</v>
      </c>
      <c r="D19" s="272">
        <f>B19/'- 7 -'!$E19</f>
        <v>129.14025584879568</v>
      </c>
      <c r="E19" s="272">
        <v>277337</v>
      </c>
      <c r="F19" s="273">
        <f>E19/'- 3 -'!$D19*100</f>
        <v>0.56909816869024565</v>
      </c>
      <c r="G19" s="272">
        <f>E19/'- 7 -'!$E19</f>
        <v>63.924628327763052</v>
      </c>
    </row>
    <row r="20" spans="1:7" ht="14.1" customHeight="1" x14ac:dyDescent="0.2">
      <c r="A20" s="15" t="s">
        <v>112</v>
      </c>
      <c r="B20" s="16">
        <v>1048700</v>
      </c>
      <c r="C20" s="267">
        <f>B20/'- 3 -'!$D20*100</f>
        <v>1.2352353625728514</v>
      </c>
      <c r="D20" s="16">
        <f>B20/'- 7 -'!$E20</f>
        <v>135.40348612007747</v>
      </c>
      <c r="E20" s="16">
        <v>216300</v>
      </c>
      <c r="F20" s="267">
        <f>E20/'- 3 -'!$D20*100</f>
        <v>0.25477391906599384</v>
      </c>
      <c r="G20" s="16">
        <f>E20/'- 7 -'!$E20</f>
        <v>27.927695287282116</v>
      </c>
    </row>
    <row r="21" spans="1:7" ht="14.1" customHeight="1" x14ac:dyDescent="0.2">
      <c r="A21" s="271" t="s">
        <v>113</v>
      </c>
      <c r="B21" s="272">
        <v>496297</v>
      </c>
      <c r="C21" s="273">
        <f>B21/'- 3 -'!$D21*100</f>
        <v>1.3363086102629551</v>
      </c>
      <c r="D21" s="272">
        <f>B21/'- 7 -'!$E21</f>
        <v>180.11141353656325</v>
      </c>
      <c r="E21" s="272">
        <v>81953</v>
      </c>
      <c r="F21" s="273">
        <f>E21/'- 3 -'!$D21*100</f>
        <v>0.22066323096226648</v>
      </c>
      <c r="G21" s="272">
        <f>E21/'- 7 -'!$E21</f>
        <v>29.741607693703504</v>
      </c>
    </row>
    <row r="22" spans="1:7" ht="14.1" customHeight="1" x14ac:dyDescent="0.2">
      <c r="A22" s="15" t="s">
        <v>114</v>
      </c>
      <c r="B22" s="16">
        <v>124600</v>
      </c>
      <c r="C22" s="267">
        <f>B22/'- 3 -'!$D22*100</f>
        <v>0.58441707679831367</v>
      </c>
      <c r="D22" s="16">
        <f>B22/'- 7 -'!$E22</f>
        <v>82.016850974196942</v>
      </c>
      <c r="E22" s="16">
        <v>27895</v>
      </c>
      <c r="F22" s="267">
        <f>E22/'- 3 -'!$D22*100</f>
        <v>0.13083719387872361</v>
      </c>
      <c r="G22" s="16">
        <f>E22/'- 7 -'!$E22</f>
        <v>18.361637704054765</v>
      </c>
    </row>
    <row r="23" spans="1:7" ht="14.1" customHeight="1" x14ac:dyDescent="0.2">
      <c r="A23" s="271" t="s">
        <v>115</v>
      </c>
      <c r="B23" s="272">
        <v>203000</v>
      </c>
      <c r="C23" s="273">
        <f>B23/'- 3 -'!$D23*100</f>
        <v>1.2058462037615154</v>
      </c>
      <c r="D23" s="272">
        <f>B23/'- 7 -'!$E23</f>
        <v>183.71040723981901</v>
      </c>
      <c r="E23" s="272">
        <v>7000</v>
      </c>
      <c r="F23" s="273">
        <f>E23/'- 3 -'!$D23*100</f>
        <v>4.1580903577983296E-2</v>
      </c>
      <c r="G23" s="272">
        <f>E23/'- 7 -'!$E23</f>
        <v>6.3348416289592757</v>
      </c>
    </row>
    <row r="24" spans="1:7" ht="14.1" customHeight="1" x14ac:dyDescent="0.2">
      <c r="A24" s="15" t="s">
        <v>116</v>
      </c>
      <c r="B24" s="16">
        <v>708022</v>
      </c>
      <c r="C24" s="267">
        <f>B24/'- 3 -'!$D24*100</f>
        <v>1.2119644978014825</v>
      </c>
      <c r="D24" s="16">
        <f>B24/'- 7 -'!$E24</f>
        <v>181.80048786750547</v>
      </c>
      <c r="E24" s="16">
        <v>125735</v>
      </c>
      <c r="F24" s="267">
        <f>E24/'- 3 -'!$D24*100</f>
        <v>0.21522827840246406</v>
      </c>
      <c r="G24" s="16">
        <f>E24/'- 7 -'!$E24</f>
        <v>32.285274104506357</v>
      </c>
    </row>
    <row r="25" spans="1:7" ht="14.1" customHeight="1" x14ac:dyDescent="0.2">
      <c r="A25" s="271" t="s">
        <v>117</v>
      </c>
      <c r="B25" s="272">
        <v>1564359</v>
      </c>
      <c r="C25" s="273">
        <f>B25/'- 3 -'!$D25*100</f>
        <v>0.85938647119283462</v>
      </c>
      <c r="D25" s="272">
        <f>B25/'- 7 -'!$E25</f>
        <v>108.09182933149076</v>
      </c>
      <c r="E25" s="272">
        <v>304236</v>
      </c>
      <c r="F25" s="273">
        <f>E25/'- 3 -'!$D25*100</f>
        <v>0.16713318518947584</v>
      </c>
      <c r="G25" s="272">
        <f>E25/'- 7 -'!$E25</f>
        <v>21.021661772326826</v>
      </c>
    </row>
    <row r="26" spans="1:7" ht="14.1" customHeight="1" x14ac:dyDescent="0.2">
      <c r="A26" s="15" t="s">
        <v>118</v>
      </c>
      <c r="B26" s="16">
        <v>381813</v>
      </c>
      <c r="C26" s="267">
        <f>B26/'- 3 -'!$D26*100</f>
        <v>0.92741810998381635</v>
      </c>
      <c r="D26" s="16">
        <f>B26/'- 7 -'!$E26</f>
        <v>125.18459016393443</v>
      </c>
      <c r="E26" s="16">
        <v>288453</v>
      </c>
      <c r="F26" s="267">
        <f>E26/'- 3 -'!$D26*100</f>
        <v>0.70064805566903643</v>
      </c>
      <c r="G26" s="16">
        <f>E26/'- 7 -'!$E26</f>
        <v>94.574754098360657</v>
      </c>
    </row>
    <row r="27" spans="1:7" ht="14.1" customHeight="1" x14ac:dyDescent="0.2">
      <c r="A27" s="271" t="s">
        <v>119</v>
      </c>
      <c r="B27" s="272">
        <v>270875</v>
      </c>
      <c r="C27" s="273">
        <f>B27/'- 3 -'!$D27*100</f>
        <v>0.61499010657724618</v>
      </c>
      <c r="D27" s="272">
        <f>B27/'- 7 -'!$E27</f>
        <v>90.579796686603103</v>
      </c>
      <c r="E27" s="272">
        <v>39000</v>
      </c>
      <c r="F27" s="273">
        <f>E27/'- 3 -'!$D27*100</f>
        <v>8.8544953046654745E-2</v>
      </c>
      <c r="G27" s="272">
        <f>E27/'- 7 -'!$E27</f>
        <v>13.041484340664592</v>
      </c>
    </row>
    <row r="28" spans="1:7" ht="14.1" customHeight="1" x14ac:dyDescent="0.2">
      <c r="A28" s="15" t="s">
        <v>120</v>
      </c>
      <c r="B28" s="16">
        <v>334960</v>
      </c>
      <c r="C28" s="267">
        <f>B28/'- 3 -'!$D28*100</f>
        <v>1.1591923458144577</v>
      </c>
      <c r="D28" s="16">
        <f>B28/'- 7 -'!$E28</f>
        <v>170.98519652884124</v>
      </c>
      <c r="E28" s="16">
        <v>0</v>
      </c>
      <c r="F28" s="267">
        <f>E28/'- 3 -'!$D28*100</f>
        <v>0</v>
      </c>
      <c r="G28" s="16">
        <f>E28/'- 7 -'!$E28</f>
        <v>0</v>
      </c>
    </row>
    <row r="29" spans="1:7" ht="14.1" customHeight="1" x14ac:dyDescent="0.2">
      <c r="A29" s="271" t="s">
        <v>121</v>
      </c>
      <c r="B29" s="272">
        <v>1669299</v>
      </c>
      <c r="C29" s="273">
        <f>B29/'- 3 -'!$D29*100</f>
        <v>1.0155279135258088</v>
      </c>
      <c r="D29" s="272">
        <f>B29/'- 7 -'!$E29</f>
        <v>127.77952984943241</v>
      </c>
      <c r="E29" s="272">
        <v>562965</v>
      </c>
      <c r="F29" s="273">
        <f>E29/'- 3 -'!$D29*100</f>
        <v>0.34248308531788307</v>
      </c>
      <c r="G29" s="272">
        <f>E29/'- 7 -'!$E29</f>
        <v>43.093180443818461</v>
      </c>
    </row>
    <row r="30" spans="1:7" ht="14.1" customHeight="1" x14ac:dyDescent="0.2">
      <c r="A30" s="15" t="s">
        <v>122</v>
      </c>
      <c r="B30" s="16">
        <v>154321</v>
      </c>
      <c r="C30" s="267">
        <f>B30/'- 3 -'!$D30*100</f>
        <v>1.018811379901488</v>
      </c>
      <c r="D30" s="16">
        <f>B30/'- 7 -'!$E30</f>
        <v>151.96553421959626</v>
      </c>
      <c r="E30" s="16">
        <v>5400</v>
      </c>
      <c r="F30" s="267">
        <f>E30/'- 3 -'!$D30*100</f>
        <v>3.5650244953493261E-2</v>
      </c>
      <c r="G30" s="16">
        <f>E30/'- 7 -'!$E30</f>
        <v>5.3175775480059082</v>
      </c>
    </row>
    <row r="31" spans="1:7" ht="14.1" customHeight="1" x14ac:dyDescent="0.2">
      <c r="A31" s="271" t="s">
        <v>123</v>
      </c>
      <c r="B31" s="272">
        <v>292660</v>
      </c>
      <c r="C31" s="273">
        <f>B31/'- 3 -'!$D31*100</f>
        <v>0.76438477812312267</v>
      </c>
      <c r="D31" s="272">
        <f>B31/'- 7 -'!$E31</f>
        <v>89.10336428680165</v>
      </c>
      <c r="E31" s="272">
        <v>549183</v>
      </c>
      <c r="F31" s="273">
        <f>E31/'- 3 -'!$D31*100</f>
        <v>1.4343850393083815</v>
      </c>
      <c r="G31" s="272">
        <f>E31/'- 7 -'!$E31</f>
        <v>167.20444512102299</v>
      </c>
    </row>
    <row r="32" spans="1:7" ht="14.1" customHeight="1" x14ac:dyDescent="0.2">
      <c r="A32" s="15" t="s">
        <v>124</v>
      </c>
      <c r="B32" s="16">
        <v>758901</v>
      </c>
      <c r="C32" s="267">
        <f>B32/'- 3 -'!$D32*100</f>
        <v>2.4235788071485933</v>
      </c>
      <c r="D32" s="16">
        <f>B32/'- 7 -'!$E32</f>
        <v>342.92860370537733</v>
      </c>
      <c r="E32" s="16">
        <v>2836</v>
      </c>
      <c r="F32" s="267">
        <f>E32/'- 3 -'!$D32*100</f>
        <v>9.056872368165823E-3</v>
      </c>
      <c r="G32" s="16">
        <f>E32/'- 7 -'!$E32</f>
        <v>1.2815183009489381</v>
      </c>
    </row>
    <row r="33" spans="1:7" ht="14.1" customHeight="1" x14ac:dyDescent="0.2">
      <c r="A33" s="271" t="s">
        <v>125</v>
      </c>
      <c r="B33" s="272">
        <v>246000</v>
      </c>
      <c r="C33" s="273">
        <f>B33/'- 3 -'!$D33*100</f>
        <v>0.8669725740627181</v>
      </c>
      <c r="D33" s="272">
        <f>B33/'- 7 -'!$E33</f>
        <v>123.99193548387096</v>
      </c>
      <c r="E33" s="272">
        <v>18000</v>
      </c>
      <c r="F33" s="273">
        <f>E33/'- 3 -'!$D33*100</f>
        <v>6.3437017614345226E-2</v>
      </c>
      <c r="G33" s="272">
        <f>E33/'- 7 -'!$E33</f>
        <v>9.07258064516129</v>
      </c>
    </row>
    <row r="34" spans="1:7" ht="14.1" customHeight="1" x14ac:dyDescent="0.2">
      <c r="A34" s="15" t="s">
        <v>126</v>
      </c>
      <c r="B34" s="16">
        <v>341242</v>
      </c>
      <c r="C34" s="267">
        <f>B34/'- 3 -'!$D34*100</f>
        <v>1.1099132260067888</v>
      </c>
      <c r="D34" s="16">
        <f>B34/'- 7 -'!$E34</f>
        <v>166.05450121654502</v>
      </c>
      <c r="E34" s="16">
        <v>58575</v>
      </c>
      <c r="F34" s="267">
        <f>E34/'- 3 -'!$D34*100</f>
        <v>0.19051924210193252</v>
      </c>
      <c r="G34" s="16">
        <f>E34/'- 7 -'!$E34</f>
        <v>28.503649635036496</v>
      </c>
    </row>
    <row r="35" spans="1:7" ht="14.1" customHeight="1" x14ac:dyDescent="0.2">
      <c r="A35" s="271" t="s">
        <v>127</v>
      </c>
      <c r="B35" s="272">
        <v>2080002</v>
      </c>
      <c r="C35" s="273">
        <f>B35/'- 3 -'!$D35*100</f>
        <v>1.1230047578804339</v>
      </c>
      <c r="D35" s="272">
        <f>B35/'- 7 -'!$E35</f>
        <v>132.46311096959084</v>
      </c>
      <c r="E35" s="272">
        <v>462000</v>
      </c>
      <c r="F35" s="273">
        <f>E35/'- 3 -'!$D35*100</f>
        <v>0.24943639387883304</v>
      </c>
      <c r="G35" s="272">
        <f>E35/'- 7 -'!$E35</f>
        <v>29.422066549912433</v>
      </c>
    </row>
    <row r="36" spans="1:7" ht="14.1" customHeight="1" x14ac:dyDescent="0.2">
      <c r="A36" s="15" t="s">
        <v>128</v>
      </c>
      <c r="B36" s="16">
        <v>171500</v>
      </c>
      <c r="C36" s="267">
        <f>B36/'- 3 -'!$D36*100</f>
        <v>0.71535069598617351</v>
      </c>
      <c r="D36" s="16">
        <f>B36/'- 7 -'!$E36</f>
        <v>101.99226880761225</v>
      </c>
      <c r="E36" s="16">
        <v>11900</v>
      </c>
      <c r="F36" s="267">
        <f>E36/'- 3 -'!$D36*100</f>
        <v>4.9636578905163056E-2</v>
      </c>
      <c r="G36" s="16">
        <f>E36/'- 7 -'!$E36</f>
        <v>7.0770145703241152</v>
      </c>
    </row>
    <row r="37" spans="1:7" ht="14.1" customHeight="1" x14ac:dyDescent="0.2">
      <c r="A37" s="271" t="s">
        <v>129</v>
      </c>
      <c r="B37" s="272">
        <v>395506</v>
      </c>
      <c r="C37" s="273">
        <f>B37/'- 3 -'!$D37*100</f>
        <v>0.75867717864610307</v>
      </c>
      <c r="D37" s="272">
        <f>B37/'- 7 -'!$E37</f>
        <v>92.979288619319661</v>
      </c>
      <c r="E37" s="272">
        <v>85500</v>
      </c>
      <c r="F37" s="273">
        <f>E37/'- 3 -'!$D37*100</f>
        <v>0.16400989814122113</v>
      </c>
      <c r="G37" s="272">
        <f>E37/'- 7 -'!$E37</f>
        <v>20.100148106354467</v>
      </c>
    </row>
    <row r="38" spans="1:7" ht="14.1" customHeight="1" x14ac:dyDescent="0.2">
      <c r="A38" s="15" t="s">
        <v>130</v>
      </c>
      <c r="B38" s="16">
        <v>1187840</v>
      </c>
      <c r="C38" s="267">
        <f>B38/'- 3 -'!$D38*100</f>
        <v>0.84116150875980944</v>
      </c>
      <c r="D38" s="16">
        <f>B38/'- 7 -'!$E38</f>
        <v>105.21169176262178</v>
      </c>
      <c r="E38" s="16">
        <v>1955240</v>
      </c>
      <c r="F38" s="267">
        <f>E38/'- 3 -'!$D38*100</f>
        <v>1.3845910462583595</v>
      </c>
      <c r="G38" s="16">
        <f>E38/'- 7 -'!$E38</f>
        <v>173.18334809565988</v>
      </c>
    </row>
    <row r="39" spans="1:7" ht="14.1" customHeight="1" x14ac:dyDescent="0.2">
      <c r="A39" s="271" t="s">
        <v>131</v>
      </c>
      <c r="B39" s="272">
        <v>87300</v>
      </c>
      <c r="C39" s="273">
        <f>B39/'- 3 -'!$D39*100</f>
        <v>0.37515228475476514</v>
      </c>
      <c r="D39" s="272">
        <f>B39/'- 7 -'!$E39</f>
        <v>57.891246684350129</v>
      </c>
      <c r="E39" s="272">
        <v>35000</v>
      </c>
      <c r="F39" s="273">
        <f>E39/'- 3 -'!$D39*100</f>
        <v>0.15040469606433884</v>
      </c>
      <c r="G39" s="272">
        <f>E39/'- 7 -'!$E39</f>
        <v>23.209549071618039</v>
      </c>
    </row>
    <row r="40" spans="1:7" ht="14.1" customHeight="1" x14ac:dyDescent="0.2">
      <c r="A40" s="15" t="s">
        <v>132</v>
      </c>
      <c r="B40" s="16">
        <v>886742</v>
      </c>
      <c r="C40" s="267">
        <f>B40/'- 3 -'!$D40*100</f>
        <v>0.82257389855364094</v>
      </c>
      <c r="D40" s="16">
        <f>B40/'- 7 -'!$E40</f>
        <v>107.88140542118838</v>
      </c>
      <c r="E40" s="16">
        <v>295312</v>
      </c>
      <c r="F40" s="267">
        <f>E40/'- 3 -'!$D40*100</f>
        <v>0.27394207461659964</v>
      </c>
      <c r="G40" s="16">
        <f>E40/'- 7 -'!$E40</f>
        <v>35.927782373838141</v>
      </c>
    </row>
    <row r="41" spans="1:7" ht="14.1" customHeight="1" x14ac:dyDescent="0.2">
      <c r="A41" s="271" t="s">
        <v>133</v>
      </c>
      <c r="B41" s="272">
        <v>321750</v>
      </c>
      <c r="C41" s="273">
        <f>B41/'- 3 -'!$D41*100</f>
        <v>0.49817995932343212</v>
      </c>
      <c r="D41" s="272">
        <f>B41/'- 7 -'!$E41</f>
        <v>72.662601626016254</v>
      </c>
      <c r="E41" s="272">
        <v>42408</v>
      </c>
      <c r="F41" s="273">
        <f>E41/'- 3 -'!$D41*100</f>
        <v>6.566220890439195E-2</v>
      </c>
      <c r="G41" s="272">
        <f>E41/'- 7 -'!$E41</f>
        <v>9.5772357723577244</v>
      </c>
    </row>
    <row r="42" spans="1:7" ht="14.1" customHeight="1" x14ac:dyDescent="0.2">
      <c r="A42" s="15" t="s">
        <v>134</v>
      </c>
      <c r="B42" s="16">
        <v>91149</v>
      </c>
      <c r="C42" s="267">
        <f>B42/'- 3 -'!$D42*100</f>
        <v>0.42487930312130995</v>
      </c>
      <c r="D42" s="16">
        <f>B42/'- 7 -'!$E42</f>
        <v>65.716654650324443</v>
      </c>
      <c r="E42" s="16">
        <v>2500</v>
      </c>
      <c r="F42" s="267">
        <f>E42/'- 3 -'!$D42*100</f>
        <v>1.1653427440819701E-2</v>
      </c>
      <c r="G42" s="16">
        <f>E42/'- 7 -'!$E42</f>
        <v>1.8024513338139869</v>
      </c>
    </row>
    <row r="43" spans="1:7" ht="14.1" customHeight="1" x14ac:dyDescent="0.2">
      <c r="A43" s="271" t="s">
        <v>135</v>
      </c>
      <c r="B43" s="272">
        <v>110835</v>
      </c>
      <c r="C43" s="273">
        <f>B43/'- 3 -'!$D43*100</f>
        <v>0.81083714738076229</v>
      </c>
      <c r="D43" s="272">
        <f>B43/'- 7 -'!$E43</f>
        <v>116.36220472440945</v>
      </c>
      <c r="E43" s="272">
        <v>26207</v>
      </c>
      <c r="F43" s="273">
        <f>E43/'- 3 -'!$D43*100</f>
        <v>0.19172291353279775</v>
      </c>
      <c r="G43" s="272">
        <f>E43/'- 7 -'!$E43</f>
        <v>27.513910761154854</v>
      </c>
    </row>
    <row r="44" spans="1:7" ht="14.1" customHeight="1" x14ac:dyDescent="0.2">
      <c r="A44" s="15" t="s">
        <v>136</v>
      </c>
      <c r="B44" s="16">
        <v>31892</v>
      </c>
      <c r="C44" s="267">
        <f>B44/'- 3 -'!$D44*100</f>
        <v>0.28272989490093281</v>
      </c>
      <c r="D44" s="16">
        <f>B44/'- 7 -'!$E44</f>
        <v>44.541899441340782</v>
      </c>
      <c r="E44" s="16">
        <v>80000</v>
      </c>
      <c r="F44" s="267">
        <f>E44/'- 3 -'!$D44*100</f>
        <v>0.70921834918081739</v>
      </c>
      <c r="G44" s="16">
        <f>E44/'- 7 -'!$E44</f>
        <v>111.73184357541899</v>
      </c>
    </row>
    <row r="45" spans="1:7" ht="14.1" customHeight="1" x14ac:dyDescent="0.2">
      <c r="A45" s="271" t="s">
        <v>137</v>
      </c>
      <c r="B45" s="272">
        <v>194569</v>
      </c>
      <c r="C45" s="273">
        <f>B45/'- 3 -'!$D45*100</f>
        <v>0.96194676837965798</v>
      </c>
      <c r="D45" s="272">
        <f>B45/'- 7 -'!$E45</f>
        <v>112.33775981524249</v>
      </c>
      <c r="E45" s="272">
        <v>208855</v>
      </c>
      <c r="F45" s="273">
        <f>E45/'- 3 -'!$D45*100</f>
        <v>1.0325765785399188</v>
      </c>
      <c r="G45" s="272">
        <f>E45/'- 7 -'!$E45</f>
        <v>120.58602771362587</v>
      </c>
    </row>
    <row r="46" spans="1:7" ht="14.1" customHeight="1" x14ac:dyDescent="0.2">
      <c r="A46" s="15" t="s">
        <v>138</v>
      </c>
      <c r="B46" s="16">
        <v>3844000</v>
      </c>
      <c r="C46" s="267">
        <f>B46/'- 3 -'!$D46*100</f>
        <v>0.95511719442026699</v>
      </c>
      <c r="D46" s="16">
        <f>B46/'- 7 -'!$E46</f>
        <v>127.03028700781547</v>
      </c>
      <c r="E46" s="16">
        <v>2837000</v>
      </c>
      <c r="F46" s="267">
        <f>E46/'- 3 -'!$D46*100</f>
        <v>0.70490829359268925</v>
      </c>
      <c r="G46" s="16">
        <f>E46/'- 7 -'!$E46</f>
        <v>93.752581748483991</v>
      </c>
    </row>
    <row r="47" spans="1:7" ht="5.0999999999999996" customHeight="1" x14ac:dyDescent="0.2">
      <c r="A47"/>
      <c r="B47" s="508"/>
      <c r="C47"/>
      <c r="D47"/>
      <c r="E47"/>
      <c r="F47"/>
      <c r="G47"/>
    </row>
    <row r="48" spans="1:7" ht="14.1" customHeight="1" x14ac:dyDescent="0.2">
      <c r="A48" s="274" t="s">
        <v>139</v>
      </c>
      <c r="B48" s="275">
        <f>SUM(B11:B46)</f>
        <v>22590842</v>
      </c>
      <c r="C48" s="276">
        <f>B48/'- 3 -'!$D48*100</f>
        <v>0.95227711932292669</v>
      </c>
      <c r="D48" s="275">
        <f>B48/'- 7 -'!$E48</f>
        <v>127.3070218882954</v>
      </c>
      <c r="E48" s="275">
        <f>SUM(E11:E46)</f>
        <v>10656083</v>
      </c>
      <c r="F48" s="276">
        <f>E48/'- 3 -'!$D48*100</f>
        <v>0.44918839335452881</v>
      </c>
      <c r="G48" s="275">
        <f>E48/'- 7 -'!$E48</f>
        <v>60.050625458072453</v>
      </c>
    </row>
    <row r="49" spans="1:7" ht="5.0999999999999996" customHeight="1" x14ac:dyDescent="0.2">
      <c r="A49" s="17" t="s">
        <v>1</v>
      </c>
      <c r="B49" s="18"/>
      <c r="C49" s="266"/>
      <c r="D49" s="18"/>
      <c r="E49" s="18"/>
      <c r="F49" s="266"/>
    </row>
    <row r="50" spans="1:7" ht="14.1" customHeight="1" x14ac:dyDescent="0.2">
      <c r="A50" s="15" t="s">
        <v>140</v>
      </c>
      <c r="B50" s="16">
        <v>49066</v>
      </c>
      <c r="C50" s="267">
        <f>B50/'- 3 -'!$D50*100</f>
        <v>1.3783513495291817</v>
      </c>
      <c r="D50" s="16">
        <f>B50/'- 7 -'!$E50</f>
        <v>302.87654320987656</v>
      </c>
      <c r="E50" s="16">
        <v>70366</v>
      </c>
      <c r="F50" s="267">
        <f>E50/'- 3 -'!$D50*100</f>
        <v>1.9767062948063914</v>
      </c>
      <c r="G50" s="16">
        <f>E50/'- 7 -'!$E50</f>
        <v>434.35802469135803</v>
      </c>
    </row>
    <row r="51" spans="1:7" ht="14.1" customHeight="1" x14ac:dyDescent="0.2">
      <c r="A51" s="360" t="s">
        <v>516</v>
      </c>
      <c r="B51" s="272">
        <v>36644</v>
      </c>
      <c r="C51" s="273">
        <f>B51/'- 3 -'!$D51*100</f>
        <v>0.11972004902105401</v>
      </c>
      <c r="D51" s="272">
        <f>B51/'- 7 -'!$E51</f>
        <v>34.375234521575983</v>
      </c>
      <c r="E51" s="272">
        <v>0</v>
      </c>
      <c r="F51" s="273">
        <f>E51/'- 3 -'!$D51*100</f>
        <v>0</v>
      </c>
      <c r="G51" s="272">
        <f>E51/'- 7 -'!$E51</f>
        <v>0</v>
      </c>
    </row>
    <row r="52" spans="1:7" ht="50.1" customHeight="1" x14ac:dyDescent="0.2">
      <c r="A52" s="19"/>
      <c r="B52" s="51"/>
      <c r="C52" s="51"/>
      <c r="D52" s="51"/>
      <c r="E52" s="51"/>
      <c r="F52" s="51"/>
      <c r="G52" s="51"/>
    </row>
    <row r="53" spans="1:7" ht="15" customHeight="1" x14ac:dyDescent="0.2">
      <c r="A53" s="566" t="s">
        <v>426</v>
      </c>
      <c r="B53" s="597"/>
      <c r="C53" s="597"/>
      <c r="D53" s="597"/>
      <c r="E53" s="597"/>
      <c r="F53" s="597"/>
      <c r="G53" s="597"/>
    </row>
    <row r="54" spans="1:7" x14ac:dyDescent="0.2">
      <c r="A54" s="587"/>
      <c r="B54" s="587"/>
      <c r="C54" s="587"/>
      <c r="D54" s="587"/>
      <c r="E54" s="587"/>
      <c r="F54" s="587"/>
      <c r="G54" s="587"/>
    </row>
    <row r="56" spans="1:7" ht="14.45" customHeight="1" x14ac:dyDescent="0.2"/>
    <row r="57" spans="1:7" ht="14.45" customHeight="1" x14ac:dyDescent="0.2"/>
    <row r="58" spans="1:7" ht="14.45" customHeight="1" x14ac:dyDescent="0.2"/>
    <row r="59" spans="1:7" ht="14.45" customHeight="1" x14ac:dyDescent="0.2"/>
  </sheetData>
  <mergeCells count="5">
    <mergeCell ref="D8:D9"/>
    <mergeCell ref="G8:G9"/>
    <mergeCell ref="E7:G7"/>
    <mergeCell ref="B6:D7"/>
    <mergeCell ref="A53:G54"/>
  </mergeCells>
  <phoneticPr fontId="0" type="noConversion"/>
  <printOptions horizontalCentered="1"/>
  <pageMargins left="0.51181102362204722" right="0.51181102362204722" top="0.59055118110236227" bottom="0" header="0.31496062992125984" footer="0"/>
  <pageSetup scale="91" orientation="portrait" r:id="rId1"/>
  <headerFooter alignWithMargins="0">
    <oddHeader>&amp;C&amp;"Arial,Bold"&amp;10&amp;A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G66"/>
  <sheetViews>
    <sheetView showGridLines="0" showZeros="0" workbookViewId="0"/>
  </sheetViews>
  <sheetFormatPr defaultColWidth="15.83203125" defaultRowHeight="12" x14ac:dyDescent="0.2"/>
  <cols>
    <col min="1" max="1" width="33.83203125" style="1" customWidth="1"/>
    <col min="2" max="2" width="16.83203125" style="1" customWidth="1"/>
    <col min="3" max="3" width="12.83203125" style="1" customWidth="1"/>
    <col min="4" max="4" width="16.83203125" style="1" customWidth="1"/>
    <col min="5" max="5" width="12.5" style="1" customWidth="1"/>
    <col min="6" max="6" width="17.83203125" style="1" customWidth="1"/>
    <col min="7" max="7" width="13.5" style="1" customWidth="1"/>
    <col min="8" max="16384" width="15.83203125" style="1"/>
  </cols>
  <sheetData>
    <row r="1" spans="1:7" ht="6.95" customHeight="1" x14ac:dyDescent="0.2">
      <c r="A1" s="3"/>
      <c r="B1" s="4"/>
      <c r="C1" s="4"/>
      <c r="D1" s="4"/>
      <c r="E1" s="4"/>
      <c r="F1" s="4"/>
      <c r="G1" s="4"/>
    </row>
    <row r="2" spans="1:7" ht="15.95" customHeight="1" x14ac:dyDescent="0.2">
      <c r="A2" s="132"/>
      <c r="B2" s="5" t="str">
        <f>AEXP_BP</f>
        <v>ANALYSIS OF EXPENSE BY PROGRAM</v>
      </c>
      <c r="C2" s="6"/>
      <c r="D2" s="6"/>
      <c r="E2" s="6"/>
      <c r="F2" s="85"/>
      <c r="G2" s="503" t="s">
        <v>535</v>
      </c>
    </row>
    <row r="3" spans="1:7" ht="15.95" customHeight="1" x14ac:dyDescent="0.2">
      <c r="A3" s="135"/>
      <c r="B3" s="7" t="str">
        <f>OPYEAR</f>
        <v>OPERATING FUND 2017/2018 BUDGET</v>
      </c>
      <c r="C3" s="8"/>
      <c r="D3" s="8"/>
      <c r="E3" s="8"/>
      <c r="F3" s="87"/>
      <c r="G3" s="81"/>
    </row>
    <row r="4" spans="1:7" ht="15.95" customHeight="1" x14ac:dyDescent="0.2">
      <c r="B4" s="4"/>
      <c r="C4" s="4"/>
      <c r="D4" s="4"/>
      <c r="E4" s="4"/>
      <c r="F4" s="4"/>
      <c r="G4" s="4"/>
    </row>
    <row r="5" spans="1:7" ht="15.95" customHeight="1" x14ac:dyDescent="0.2">
      <c r="B5" s="4"/>
      <c r="C5" s="4"/>
      <c r="D5" s="4"/>
      <c r="E5" s="4"/>
      <c r="F5" s="4"/>
      <c r="G5" s="4"/>
    </row>
    <row r="6" spans="1:7" ht="15.95" customHeight="1" x14ac:dyDescent="0.2">
      <c r="B6" s="668" t="s">
        <v>8</v>
      </c>
      <c r="C6" s="669"/>
      <c r="D6" s="669"/>
      <c r="E6" s="669"/>
      <c r="F6" s="669"/>
      <c r="G6" s="670"/>
    </row>
    <row r="7" spans="1:7" ht="15.95" customHeight="1" x14ac:dyDescent="0.2">
      <c r="B7" s="277"/>
      <c r="C7" s="270"/>
      <c r="D7" s="268"/>
      <c r="E7" s="270"/>
      <c r="F7" s="620" t="s">
        <v>427</v>
      </c>
      <c r="G7" s="621"/>
    </row>
    <row r="8" spans="1:7" ht="15.95" customHeight="1" x14ac:dyDescent="0.2">
      <c r="A8" s="82"/>
      <c r="B8" s="614" t="s">
        <v>14</v>
      </c>
      <c r="C8" s="615"/>
      <c r="D8" s="627" t="s">
        <v>29</v>
      </c>
      <c r="E8" s="615"/>
      <c r="F8" s="622"/>
      <c r="G8" s="623"/>
    </row>
    <row r="9" spans="1:7" ht="15.95" customHeight="1" x14ac:dyDescent="0.2">
      <c r="A9" s="27" t="s">
        <v>37</v>
      </c>
      <c r="B9" s="151" t="s">
        <v>38</v>
      </c>
      <c r="C9" s="151" t="s">
        <v>39</v>
      </c>
      <c r="D9" s="151" t="s">
        <v>38</v>
      </c>
      <c r="E9" s="151" t="s">
        <v>39</v>
      </c>
      <c r="F9" s="151" t="s">
        <v>38</v>
      </c>
      <c r="G9" s="151" t="s">
        <v>39</v>
      </c>
    </row>
    <row r="10" spans="1:7" ht="5.0999999999999996" customHeight="1" x14ac:dyDescent="0.2">
      <c r="A10" s="29"/>
    </row>
    <row r="11" spans="1:7" ht="14.1" customHeight="1" x14ac:dyDescent="0.2">
      <c r="A11" s="271" t="s">
        <v>104</v>
      </c>
      <c r="B11" s="272">
        <v>90450</v>
      </c>
      <c r="C11" s="273">
        <f>B11/'- 3 -'!$D11*100</f>
        <v>0.44838016530728242</v>
      </c>
      <c r="D11" s="272">
        <v>1087950</v>
      </c>
      <c r="E11" s="273">
        <f>D11/'- 3 -'!$D11*100</f>
        <v>5.393202883870182</v>
      </c>
      <c r="F11" s="272">
        <v>10800</v>
      </c>
      <c r="G11" s="273">
        <f>F11/'- 3 -'!$D11*100</f>
        <v>5.3537930185944174E-2</v>
      </c>
    </row>
    <row r="12" spans="1:7" ht="14.1" customHeight="1" x14ac:dyDescent="0.2">
      <c r="A12" s="15" t="s">
        <v>105</v>
      </c>
      <c r="B12" s="16">
        <v>114407</v>
      </c>
      <c r="C12" s="267">
        <f>B12/'- 3 -'!$D12*100</f>
        <v>0.32658186619554974</v>
      </c>
      <c r="D12" s="16">
        <v>2175998</v>
      </c>
      <c r="E12" s="267">
        <f>D12/'- 3 -'!$D12*100</f>
        <v>6.2115210404764039</v>
      </c>
      <c r="F12" s="16">
        <v>0</v>
      </c>
      <c r="G12" s="267">
        <f>F12/'- 3 -'!$D12*100</f>
        <v>0</v>
      </c>
    </row>
    <row r="13" spans="1:7" ht="14.1" customHeight="1" x14ac:dyDescent="0.2">
      <c r="A13" s="271" t="s">
        <v>106</v>
      </c>
      <c r="B13" s="272">
        <v>210100</v>
      </c>
      <c r="C13" s="273">
        <f>B13/'- 3 -'!$D13*100</f>
        <v>0.20629995483199465</v>
      </c>
      <c r="D13" s="272">
        <v>2221600</v>
      </c>
      <c r="E13" s="273">
        <f>D13/'- 3 -'!$D13*100</f>
        <v>2.1814182753677263</v>
      </c>
      <c r="F13" s="272">
        <v>0</v>
      </c>
      <c r="G13" s="273">
        <f>F13/'- 3 -'!$D13*100</f>
        <v>0</v>
      </c>
    </row>
    <row r="14" spans="1:7" ht="14.1" customHeight="1" x14ac:dyDescent="0.2">
      <c r="A14" s="15" t="s">
        <v>315</v>
      </c>
      <c r="B14" s="16">
        <v>261411</v>
      </c>
      <c r="C14" s="267">
        <f>B14/'- 3 -'!$D14*100</f>
        <v>0.28957042672333233</v>
      </c>
      <c r="D14" s="16">
        <v>8672562</v>
      </c>
      <c r="E14" s="267">
        <f>D14/'- 3 -'!$D14*100</f>
        <v>9.6067781352910036</v>
      </c>
      <c r="F14" s="16">
        <v>434200</v>
      </c>
      <c r="G14" s="267">
        <f>F14/'- 3 -'!$D14*100</f>
        <v>0.48097241234405169</v>
      </c>
    </row>
    <row r="15" spans="1:7" ht="14.1" customHeight="1" x14ac:dyDescent="0.2">
      <c r="A15" s="271" t="s">
        <v>107</v>
      </c>
      <c r="B15" s="272">
        <v>89650</v>
      </c>
      <c r="C15" s="273">
        <f>B15/'- 3 -'!$D15*100</f>
        <v>0.43279832090665477</v>
      </c>
      <c r="D15" s="272">
        <v>1438600</v>
      </c>
      <c r="E15" s="273">
        <f>D15/'- 3 -'!$D15*100</f>
        <v>6.9450492410074016</v>
      </c>
      <c r="F15" s="272">
        <v>5000</v>
      </c>
      <c r="G15" s="273">
        <f>F15/'- 3 -'!$D15*100</f>
        <v>2.4138222024911032E-2</v>
      </c>
    </row>
    <row r="16" spans="1:7" ht="14.1" customHeight="1" x14ac:dyDescent="0.2">
      <c r="A16" s="15" t="s">
        <v>108</v>
      </c>
      <c r="B16" s="16">
        <v>0</v>
      </c>
      <c r="C16" s="267">
        <f>B16/'- 3 -'!$D16*100</f>
        <v>0</v>
      </c>
      <c r="D16" s="16">
        <v>386937</v>
      </c>
      <c r="E16" s="267">
        <f>D16/'- 3 -'!$D16*100</f>
        <v>2.6160660994851126</v>
      </c>
      <c r="F16" s="16">
        <v>1125</v>
      </c>
      <c r="G16" s="267">
        <f>F16/'- 3 -'!$D16*100</f>
        <v>7.606081511772592E-3</v>
      </c>
    </row>
    <row r="17" spans="1:7" ht="14.1" customHeight="1" x14ac:dyDescent="0.2">
      <c r="A17" s="271" t="s">
        <v>109</v>
      </c>
      <c r="B17" s="272">
        <v>62072</v>
      </c>
      <c r="C17" s="273">
        <f>B17/'- 3 -'!$D17*100</f>
        <v>0.33192933229221289</v>
      </c>
      <c r="D17" s="272">
        <v>1320740</v>
      </c>
      <c r="E17" s="273">
        <f>D17/'- 3 -'!$D17*100</f>
        <v>7.0626425172641003</v>
      </c>
      <c r="F17" s="272">
        <v>1500</v>
      </c>
      <c r="G17" s="273">
        <f>F17/'- 3 -'!$D17*100</f>
        <v>8.0212333812076184E-3</v>
      </c>
    </row>
    <row r="18" spans="1:7" ht="14.1" customHeight="1" x14ac:dyDescent="0.2">
      <c r="A18" s="15" t="s">
        <v>110</v>
      </c>
      <c r="B18" s="16">
        <v>354737</v>
      </c>
      <c r="C18" s="267">
        <f>B18/'- 3 -'!$D18*100</f>
        <v>0.26924712345110058</v>
      </c>
      <c r="D18" s="16">
        <v>7428750</v>
      </c>
      <c r="E18" s="267">
        <f>D18/'- 3 -'!$D18*100</f>
        <v>5.6384576977799421</v>
      </c>
      <c r="F18" s="16">
        <v>109414</v>
      </c>
      <c r="G18" s="267">
        <f>F18/'- 3 -'!$D18*100</f>
        <v>8.3045762819437277E-2</v>
      </c>
    </row>
    <row r="19" spans="1:7" ht="14.1" customHeight="1" x14ac:dyDescent="0.2">
      <c r="A19" s="271" t="s">
        <v>111</v>
      </c>
      <c r="B19" s="272">
        <v>148090</v>
      </c>
      <c r="C19" s="273">
        <f>B19/'- 3 -'!$D19*100</f>
        <v>0.30388209218870355</v>
      </c>
      <c r="D19" s="272">
        <v>2925266</v>
      </c>
      <c r="E19" s="273">
        <f>D19/'- 3 -'!$D19*100</f>
        <v>6.0026737273852389</v>
      </c>
      <c r="F19" s="272">
        <v>30000</v>
      </c>
      <c r="G19" s="273">
        <f>F19/'- 3 -'!$D19*100</f>
        <v>6.1560286080499058E-2</v>
      </c>
    </row>
    <row r="20" spans="1:7" ht="14.1" customHeight="1" x14ac:dyDescent="0.2">
      <c r="A20" s="15" t="s">
        <v>112</v>
      </c>
      <c r="B20" s="16">
        <v>319900</v>
      </c>
      <c r="C20" s="267">
        <f>B20/'- 3 -'!$D20*100</f>
        <v>0.37680155667689064</v>
      </c>
      <c r="D20" s="16">
        <v>3385000</v>
      </c>
      <c r="E20" s="267">
        <f>D20/'- 3 -'!$D20*100</f>
        <v>3.9870999354525622</v>
      </c>
      <c r="F20" s="16">
        <v>3100</v>
      </c>
      <c r="G20" s="267">
        <f>F20/'- 3 -'!$D20*100</f>
        <v>3.6514061447276047E-3</v>
      </c>
    </row>
    <row r="21" spans="1:7" ht="14.1" customHeight="1" x14ac:dyDescent="0.2">
      <c r="A21" s="271" t="s">
        <v>113</v>
      </c>
      <c r="B21" s="272">
        <v>157000</v>
      </c>
      <c r="C21" s="273">
        <f>B21/'- 3 -'!$D21*100</f>
        <v>0.42273165425397285</v>
      </c>
      <c r="D21" s="272">
        <v>1906000</v>
      </c>
      <c r="E21" s="273">
        <f>D21/'- 3 -'!$D21*100</f>
        <v>5.1320161338093779</v>
      </c>
      <c r="F21" s="272">
        <v>4000</v>
      </c>
      <c r="G21" s="273">
        <f>F21/'- 3 -'!$D21*100</f>
        <v>1.0770233229400582E-2</v>
      </c>
    </row>
    <row r="22" spans="1:7" ht="14.1" customHeight="1" x14ac:dyDescent="0.2">
      <c r="A22" s="15" t="s">
        <v>114</v>
      </c>
      <c r="B22" s="16">
        <v>99905</v>
      </c>
      <c r="C22" s="267">
        <f>B22/'- 3 -'!$D22*100</f>
        <v>0.46858898922580683</v>
      </c>
      <c r="D22" s="16">
        <v>471035</v>
      </c>
      <c r="E22" s="267">
        <f>D22/'- 3 -'!$D22*100</f>
        <v>2.2093169965464985</v>
      </c>
      <c r="F22" s="16">
        <v>15000</v>
      </c>
      <c r="G22" s="267">
        <f>F22/'- 3 -'!$D22*100</f>
        <v>7.0355185810390894E-2</v>
      </c>
    </row>
    <row r="23" spans="1:7" ht="14.1" customHeight="1" x14ac:dyDescent="0.2">
      <c r="A23" s="271" t="s">
        <v>115</v>
      </c>
      <c r="B23" s="272">
        <v>111425</v>
      </c>
      <c r="C23" s="273">
        <f>B23/'- 3 -'!$D23*100</f>
        <v>0.66187888302525544</v>
      </c>
      <c r="D23" s="272">
        <v>1564890</v>
      </c>
      <c r="E23" s="273">
        <f>D23/'- 3 -'!$D23*100</f>
        <v>9.2956486000214689</v>
      </c>
      <c r="F23" s="272">
        <v>4500</v>
      </c>
      <c r="G23" s="273">
        <f>F23/'- 3 -'!$D23*100</f>
        <v>2.6730580871560689E-2</v>
      </c>
    </row>
    <row r="24" spans="1:7" ht="14.1" customHeight="1" x14ac:dyDescent="0.2">
      <c r="A24" s="15" t="s">
        <v>116</v>
      </c>
      <c r="B24" s="16">
        <v>159070</v>
      </c>
      <c r="C24" s="267">
        <f>B24/'- 3 -'!$D24*100</f>
        <v>0.27228983374144</v>
      </c>
      <c r="D24" s="16">
        <v>2444525</v>
      </c>
      <c r="E24" s="267">
        <f>D24/'- 3 -'!$D24*100</f>
        <v>4.1844427348135644</v>
      </c>
      <c r="F24" s="16">
        <v>5000</v>
      </c>
      <c r="G24" s="267">
        <f>F24/'- 3 -'!$D24*100</f>
        <v>8.5588053605783615E-3</v>
      </c>
    </row>
    <row r="25" spans="1:7" ht="14.1" customHeight="1" x14ac:dyDescent="0.2">
      <c r="A25" s="271" t="s">
        <v>117</v>
      </c>
      <c r="B25" s="272">
        <v>340667</v>
      </c>
      <c r="C25" s="273">
        <f>B25/'- 3 -'!$D25*100</f>
        <v>0.18714669138084633</v>
      </c>
      <c r="D25" s="272">
        <v>3658087</v>
      </c>
      <c r="E25" s="273">
        <f>D25/'- 3 -'!$D25*100</f>
        <v>2.0095837836752195</v>
      </c>
      <c r="F25" s="272">
        <v>10000</v>
      </c>
      <c r="G25" s="273">
        <f>F25/'- 3 -'!$D25*100</f>
        <v>5.4935374245479122E-3</v>
      </c>
    </row>
    <row r="26" spans="1:7" ht="14.1" customHeight="1" x14ac:dyDescent="0.2">
      <c r="A26" s="15" t="s">
        <v>118</v>
      </c>
      <c r="B26" s="16">
        <v>228949</v>
      </c>
      <c r="C26" s="267">
        <f>B26/'- 3 -'!$D26*100</f>
        <v>0.55611372285041316</v>
      </c>
      <c r="D26" s="16">
        <v>2702863</v>
      </c>
      <c r="E26" s="267">
        <f>D26/'- 3 -'!$D26*100</f>
        <v>6.5652141100622243</v>
      </c>
      <c r="F26" s="16">
        <v>0</v>
      </c>
      <c r="G26" s="267">
        <f>F26/'- 3 -'!$D26*100</f>
        <v>0</v>
      </c>
    </row>
    <row r="27" spans="1:7" ht="14.1" customHeight="1" x14ac:dyDescent="0.2">
      <c r="A27" s="271" t="s">
        <v>119</v>
      </c>
      <c r="B27" s="272">
        <v>0</v>
      </c>
      <c r="C27" s="273">
        <f>B27/'- 3 -'!$D27*100</f>
        <v>0</v>
      </c>
      <c r="D27" s="272">
        <v>0</v>
      </c>
      <c r="E27" s="273">
        <f>D27/'- 3 -'!$D27*100</f>
        <v>0</v>
      </c>
      <c r="F27" s="272">
        <v>235000</v>
      </c>
      <c r="G27" s="273">
        <f>F27/'- 3 -'!$D27*100</f>
        <v>0.53354010169138111</v>
      </c>
    </row>
    <row r="28" spans="1:7" ht="14.1" customHeight="1" x14ac:dyDescent="0.2">
      <c r="A28" s="15" t="s">
        <v>120</v>
      </c>
      <c r="B28" s="16">
        <v>56815</v>
      </c>
      <c r="C28" s="267">
        <f>B28/'- 3 -'!$D28*100</f>
        <v>0.19661903847458923</v>
      </c>
      <c r="D28" s="16">
        <v>1740645</v>
      </c>
      <c r="E28" s="267">
        <f>D28/'- 3 -'!$D28*100</f>
        <v>6.0238307880947177</v>
      </c>
      <c r="F28" s="16">
        <v>0</v>
      </c>
      <c r="G28" s="267">
        <f>F28/'- 3 -'!$D28*100</f>
        <v>0</v>
      </c>
    </row>
    <row r="29" spans="1:7" ht="14.1" customHeight="1" x14ac:dyDescent="0.2">
      <c r="A29" s="271" t="s">
        <v>121</v>
      </c>
      <c r="B29" s="272">
        <v>177743</v>
      </c>
      <c r="C29" s="273">
        <f>B29/'- 3 -'!$D29*100</f>
        <v>0.10813100465154404</v>
      </c>
      <c r="D29" s="272">
        <v>3054957</v>
      </c>
      <c r="E29" s="273">
        <f>D29/'- 3 -'!$D29*100</f>
        <v>1.8585011481592357</v>
      </c>
      <c r="F29" s="272">
        <v>80000</v>
      </c>
      <c r="G29" s="273">
        <f>F29/'- 3 -'!$D29*100</f>
        <v>4.8668472863198683E-2</v>
      </c>
    </row>
    <row r="30" spans="1:7" ht="14.1" customHeight="1" x14ac:dyDescent="0.2">
      <c r="A30" s="15" t="s">
        <v>122</v>
      </c>
      <c r="B30" s="16">
        <v>89609</v>
      </c>
      <c r="C30" s="267">
        <f>B30/'- 3 -'!$D30*100</f>
        <v>0.59158940741436628</v>
      </c>
      <c r="D30" s="16">
        <v>1141463</v>
      </c>
      <c r="E30" s="267">
        <f>D30/'- 3 -'!$D30*100</f>
        <v>7.5358213991387561</v>
      </c>
      <c r="F30" s="16">
        <v>0</v>
      </c>
      <c r="G30" s="267">
        <f>F30/'- 3 -'!$D30*100</f>
        <v>0</v>
      </c>
    </row>
    <row r="31" spans="1:7" ht="14.1" customHeight="1" x14ac:dyDescent="0.2">
      <c r="A31" s="271" t="s">
        <v>123</v>
      </c>
      <c r="B31" s="272">
        <v>96704</v>
      </c>
      <c r="C31" s="273">
        <f>B31/'- 3 -'!$D31*100</f>
        <v>0.25257659257711496</v>
      </c>
      <c r="D31" s="272">
        <v>949850</v>
      </c>
      <c r="E31" s="273">
        <f>D31/'- 3 -'!$D31*100</f>
        <v>2.4808681797999323</v>
      </c>
      <c r="F31" s="272">
        <v>5000</v>
      </c>
      <c r="G31" s="273">
        <f>F31/'- 3 -'!$D31*100</f>
        <v>1.3059262935199937E-2</v>
      </c>
    </row>
    <row r="32" spans="1:7" ht="14.1" customHeight="1" x14ac:dyDescent="0.2">
      <c r="A32" s="15" t="s">
        <v>124</v>
      </c>
      <c r="B32" s="16">
        <v>130743</v>
      </c>
      <c r="C32" s="267">
        <f>B32/'- 3 -'!$D32*100</f>
        <v>0.41753267419996615</v>
      </c>
      <c r="D32" s="16">
        <v>2038482</v>
      </c>
      <c r="E32" s="267">
        <f>D32/'- 3 -'!$D32*100</f>
        <v>6.5099687231323697</v>
      </c>
      <c r="F32" s="16">
        <v>0</v>
      </c>
      <c r="G32" s="267">
        <f>F32/'- 3 -'!$D32*100</f>
        <v>0</v>
      </c>
    </row>
    <row r="33" spans="1:7" ht="14.1" customHeight="1" x14ac:dyDescent="0.2">
      <c r="A33" s="271" t="s">
        <v>125</v>
      </c>
      <c r="B33" s="272">
        <v>120600</v>
      </c>
      <c r="C33" s="273">
        <f>B33/'- 3 -'!$D33*100</f>
        <v>0.42502801801611301</v>
      </c>
      <c r="D33" s="272">
        <v>2182700</v>
      </c>
      <c r="E33" s="273">
        <f>D33/'- 3 -'!$D33*100</f>
        <v>7.6924432414906292</v>
      </c>
      <c r="F33" s="272">
        <v>0</v>
      </c>
      <c r="G33" s="273">
        <f>F33/'- 3 -'!$D33*100</f>
        <v>0</v>
      </c>
    </row>
    <row r="34" spans="1:7" ht="14.1" customHeight="1" x14ac:dyDescent="0.2">
      <c r="A34" s="15" t="s">
        <v>126</v>
      </c>
      <c r="B34" s="16">
        <v>160403</v>
      </c>
      <c r="C34" s="267">
        <f>B34/'- 3 -'!$D34*100</f>
        <v>0.52172186070638127</v>
      </c>
      <c r="D34" s="16">
        <v>2586889</v>
      </c>
      <c r="E34" s="267">
        <f>D34/'- 3 -'!$D34*100</f>
        <v>8.4140355387422296</v>
      </c>
      <c r="F34" s="16">
        <v>0</v>
      </c>
      <c r="G34" s="267">
        <f>F34/'- 3 -'!$D34*100</f>
        <v>0</v>
      </c>
    </row>
    <row r="35" spans="1:7" ht="14.1" customHeight="1" x14ac:dyDescent="0.2">
      <c r="A35" s="271" t="s">
        <v>127</v>
      </c>
      <c r="B35" s="272">
        <v>383694</v>
      </c>
      <c r="C35" s="273">
        <f>B35/'- 3 -'!$D35*100</f>
        <v>0.20715854483321422</v>
      </c>
      <c r="D35" s="272">
        <v>4016500</v>
      </c>
      <c r="E35" s="273">
        <f>D35/'- 3 -'!$D35*100</f>
        <v>2.1685309004639239</v>
      </c>
      <c r="F35" s="272">
        <v>25700</v>
      </c>
      <c r="G35" s="273">
        <f>F35/'- 3 -'!$D35*100</f>
        <v>1.3875574291528161E-2</v>
      </c>
    </row>
    <row r="36" spans="1:7" ht="14.1" customHeight="1" x14ac:dyDescent="0.2">
      <c r="A36" s="15" t="s">
        <v>128</v>
      </c>
      <c r="B36" s="16">
        <v>57860</v>
      </c>
      <c r="C36" s="267">
        <f>B36/'- 3 -'!$D36*100</f>
        <v>0.24134222314728862</v>
      </c>
      <c r="D36" s="16">
        <v>1467350</v>
      </c>
      <c r="E36" s="267">
        <f>D36/'- 3 -'!$D36*100</f>
        <v>6.1205238702933622</v>
      </c>
      <c r="F36" s="16">
        <v>11000</v>
      </c>
      <c r="G36" s="267">
        <f>F36/'- 3 -'!$D36*100</f>
        <v>4.5882551929142326E-2</v>
      </c>
    </row>
    <row r="37" spans="1:7" ht="14.1" customHeight="1" x14ac:dyDescent="0.2">
      <c r="A37" s="271" t="s">
        <v>129</v>
      </c>
      <c r="B37" s="272">
        <v>253000</v>
      </c>
      <c r="C37" s="273">
        <f>B37/'- 3 -'!$D37*100</f>
        <v>0.48531583894419827</v>
      </c>
      <c r="D37" s="272">
        <v>3004500</v>
      </c>
      <c r="E37" s="273">
        <f>D37/'- 3 -'!$D37*100</f>
        <v>5.7633653680151928</v>
      </c>
      <c r="F37" s="272">
        <v>2000</v>
      </c>
      <c r="G37" s="273">
        <f>F37/'- 3 -'!$D37*100</f>
        <v>3.8364888454086817E-3</v>
      </c>
    </row>
    <row r="38" spans="1:7" ht="14.1" customHeight="1" x14ac:dyDescent="0.2">
      <c r="A38" s="15" t="s">
        <v>130</v>
      </c>
      <c r="B38" s="16">
        <v>310410</v>
      </c>
      <c r="C38" s="267">
        <f>B38/'- 3 -'!$D38*100</f>
        <v>0.21981491104368639</v>
      </c>
      <c r="D38" s="16">
        <v>2849780</v>
      </c>
      <c r="E38" s="267">
        <f>D38/'- 3 -'!$D38*100</f>
        <v>2.0180539840664817</v>
      </c>
      <c r="F38" s="16">
        <v>200000</v>
      </c>
      <c r="G38" s="267">
        <f>F38/'- 3 -'!$D38*100</f>
        <v>0.14162875618935369</v>
      </c>
    </row>
    <row r="39" spans="1:7" ht="14.1" customHeight="1" x14ac:dyDescent="0.2">
      <c r="A39" s="271" t="s">
        <v>131</v>
      </c>
      <c r="B39" s="272">
        <v>143050</v>
      </c>
      <c r="C39" s="273">
        <f>B39/'- 3 -'!$D39*100</f>
        <v>0.6147254792001049</v>
      </c>
      <c r="D39" s="272">
        <v>1980100</v>
      </c>
      <c r="E39" s="273">
        <f>D39/'- 3 -'!$D39*100</f>
        <v>8.5090382479142086</v>
      </c>
      <c r="F39" s="272">
        <v>1000</v>
      </c>
      <c r="G39" s="273">
        <f>F39/'- 3 -'!$D39*100</f>
        <v>4.2972770304096812E-3</v>
      </c>
    </row>
    <row r="40" spans="1:7" ht="14.1" customHeight="1" x14ac:dyDescent="0.2">
      <c r="A40" s="15" t="s">
        <v>132</v>
      </c>
      <c r="B40" s="16">
        <v>151050</v>
      </c>
      <c r="C40" s="267">
        <f>B40/'- 3 -'!$D40*100</f>
        <v>0.14011943426219517</v>
      </c>
      <c r="D40" s="16">
        <v>2356943</v>
      </c>
      <c r="E40" s="267">
        <f>D40/'- 3 -'!$D40*100</f>
        <v>2.1863854336196029</v>
      </c>
      <c r="F40" s="16">
        <v>5000</v>
      </c>
      <c r="G40" s="267">
        <f>F40/'- 3 -'!$D40*100</f>
        <v>4.6381805449253605E-3</v>
      </c>
    </row>
    <row r="41" spans="1:7" ht="14.1" customHeight="1" x14ac:dyDescent="0.2">
      <c r="A41" s="271" t="s">
        <v>133</v>
      </c>
      <c r="B41" s="272">
        <v>490902</v>
      </c>
      <c r="C41" s="273">
        <f>B41/'- 3 -'!$D41*100</f>
        <v>0.76008558940727733</v>
      </c>
      <c r="D41" s="272">
        <v>4710498</v>
      </c>
      <c r="E41" s="273">
        <f>D41/'- 3 -'!$D41*100</f>
        <v>7.2934753753942765</v>
      </c>
      <c r="F41" s="272">
        <v>8000</v>
      </c>
      <c r="G41" s="273">
        <f>F41/'- 3 -'!$D41*100</f>
        <v>1.2386758895376713E-2</v>
      </c>
    </row>
    <row r="42" spans="1:7" ht="14.1" customHeight="1" x14ac:dyDescent="0.2">
      <c r="A42" s="15" t="s">
        <v>134</v>
      </c>
      <c r="B42" s="16">
        <v>106386</v>
      </c>
      <c r="C42" s="267">
        <f>B42/'- 3 -'!$D42*100</f>
        <v>0.49590461268761787</v>
      </c>
      <c r="D42" s="16">
        <v>1673797</v>
      </c>
      <c r="E42" s="267">
        <f>D42/'- 3 -'!$D42*100</f>
        <v>7.8021887560646768</v>
      </c>
      <c r="F42" s="16">
        <v>0</v>
      </c>
      <c r="G42" s="267">
        <f>F42/'- 3 -'!$D42*100</f>
        <v>0</v>
      </c>
    </row>
    <row r="43" spans="1:7" ht="14.1" customHeight="1" x14ac:dyDescent="0.2">
      <c r="A43" s="271" t="s">
        <v>135</v>
      </c>
      <c r="B43" s="272">
        <v>10395</v>
      </c>
      <c r="C43" s="273">
        <f>B43/'- 3 -'!$D43*100</f>
        <v>7.6046845734858343E-2</v>
      </c>
      <c r="D43" s="272">
        <v>1002619</v>
      </c>
      <c r="E43" s="273">
        <f>D43/'- 3 -'!$D43*100</f>
        <v>7.3348737300469393</v>
      </c>
      <c r="F43" s="272">
        <v>0</v>
      </c>
      <c r="G43" s="273">
        <f>F43/'- 3 -'!$D43*100</f>
        <v>0</v>
      </c>
    </row>
    <row r="44" spans="1:7" ht="14.1" customHeight="1" x14ac:dyDescent="0.2">
      <c r="A44" s="15" t="s">
        <v>136</v>
      </c>
      <c r="B44" s="16">
        <v>33037</v>
      </c>
      <c r="C44" s="267">
        <f>B44/'- 3 -'!$D44*100</f>
        <v>0.29288058252358329</v>
      </c>
      <c r="D44" s="16">
        <v>1135394</v>
      </c>
      <c r="E44" s="267">
        <f>D44/'- 3 -'!$D44*100</f>
        <v>10.065528229372561</v>
      </c>
      <c r="F44" s="16">
        <v>0</v>
      </c>
      <c r="G44" s="267">
        <f>F44/'- 3 -'!$D44*100</f>
        <v>0</v>
      </c>
    </row>
    <row r="45" spans="1:7" ht="14.1" customHeight="1" x14ac:dyDescent="0.2">
      <c r="A45" s="271" t="s">
        <v>137</v>
      </c>
      <c r="B45" s="272">
        <v>50663</v>
      </c>
      <c r="C45" s="273">
        <f>B45/'- 3 -'!$D45*100</f>
        <v>0.25047725550534056</v>
      </c>
      <c r="D45" s="272">
        <v>702643</v>
      </c>
      <c r="E45" s="273">
        <f>D45/'- 3 -'!$D45*100</f>
        <v>3.4738584418616942</v>
      </c>
      <c r="F45" s="272">
        <v>18000</v>
      </c>
      <c r="G45" s="273">
        <f>F45/'- 3 -'!$D45*100</f>
        <v>8.8991780966309345E-2</v>
      </c>
    </row>
    <row r="46" spans="1:7" ht="14.1" customHeight="1" x14ac:dyDescent="0.2">
      <c r="A46" s="15" t="s">
        <v>138</v>
      </c>
      <c r="B46" s="16">
        <v>666500</v>
      </c>
      <c r="C46" s="267">
        <f>B46/'- 3 -'!$D46*100</f>
        <v>0.16560499741964307</v>
      </c>
      <c r="D46" s="16">
        <v>5377700</v>
      </c>
      <c r="E46" s="267">
        <f>D46/'- 3 -'!$D46*100</f>
        <v>1.3361950406955956</v>
      </c>
      <c r="F46" s="16">
        <v>0</v>
      </c>
      <c r="G46" s="267">
        <f>F46/'- 3 -'!$D46*100</f>
        <v>0</v>
      </c>
    </row>
    <row r="47" spans="1:7" ht="5.0999999999999996" customHeight="1" x14ac:dyDescent="0.2">
      <c r="A47"/>
      <c r="B47"/>
      <c r="C47"/>
      <c r="D47"/>
      <c r="E47"/>
      <c r="F47"/>
      <c r="G47"/>
    </row>
    <row r="48" spans="1:7" ht="14.1" customHeight="1" x14ac:dyDescent="0.2">
      <c r="A48" s="274" t="s">
        <v>139</v>
      </c>
      <c r="B48" s="275">
        <f>SUM(B11:B46)</f>
        <v>6237397</v>
      </c>
      <c r="C48" s="276">
        <f>B48/'- 3 -'!$D48*100</f>
        <v>0.26292647468533781</v>
      </c>
      <c r="D48" s="275">
        <f>SUM(D11:D46)</f>
        <v>87763613</v>
      </c>
      <c r="E48" s="276">
        <f>D48/'- 3 -'!$D48*100</f>
        <v>3.6995203883508263</v>
      </c>
      <c r="F48" s="275">
        <f>SUM(F11:F46)</f>
        <v>1224339</v>
      </c>
      <c r="G48" s="276">
        <f>F48/'- 3 -'!$D48*100</f>
        <v>5.1609852169065357E-2</v>
      </c>
    </row>
    <row r="49" spans="1:7" ht="5.0999999999999996" customHeight="1" x14ac:dyDescent="0.2">
      <c r="A49" s="17" t="s">
        <v>1</v>
      </c>
      <c r="B49" s="18"/>
      <c r="C49" s="266"/>
      <c r="D49" s="18"/>
      <c r="E49" s="266"/>
      <c r="F49" s="18"/>
      <c r="G49" s="266"/>
    </row>
    <row r="50" spans="1:7" ht="14.1" customHeight="1" x14ac:dyDescent="0.2">
      <c r="A50" s="15" t="s">
        <v>140</v>
      </c>
      <c r="B50" s="16">
        <v>0</v>
      </c>
      <c r="C50" s="267">
        <f>B50/'- 3 -'!$D50*100</f>
        <v>0</v>
      </c>
      <c r="D50" s="16">
        <v>0</v>
      </c>
      <c r="E50" s="267">
        <f>D50/'- 3 -'!$D50*100</f>
        <v>0</v>
      </c>
      <c r="F50" s="16">
        <v>14000</v>
      </c>
      <c r="G50" s="267">
        <f>F50/'- 3 -'!$D50*100</f>
        <v>0.3932849405577904</v>
      </c>
    </row>
    <row r="51" spans="1:7" ht="14.1" customHeight="1" x14ac:dyDescent="0.2">
      <c r="A51" s="360" t="s">
        <v>516</v>
      </c>
      <c r="B51" s="272">
        <v>0</v>
      </c>
      <c r="C51" s="273">
        <f>B51/'- 3 -'!$D51*100</f>
        <v>0</v>
      </c>
      <c r="D51" s="272">
        <v>0</v>
      </c>
      <c r="E51" s="273">
        <f>D51/'- 3 -'!$D51*100</f>
        <v>0</v>
      </c>
      <c r="F51" s="272">
        <v>0</v>
      </c>
      <c r="G51" s="273">
        <f>F51/'- 3 -'!$D51*100</f>
        <v>0</v>
      </c>
    </row>
    <row r="52" spans="1:7" ht="50.1" customHeight="1" x14ac:dyDescent="0.2"/>
    <row r="53" spans="1:7" ht="15" customHeight="1" x14ac:dyDescent="0.2">
      <c r="D53" s="72"/>
      <c r="E53" s="72"/>
    </row>
    <row r="54" spans="1:7" ht="14.45" customHeight="1" x14ac:dyDescent="0.2">
      <c r="D54" s="72"/>
      <c r="E54" s="72"/>
    </row>
    <row r="55" spans="1:7" ht="14.45" customHeight="1" x14ac:dyDescent="0.2">
      <c r="D55" s="72"/>
      <c r="E55" s="72"/>
    </row>
    <row r="56" spans="1:7" ht="14.45" customHeight="1" x14ac:dyDescent="0.2">
      <c r="D56" s="72"/>
      <c r="E56" s="72"/>
    </row>
    <row r="57" spans="1:7" ht="14.45" customHeight="1" x14ac:dyDescent="0.2"/>
    <row r="58" spans="1:7" ht="14.45" customHeight="1" x14ac:dyDescent="0.2"/>
    <row r="59" spans="1:7" ht="14.45" customHeight="1" x14ac:dyDescent="0.2"/>
    <row r="60" spans="1:7" ht="12" customHeight="1" x14ac:dyDescent="0.2"/>
    <row r="61" spans="1:7" ht="12" customHeight="1" x14ac:dyDescent="0.2"/>
    <row r="62" spans="1:7" ht="12" customHeight="1" x14ac:dyDescent="0.2"/>
    <row r="63" spans="1:7" ht="12" customHeight="1" x14ac:dyDescent="0.2"/>
    <row r="64" spans="1:7" ht="12" customHeight="1" x14ac:dyDescent="0.2"/>
    <row r="65" ht="12" customHeight="1" x14ac:dyDescent="0.2"/>
    <row r="66" ht="12" customHeight="1" x14ac:dyDescent="0.2"/>
  </sheetData>
  <mergeCells count="4">
    <mergeCell ref="B6:G6"/>
    <mergeCell ref="B8:C8"/>
    <mergeCell ref="D8:E8"/>
    <mergeCell ref="F7:G8"/>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F59"/>
  <sheetViews>
    <sheetView showGridLines="0" showZeros="0" workbookViewId="0"/>
  </sheetViews>
  <sheetFormatPr defaultColWidth="15.83203125" defaultRowHeight="12" x14ac:dyDescent="0.2"/>
  <cols>
    <col min="1" max="1" width="35.83203125" style="1" customWidth="1"/>
    <col min="2" max="2" width="19.83203125" style="1" customWidth="1"/>
    <col min="3" max="3" width="12" style="1" customWidth="1"/>
    <col min="4" max="4" width="19.83203125" style="1" customWidth="1"/>
    <col min="5" max="5" width="12.1640625" style="1" customWidth="1"/>
    <col min="6" max="6" width="25.83203125" style="1" customWidth="1"/>
    <col min="7" max="16384" width="15.83203125" style="1"/>
  </cols>
  <sheetData>
    <row r="1" spans="1:6" ht="6.95" customHeight="1" x14ac:dyDescent="0.2">
      <c r="A1" s="3"/>
      <c r="B1" s="4"/>
      <c r="C1" s="4"/>
      <c r="D1" s="4"/>
      <c r="E1" s="4"/>
      <c r="F1" s="4"/>
    </row>
    <row r="2" spans="1:6" ht="15.95" customHeight="1" x14ac:dyDescent="0.2">
      <c r="A2" s="132"/>
      <c r="B2" s="5" t="str">
        <f>AEXP_BP</f>
        <v>ANALYSIS OF EXPENSE BY PROGRAM</v>
      </c>
      <c r="C2" s="6"/>
      <c r="D2" s="6"/>
      <c r="E2" s="6"/>
      <c r="F2" s="503" t="s">
        <v>536</v>
      </c>
    </row>
    <row r="3" spans="1:6" ht="15.95" customHeight="1" x14ac:dyDescent="0.2">
      <c r="A3" s="135"/>
      <c r="B3" s="7" t="str">
        <f>OPYEAR</f>
        <v>OPERATING FUND 2017/2018 BUDGET</v>
      </c>
      <c r="C3" s="8"/>
      <c r="D3" s="8"/>
      <c r="E3" s="8"/>
      <c r="F3" s="81"/>
    </row>
    <row r="4" spans="1:6" ht="15.95" customHeight="1" x14ac:dyDescent="0.2">
      <c r="B4" s="4"/>
      <c r="C4" s="4"/>
      <c r="D4" s="4"/>
      <c r="E4" s="4"/>
      <c r="F4" s="4"/>
    </row>
    <row r="5" spans="1:6" ht="15.95" customHeight="1" x14ac:dyDescent="0.2">
      <c r="B5" s="4"/>
      <c r="C5" s="4"/>
      <c r="D5" s="4"/>
      <c r="E5" s="4"/>
      <c r="F5" s="4"/>
    </row>
    <row r="6" spans="1:6" ht="15.95" customHeight="1" x14ac:dyDescent="0.2">
      <c r="B6" s="679" t="s">
        <v>233</v>
      </c>
      <c r="C6" s="680"/>
      <c r="D6" s="669"/>
      <c r="E6" s="670"/>
      <c r="F6" s="55"/>
    </row>
    <row r="7" spans="1:6" ht="15.95" customHeight="1" x14ac:dyDescent="0.2">
      <c r="B7" s="691" t="s">
        <v>428</v>
      </c>
      <c r="C7" s="692"/>
      <c r="D7" s="674" t="s">
        <v>429</v>
      </c>
      <c r="E7" s="613"/>
      <c r="F7" s="4"/>
    </row>
    <row r="8" spans="1:6" ht="15.95" customHeight="1" x14ac:dyDescent="0.2">
      <c r="A8" s="249"/>
      <c r="B8" s="693"/>
      <c r="C8" s="694"/>
      <c r="D8" s="629"/>
      <c r="E8" s="615"/>
      <c r="F8" s="4"/>
    </row>
    <row r="9" spans="1:6" ht="15.95" customHeight="1" x14ac:dyDescent="0.2">
      <c r="A9" s="27" t="s">
        <v>37</v>
      </c>
      <c r="B9" s="89" t="s">
        <v>38</v>
      </c>
      <c r="C9" s="89" t="s">
        <v>39</v>
      </c>
      <c r="D9" s="151" t="s">
        <v>38</v>
      </c>
      <c r="E9" s="151" t="s">
        <v>39</v>
      </c>
    </row>
    <row r="10" spans="1:6" ht="5.0999999999999996" customHeight="1" x14ac:dyDescent="0.2">
      <c r="A10" s="29"/>
    </row>
    <row r="11" spans="1:6" ht="14.1" customHeight="1" x14ac:dyDescent="0.2">
      <c r="A11" s="271" t="s">
        <v>104</v>
      </c>
      <c r="B11" s="272">
        <v>0</v>
      </c>
      <c r="C11" s="273">
        <f>B11/'- 3 -'!$D11*100</f>
        <v>0</v>
      </c>
      <c r="D11" s="272">
        <v>140000</v>
      </c>
      <c r="E11" s="273">
        <f>D11/'- 3 -'!$D11*100</f>
        <v>0.69401020611409114</v>
      </c>
    </row>
    <row r="12" spans="1:6" ht="14.1" customHeight="1" x14ac:dyDescent="0.2">
      <c r="A12" s="15" t="s">
        <v>105</v>
      </c>
      <c r="B12" s="16">
        <v>0</v>
      </c>
      <c r="C12" s="267">
        <f>B12/'- 3 -'!$D12*100</f>
        <v>0</v>
      </c>
      <c r="D12" s="16">
        <v>288000</v>
      </c>
      <c r="E12" s="267">
        <f>D12/'- 3 -'!$D12*100</f>
        <v>0.82211383450591591</v>
      </c>
    </row>
    <row r="13" spans="1:6" ht="14.1" customHeight="1" x14ac:dyDescent="0.2">
      <c r="A13" s="271" t="s">
        <v>106</v>
      </c>
      <c r="B13" s="272">
        <v>0</v>
      </c>
      <c r="C13" s="273">
        <f>B13/'- 3 -'!$D13*100</f>
        <v>0</v>
      </c>
      <c r="D13" s="272">
        <v>77800</v>
      </c>
      <c r="E13" s="273">
        <f>D13/'- 3 -'!$D13*100</f>
        <v>7.6392843816892833E-2</v>
      </c>
    </row>
    <row r="14" spans="1:6" ht="14.1" customHeight="1" x14ac:dyDescent="0.2">
      <c r="A14" s="15" t="s">
        <v>315</v>
      </c>
      <c r="B14" s="16">
        <v>5253</v>
      </c>
      <c r="C14" s="267">
        <f>B14/'- 3 -'!$D14*100</f>
        <v>5.8188578582296265E-3</v>
      </c>
      <c r="D14" s="16">
        <v>107736</v>
      </c>
      <c r="E14" s="267">
        <f>D14/'- 3 -'!$D14*100</f>
        <v>0.11934141827797963</v>
      </c>
    </row>
    <row r="15" spans="1:6" ht="14.1" customHeight="1" x14ac:dyDescent="0.2">
      <c r="A15" s="271" t="s">
        <v>107</v>
      </c>
      <c r="B15" s="272">
        <v>0</v>
      </c>
      <c r="C15" s="273">
        <f>B15/'- 3 -'!$D15*100</f>
        <v>0</v>
      </c>
      <c r="D15" s="272">
        <v>47000</v>
      </c>
      <c r="E15" s="273">
        <f>D15/'- 3 -'!$D15*100</f>
        <v>0.2268992870341637</v>
      </c>
    </row>
    <row r="16" spans="1:6" ht="14.1" customHeight="1" x14ac:dyDescent="0.2">
      <c r="A16" s="15" t="s">
        <v>108</v>
      </c>
      <c r="B16" s="16">
        <v>0</v>
      </c>
      <c r="C16" s="267">
        <f>B16/'- 3 -'!$D16*100</f>
        <v>0</v>
      </c>
      <c r="D16" s="16">
        <v>183386</v>
      </c>
      <c r="E16" s="267">
        <f>D16/'- 3 -'!$D16*100</f>
        <v>1.2398656569937141</v>
      </c>
    </row>
    <row r="17" spans="1:5" ht="14.1" customHeight="1" x14ac:dyDescent="0.2">
      <c r="A17" s="271" t="s">
        <v>109</v>
      </c>
      <c r="B17" s="272">
        <v>0</v>
      </c>
      <c r="C17" s="273">
        <f>B17/'- 3 -'!$D17*100</f>
        <v>0</v>
      </c>
      <c r="D17" s="272">
        <v>36750</v>
      </c>
      <c r="E17" s="273">
        <f>D17/'- 3 -'!$D17*100</f>
        <v>0.19652021783958668</v>
      </c>
    </row>
    <row r="18" spans="1:5" ht="14.1" customHeight="1" x14ac:dyDescent="0.2">
      <c r="A18" s="15" t="s">
        <v>110</v>
      </c>
      <c r="B18" s="16">
        <v>2714928</v>
      </c>
      <c r="C18" s="267">
        <f>B18/'- 3 -'!$D18*100</f>
        <v>2.0606436722891877</v>
      </c>
      <c r="D18" s="16">
        <v>883493</v>
      </c>
      <c r="E18" s="267">
        <f>D18/'- 3 -'!$D18*100</f>
        <v>0.67057552169405277</v>
      </c>
    </row>
    <row r="19" spans="1:5" ht="14.1" customHeight="1" x14ac:dyDescent="0.2">
      <c r="A19" s="271" t="s">
        <v>111</v>
      </c>
      <c r="B19" s="272">
        <v>2000</v>
      </c>
      <c r="C19" s="273">
        <f>B19/'- 3 -'!$D19*100</f>
        <v>4.1040190720332713E-3</v>
      </c>
      <c r="D19" s="272">
        <v>173974</v>
      </c>
      <c r="E19" s="273">
        <f>D19/'- 3 -'!$D19*100</f>
        <v>0.35699630701895813</v>
      </c>
    </row>
    <row r="20" spans="1:5" ht="14.1" customHeight="1" x14ac:dyDescent="0.2">
      <c r="A20" s="15" t="s">
        <v>112</v>
      </c>
      <c r="B20" s="16">
        <v>0</v>
      </c>
      <c r="C20" s="267">
        <f>B20/'- 3 -'!$D20*100</f>
        <v>0</v>
      </c>
      <c r="D20" s="16">
        <v>251100</v>
      </c>
      <c r="E20" s="267">
        <f>D20/'- 3 -'!$D20*100</f>
        <v>0.29576389772293604</v>
      </c>
    </row>
    <row r="21" spans="1:5" ht="14.1" customHeight="1" x14ac:dyDescent="0.2">
      <c r="A21" s="271" t="s">
        <v>113</v>
      </c>
      <c r="B21" s="272">
        <v>0</v>
      </c>
      <c r="C21" s="273">
        <f>B21/'- 3 -'!$D21*100</f>
        <v>0</v>
      </c>
      <c r="D21" s="272">
        <v>140000</v>
      </c>
      <c r="E21" s="273">
        <f>D21/'- 3 -'!$D21*100</f>
        <v>0.37695816302902041</v>
      </c>
    </row>
    <row r="22" spans="1:5" ht="14.1" customHeight="1" x14ac:dyDescent="0.2">
      <c r="A22" s="15" t="s">
        <v>114</v>
      </c>
      <c r="B22" s="16">
        <v>0</v>
      </c>
      <c r="C22" s="267">
        <f>B22/'- 3 -'!$D22*100</f>
        <v>0</v>
      </c>
      <c r="D22" s="16">
        <v>59354</v>
      </c>
      <c r="E22" s="267">
        <f>D22/'- 3 -'!$D22*100</f>
        <v>0.27839077990599609</v>
      </c>
    </row>
    <row r="23" spans="1:5" ht="14.1" customHeight="1" x14ac:dyDescent="0.2">
      <c r="A23" s="271" t="s">
        <v>115</v>
      </c>
      <c r="B23" s="272">
        <v>0</v>
      </c>
      <c r="C23" s="273">
        <f>B23/'- 3 -'!$D23*100</f>
        <v>0</v>
      </c>
      <c r="D23" s="272">
        <v>20000</v>
      </c>
      <c r="E23" s="273">
        <f>D23/'- 3 -'!$D23*100</f>
        <v>0.11880258165138083</v>
      </c>
    </row>
    <row r="24" spans="1:5" ht="14.1" customHeight="1" x14ac:dyDescent="0.2">
      <c r="A24" s="15" t="s">
        <v>116</v>
      </c>
      <c r="B24" s="16">
        <v>0</v>
      </c>
      <c r="C24" s="267">
        <f>B24/'- 3 -'!$D24*100</f>
        <v>0</v>
      </c>
      <c r="D24" s="16">
        <v>92000</v>
      </c>
      <c r="E24" s="267">
        <f>D24/'- 3 -'!$D24*100</f>
        <v>0.15748201863464184</v>
      </c>
    </row>
    <row r="25" spans="1:5" ht="14.1" customHeight="1" x14ac:dyDescent="0.2">
      <c r="A25" s="271" t="s">
        <v>117</v>
      </c>
      <c r="B25" s="272">
        <v>0</v>
      </c>
      <c r="C25" s="273">
        <f>B25/'- 3 -'!$D25*100</f>
        <v>0</v>
      </c>
      <c r="D25" s="272">
        <v>63500</v>
      </c>
      <c r="E25" s="273">
        <f>D25/'- 3 -'!$D25*100</f>
        <v>3.4883962645879237E-2</v>
      </c>
    </row>
    <row r="26" spans="1:5" ht="14.1" customHeight="1" x14ac:dyDescent="0.2">
      <c r="A26" s="15" t="s">
        <v>118</v>
      </c>
      <c r="B26" s="16">
        <v>10500</v>
      </c>
      <c r="C26" s="267">
        <f>B26/'- 3 -'!$D26*100</f>
        <v>2.550434415493991E-2</v>
      </c>
      <c r="D26" s="16">
        <v>230675</v>
      </c>
      <c r="E26" s="267">
        <f>D26/'- 3 -'!$D26*100</f>
        <v>0.56030615123245375</v>
      </c>
    </row>
    <row r="27" spans="1:5" ht="14.1" customHeight="1" x14ac:dyDescent="0.2">
      <c r="A27" s="271" t="s">
        <v>119</v>
      </c>
      <c r="B27" s="272">
        <v>0</v>
      </c>
      <c r="C27" s="273">
        <f>B27/'- 3 -'!$D27*100</f>
        <v>0</v>
      </c>
      <c r="D27" s="272">
        <v>130000</v>
      </c>
      <c r="E27" s="273">
        <f>D27/'- 3 -'!$D27*100</f>
        <v>0.29514984348884915</v>
      </c>
    </row>
    <row r="28" spans="1:5" ht="14.1" customHeight="1" x14ac:dyDescent="0.2">
      <c r="A28" s="15" t="s">
        <v>120</v>
      </c>
      <c r="B28" s="16">
        <v>0</v>
      </c>
      <c r="C28" s="267">
        <f>B28/'- 3 -'!$D28*100</f>
        <v>0</v>
      </c>
      <c r="D28" s="16">
        <v>197525</v>
      </c>
      <c r="E28" s="267">
        <f>D28/'- 3 -'!$D28*100</f>
        <v>0.68357257017853101</v>
      </c>
    </row>
    <row r="29" spans="1:5" ht="14.1" customHeight="1" x14ac:dyDescent="0.2">
      <c r="A29" s="271" t="s">
        <v>121</v>
      </c>
      <c r="B29" s="272">
        <v>0</v>
      </c>
      <c r="C29" s="273">
        <f>B29/'- 3 -'!$D29*100</f>
        <v>0</v>
      </c>
      <c r="D29" s="272">
        <v>140000</v>
      </c>
      <c r="E29" s="273">
        <f>D29/'- 3 -'!$D29*100</f>
        <v>8.5169827510597693E-2</v>
      </c>
    </row>
    <row r="30" spans="1:5" ht="14.1" customHeight="1" x14ac:dyDescent="0.2">
      <c r="A30" s="15" t="s">
        <v>122</v>
      </c>
      <c r="B30" s="16">
        <v>0</v>
      </c>
      <c r="C30" s="267">
        <f>B30/'- 3 -'!$D30*100</f>
        <v>0</v>
      </c>
      <c r="D30" s="16">
        <v>50608</v>
      </c>
      <c r="E30" s="267">
        <f>D30/'- 3 -'!$D30*100</f>
        <v>0.33410881418636801</v>
      </c>
    </row>
    <row r="31" spans="1:5" ht="14.1" customHeight="1" x14ac:dyDescent="0.2">
      <c r="A31" s="271" t="s">
        <v>123</v>
      </c>
      <c r="B31" s="272">
        <v>0</v>
      </c>
      <c r="C31" s="273">
        <f>B31/'- 3 -'!$D31*100</f>
        <v>0</v>
      </c>
      <c r="D31" s="272">
        <v>36000</v>
      </c>
      <c r="E31" s="273">
        <f>D31/'- 3 -'!$D31*100</f>
        <v>9.4026693133439546E-2</v>
      </c>
    </row>
    <row r="32" spans="1:5" ht="14.1" customHeight="1" x14ac:dyDescent="0.2">
      <c r="A32" s="15" t="s">
        <v>124</v>
      </c>
      <c r="B32" s="16">
        <v>0</v>
      </c>
      <c r="C32" s="267">
        <f>B32/'- 3 -'!$D32*100</f>
        <v>0</v>
      </c>
      <c r="D32" s="16">
        <v>119700</v>
      </c>
      <c r="E32" s="267">
        <f>D32/'- 3 -'!$D32*100</f>
        <v>0.38226643951673089</v>
      </c>
    </row>
    <row r="33" spans="1:5" ht="14.1" customHeight="1" x14ac:dyDescent="0.2">
      <c r="A33" s="271" t="s">
        <v>125</v>
      </c>
      <c r="B33" s="272">
        <v>0</v>
      </c>
      <c r="C33" s="273">
        <f>B33/'- 3 -'!$D33*100</f>
        <v>0</v>
      </c>
      <c r="D33" s="272">
        <v>85000</v>
      </c>
      <c r="E33" s="273">
        <f>D33/'- 3 -'!$D33*100</f>
        <v>0.29956369428996354</v>
      </c>
    </row>
    <row r="34" spans="1:5" ht="14.1" customHeight="1" x14ac:dyDescent="0.2">
      <c r="A34" s="15" t="s">
        <v>126</v>
      </c>
      <c r="B34" s="16">
        <v>0</v>
      </c>
      <c r="C34" s="267">
        <f>B34/'- 3 -'!$D34*100</f>
        <v>0</v>
      </c>
      <c r="D34" s="16">
        <v>234292</v>
      </c>
      <c r="E34" s="267">
        <f>D34/'- 3 -'!$D34*100</f>
        <v>0.76205094785396454</v>
      </c>
    </row>
    <row r="35" spans="1:5" ht="14.1" customHeight="1" x14ac:dyDescent="0.2">
      <c r="A35" s="271" t="s">
        <v>127</v>
      </c>
      <c r="B35" s="272">
        <v>0</v>
      </c>
      <c r="C35" s="273">
        <f>B35/'- 3 -'!$D35*100</f>
        <v>0</v>
      </c>
      <c r="D35" s="272">
        <v>166547</v>
      </c>
      <c r="E35" s="273">
        <f>D35/'- 3 -'!$D35*100</f>
        <v>8.9919660370861493E-2</v>
      </c>
    </row>
    <row r="36" spans="1:5" ht="14.1" customHeight="1" x14ac:dyDescent="0.2">
      <c r="A36" s="15" t="s">
        <v>128</v>
      </c>
      <c r="B36" s="16">
        <v>0</v>
      </c>
      <c r="C36" s="267">
        <f>B36/'- 3 -'!$D36*100</f>
        <v>0</v>
      </c>
      <c r="D36" s="16">
        <v>103000</v>
      </c>
      <c r="E36" s="267">
        <f>D36/'- 3 -'!$D36*100</f>
        <v>0.42962753170015089</v>
      </c>
    </row>
    <row r="37" spans="1:5" ht="14.1" customHeight="1" x14ac:dyDescent="0.2">
      <c r="A37" s="271" t="s">
        <v>129</v>
      </c>
      <c r="B37" s="272">
        <v>0</v>
      </c>
      <c r="C37" s="273">
        <f>B37/'- 3 -'!$D37*100</f>
        <v>0</v>
      </c>
      <c r="D37" s="272">
        <v>49397</v>
      </c>
      <c r="E37" s="273">
        <f>D37/'- 3 -'!$D37*100</f>
        <v>9.4755519748326328E-2</v>
      </c>
    </row>
    <row r="38" spans="1:5" ht="14.1" customHeight="1" x14ac:dyDescent="0.2">
      <c r="A38" s="15" t="s">
        <v>130</v>
      </c>
      <c r="B38" s="16">
        <v>0</v>
      </c>
      <c r="C38" s="267">
        <f>B38/'- 3 -'!$D38*100</f>
        <v>0</v>
      </c>
      <c r="D38" s="16">
        <v>389000</v>
      </c>
      <c r="E38" s="267">
        <f>D38/'- 3 -'!$D38*100</f>
        <v>0.2754679307882929</v>
      </c>
    </row>
    <row r="39" spans="1:5" ht="14.1" customHeight="1" x14ac:dyDescent="0.2">
      <c r="A39" s="271" t="s">
        <v>131</v>
      </c>
      <c r="B39" s="272">
        <v>0</v>
      </c>
      <c r="C39" s="273">
        <f>B39/'- 3 -'!$D39*100</f>
        <v>0</v>
      </c>
      <c r="D39" s="272">
        <v>16400</v>
      </c>
      <c r="E39" s="273">
        <f>D39/'- 3 -'!$D39*100</f>
        <v>7.0475343298718768E-2</v>
      </c>
    </row>
    <row r="40" spans="1:5" ht="14.1" customHeight="1" x14ac:dyDescent="0.2">
      <c r="A40" s="15" t="s">
        <v>132</v>
      </c>
      <c r="B40" s="16">
        <v>0</v>
      </c>
      <c r="C40" s="267">
        <f>B40/'- 3 -'!$D40*100</f>
        <v>0</v>
      </c>
      <c r="D40" s="16">
        <v>90787</v>
      </c>
      <c r="E40" s="267">
        <f>D40/'- 3 -'!$D40*100</f>
        <v>8.421729942642775E-2</v>
      </c>
    </row>
    <row r="41" spans="1:5" ht="14.1" customHeight="1" x14ac:dyDescent="0.2">
      <c r="A41" s="271" t="s">
        <v>133</v>
      </c>
      <c r="B41" s="272">
        <v>0</v>
      </c>
      <c r="C41" s="273">
        <f>B41/'- 3 -'!$D41*100</f>
        <v>0</v>
      </c>
      <c r="D41" s="272">
        <v>158000</v>
      </c>
      <c r="E41" s="273">
        <f>D41/'- 3 -'!$D41*100</f>
        <v>0.24463848818369005</v>
      </c>
    </row>
    <row r="42" spans="1:5" ht="14.1" customHeight="1" x14ac:dyDescent="0.2">
      <c r="A42" s="15" t="s">
        <v>134</v>
      </c>
      <c r="B42" s="16">
        <v>0</v>
      </c>
      <c r="C42" s="267">
        <f>B42/'- 3 -'!$D42*100</f>
        <v>0</v>
      </c>
      <c r="D42" s="16">
        <v>91924</v>
      </c>
      <c r="E42" s="267">
        <f>D42/'- 3 -'!$D42*100</f>
        <v>0.42849186562796404</v>
      </c>
    </row>
    <row r="43" spans="1:5" ht="14.1" customHeight="1" x14ac:dyDescent="0.2">
      <c r="A43" s="271" t="s">
        <v>135</v>
      </c>
      <c r="B43" s="272">
        <v>0</v>
      </c>
      <c r="C43" s="273">
        <f>B43/'- 3 -'!$D43*100</f>
        <v>0</v>
      </c>
      <c r="D43" s="272">
        <v>14955</v>
      </c>
      <c r="E43" s="273">
        <f>D43/'- 3 -'!$D43*100</f>
        <v>0.1094065010067154</v>
      </c>
    </row>
    <row r="44" spans="1:5" ht="14.1" customHeight="1" x14ac:dyDescent="0.2">
      <c r="A44" s="15" t="s">
        <v>136</v>
      </c>
      <c r="B44" s="16">
        <v>0</v>
      </c>
      <c r="C44" s="267">
        <f>B44/'- 3 -'!$D44*100</f>
        <v>0</v>
      </c>
      <c r="D44" s="16">
        <v>40000</v>
      </c>
      <c r="E44" s="267">
        <f>D44/'- 3 -'!$D44*100</f>
        <v>0.35460917459040869</v>
      </c>
    </row>
    <row r="45" spans="1:5" ht="14.1" customHeight="1" x14ac:dyDescent="0.2">
      <c r="A45" s="271" t="s">
        <v>137</v>
      </c>
      <c r="B45" s="272">
        <v>0</v>
      </c>
      <c r="C45" s="273">
        <f>B45/'- 3 -'!$D45*100</f>
        <v>0</v>
      </c>
      <c r="D45" s="272">
        <v>60425</v>
      </c>
      <c r="E45" s="273">
        <f>D45/'- 3 -'!$D45*100</f>
        <v>0.29874046471606902</v>
      </c>
    </row>
    <row r="46" spans="1:5" ht="14.1" customHeight="1" x14ac:dyDescent="0.2">
      <c r="A46" s="15" t="s">
        <v>138</v>
      </c>
      <c r="B46" s="16">
        <v>0</v>
      </c>
      <c r="C46" s="267">
        <f>B46/'- 3 -'!$D46*100</f>
        <v>0</v>
      </c>
      <c r="D46" s="16">
        <v>385300</v>
      </c>
      <c r="E46" s="267">
        <f>D46/'- 3 -'!$D46*100</f>
        <v>9.5735342094206269E-2</v>
      </c>
    </row>
    <row r="47" spans="1:5" ht="5.0999999999999996" customHeight="1" x14ac:dyDescent="0.2">
      <c r="A47"/>
      <c r="B47"/>
      <c r="C47"/>
      <c r="D47"/>
      <c r="E47"/>
    </row>
    <row r="48" spans="1:5" ht="14.1" customHeight="1" x14ac:dyDescent="0.2">
      <c r="A48" s="274" t="s">
        <v>139</v>
      </c>
      <c r="B48" s="275">
        <f>SUM(B11:B46)</f>
        <v>2732681</v>
      </c>
      <c r="C48" s="276">
        <f>B48/'- 3 -'!$D48*100</f>
        <v>0.11519135013686053</v>
      </c>
      <c r="D48" s="275">
        <f>SUM(D11:D46)</f>
        <v>5353628</v>
      </c>
      <c r="E48" s="276">
        <f>D48/'- 3 -'!$D48*100</f>
        <v>0.22567275047855948</v>
      </c>
    </row>
    <row r="49" spans="1:5" ht="5.0999999999999996" customHeight="1" x14ac:dyDescent="0.2">
      <c r="A49" s="17" t="s">
        <v>1</v>
      </c>
      <c r="B49" s="18"/>
      <c r="C49" s="266"/>
      <c r="D49" s="18"/>
      <c r="E49" s="266"/>
    </row>
    <row r="50" spans="1:5" ht="14.1" customHeight="1" x14ac:dyDescent="0.2">
      <c r="A50" s="15" t="s">
        <v>140</v>
      </c>
      <c r="B50" s="16">
        <v>0</v>
      </c>
      <c r="C50" s="267">
        <f>B50/'- 3 -'!$D50*100</f>
        <v>0</v>
      </c>
      <c r="D50" s="16">
        <v>41251</v>
      </c>
      <c r="E50" s="267">
        <f>D50/'- 3 -'!$D50*100</f>
        <v>1.1588140773535296</v>
      </c>
    </row>
    <row r="51" spans="1:5" ht="14.1" customHeight="1" x14ac:dyDescent="0.2">
      <c r="A51" s="360" t="s">
        <v>516</v>
      </c>
      <c r="B51" s="272">
        <v>0</v>
      </c>
      <c r="C51" s="273">
        <f>B51/'- 3 -'!$D51*100</f>
        <v>0</v>
      </c>
      <c r="D51" s="272">
        <v>0</v>
      </c>
      <c r="E51" s="273">
        <f>D51/'- 3 -'!$D51*100</f>
        <v>0</v>
      </c>
    </row>
    <row r="52" spans="1:5" ht="50.1" customHeight="1" x14ac:dyDescent="0.2"/>
    <row r="53" spans="1:5" ht="15" customHeight="1" x14ac:dyDescent="0.2"/>
    <row r="54" spans="1:5" ht="14.45" customHeight="1" x14ac:dyDescent="0.2"/>
    <row r="55" spans="1:5" ht="14.45" customHeight="1" x14ac:dyDescent="0.2"/>
    <row r="56" spans="1:5" ht="14.45" customHeight="1" x14ac:dyDescent="0.2"/>
    <row r="57" spans="1:5" ht="14.45" customHeight="1" x14ac:dyDescent="0.2"/>
    <row r="58" spans="1:5" ht="14.45" customHeight="1" x14ac:dyDescent="0.2"/>
    <row r="59" spans="1:5" ht="14.45" customHeight="1" x14ac:dyDescent="0.2"/>
  </sheetData>
  <mergeCells count="3">
    <mergeCell ref="B6:E6"/>
    <mergeCell ref="B7:C8"/>
    <mergeCell ref="D7:E8"/>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G59"/>
  <sheetViews>
    <sheetView showGridLines="0" showZeros="0" workbookViewId="0"/>
  </sheetViews>
  <sheetFormatPr defaultColWidth="15.83203125" defaultRowHeight="12" x14ac:dyDescent="0.2"/>
  <cols>
    <col min="1" max="1" width="31.83203125" style="1" customWidth="1"/>
    <col min="2" max="2" width="17.83203125" style="1" customWidth="1"/>
    <col min="3" max="3" width="11.5" style="1" customWidth="1"/>
    <col min="4" max="4" width="17.83203125" style="1" customWidth="1"/>
    <col min="5" max="5" width="12.1640625" style="1" customWidth="1"/>
    <col min="6" max="6" width="17.83203125" style="1" customWidth="1"/>
    <col min="7" max="7" width="12" style="1" customWidth="1"/>
    <col min="8" max="16384" width="15.83203125" style="1"/>
  </cols>
  <sheetData>
    <row r="1" spans="1:7" ht="6.95" customHeight="1" x14ac:dyDescent="0.2">
      <c r="A1" s="3"/>
      <c r="B1" s="4"/>
      <c r="C1" s="4"/>
      <c r="D1" s="4"/>
      <c r="E1" s="4"/>
      <c r="F1" s="4"/>
      <c r="G1" s="4"/>
    </row>
    <row r="2" spans="1:7" ht="15.95" customHeight="1" x14ac:dyDescent="0.2">
      <c r="A2" s="132"/>
      <c r="B2" s="5" t="str">
        <f>AEXP_BP</f>
        <v>ANALYSIS OF EXPENSE BY PROGRAM</v>
      </c>
      <c r="C2" s="6"/>
      <c r="D2" s="133"/>
      <c r="E2" s="6"/>
      <c r="F2" s="85"/>
      <c r="G2" s="503" t="s">
        <v>537</v>
      </c>
    </row>
    <row r="3" spans="1:7" ht="15.95" customHeight="1" x14ac:dyDescent="0.2">
      <c r="A3" s="135"/>
      <c r="B3" s="7" t="str">
        <f>OPYEAR</f>
        <v>OPERATING FUND 2017/2018 BUDGET</v>
      </c>
      <c r="C3" s="8"/>
      <c r="D3" s="144"/>
      <c r="E3" s="8"/>
      <c r="F3" s="87"/>
      <c r="G3" s="87"/>
    </row>
    <row r="4" spans="1:7" ht="15.95" customHeight="1" x14ac:dyDescent="0.2">
      <c r="B4" s="4"/>
      <c r="C4" s="4"/>
      <c r="D4" s="4"/>
      <c r="E4" s="4"/>
      <c r="F4" s="4"/>
      <c r="G4" s="4"/>
    </row>
    <row r="5" spans="1:7" ht="15.95" customHeight="1" x14ac:dyDescent="0.2">
      <c r="B5" s="4"/>
      <c r="C5" s="4"/>
      <c r="D5" s="4"/>
      <c r="E5" s="4"/>
      <c r="F5" s="4"/>
      <c r="G5" s="4"/>
    </row>
    <row r="6" spans="1:7" ht="15.95" customHeight="1" x14ac:dyDescent="0.2">
      <c r="B6" s="668" t="s">
        <v>9</v>
      </c>
      <c r="C6" s="669"/>
      <c r="D6" s="669"/>
      <c r="E6" s="669"/>
      <c r="F6" s="669"/>
      <c r="G6" s="670"/>
    </row>
    <row r="7" spans="1:7" ht="15.95" customHeight="1" x14ac:dyDescent="0.2">
      <c r="B7" s="277"/>
      <c r="C7" s="270"/>
      <c r="D7" s="695" t="s">
        <v>20</v>
      </c>
      <c r="E7" s="696"/>
      <c r="F7" s="696"/>
      <c r="G7" s="697"/>
    </row>
    <row r="8" spans="1:7" ht="15.95" customHeight="1" x14ac:dyDescent="0.2">
      <c r="A8" s="82"/>
      <c r="B8" s="614" t="s">
        <v>14</v>
      </c>
      <c r="C8" s="615"/>
      <c r="D8" s="698" t="s">
        <v>23</v>
      </c>
      <c r="E8" s="699"/>
      <c r="F8" s="698" t="s">
        <v>103</v>
      </c>
      <c r="G8" s="699"/>
    </row>
    <row r="9" spans="1:7" ht="15.95" customHeight="1" x14ac:dyDescent="0.2">
      <c r="A9" s="27" t="s">
        <v>37</v>
      </c>
      <c r="B9" s="151" t="s">
        <v>38</v>
      </c>
      <c r="C9" s="151" t="s">
        <v>39</v>
      </c>
      <c r="D9" s="151" t="s">
        <v>38</v>
      </c>
      <c r="E9" s="151" t="s">
        <v>39</v>
      </c>
      <c r="F9" s="151" t="s">
        <v>38</v>
      </c>
      <c r="G9" s="151" t="s">
        <v>39</v>
      </c>
    </row>
    <row r="10" spans="1:7" ht="5.0999999999999996" customHeight="1" x14ac:dyDescent="0.2">
      <c r="A10" s="29"/>
    </row>
    <row r="11" spans="1:7" ht="14.1" customHeight="1" x14ac:dyDescent="0.2">
      <c r="A11" s="271" t="s">
        <v>104</v>
      </c>
      <c r="B11" s="272">
        <v>84900</v>
      </c>
      <c r="C11" s="273">
        <f>B11/'- 3 -'!$D11*100</f>
        <v>0.42086761785061672</v>
      </c>
      <c r="D11" s="272">
        <v>1577825</v>
      </c>
      <c r="E11" s="273">
        <f>D11/'- 3 -'!$D11*100</f>
        <v>7.8216189532997555</v>
      </c>
      <c r="F11" s="272">
        <v>150800</v>
      </c>
      <c r="G11" s="273">
        <f>F11/'- 3 -'!$D11*100</f>
        <v>0.74754813630003525</v>
      </c>
    </row>
    <row r="12" spans="1:7" ht="14.1" customHeight="1" x14ac:dyDescent="0.2">
      <c r="A12" s="15" t="s">
        <v>105</v>
      </c>
      <c r="B12" s="16">
        <v>108003</v>
      </c>
      <c r="C12" s="267">
        <f>B12/'- 3 -'!$D12*100</f>
        <v>0.3083012516254946</v>
      </c>
      <c r="D12" s="16">
        <v>2503291</v>
      </c>
      <c r="E12" s="267">
        <f>D12/'- 3 -'!$D12*100</f>
        <v>7.1457991767157942</v>
      </c>
      <c r="F12" s="16">
        <v>370000</v>
      </c>
      <c r="G12" s="267">
        <f>F12/'- 3 -'!$D12*100</f>
        <v>1.0561879123860727</v>
      </c>
    </row>
    <row r="13" spans="1:7" ht="14.1" customHeight="1" x14ac:dyDescent="0.2">
      <c r="A13" s="271" t="s">
        <v>106</v>
      </c>
      <c r="B13" s="272">
        <v>385100</v>
      </c>
      <c r="C13" s="273">
        <f>B13/'- 3 -'!$D13*100</f>
        <v>0.37813475776202349</v>
      </c>
      <c r="D13" s="272">
        <v>6918000</v>
      </c>
      <c r="E13" s="273">
        <f>D13/'- 3 -'!$D13*100</f>
        <v>6.7928752381139406</v>
      </c>
      <c r="F13" s="272">
        <v>674500</v>
      </c>
      <c r="G13" s="273">
        <f>F13/'- 3 -'!$D13*100</f>
        <v>0.66230042615031126</v>
      </c>
    </row>
    <row r="14" spans="1:7" ht="14.1" customHeight="1" x14ac:dyDescent="0.2">
      <c r="A14" s="15" t="s">
        <v>315</v>
      </c>
      <c r="B14" s="16">
        <v>301607</v>
      </c>
      <c r="C14" s="267">
        <f>B14/'- 3 -'!$D14*100</f>
        <v>0.3340963757942248</v>
      </c>
      <c r="D14" s="16">
        <v>7874048</v>
      </c>
      <c r="E14" s="267">
        <f>D14/'- 3 -'!$D14*100</f>
        <v>8.7222474930282257</v>
      </c>
      <c r="F14" s="16">
        <v>1450000</v>
      </c>
      <c r="G14" s="267">
        <f>F14/'- 3 -'!$D14*100</f>
        <v>1.6061952968652118</v>
      </c>
    </row>
    <row r="15" spans="1:7" ht="14.1" customHeight="1" x14ac:dyDescent="0.2">
      <c r="A15" s="271" t="s">
        <v>107</v>
      </c>
      <c r="B15" s="272">
        <v>89550</v>
      </c>
      <c r="C15" s="273">
        <f>B15/'- 3 -'!$D15*100</f>
        <v>0.43231555646615655</v>
      </c>
      <c r="D15" s="272">
        <v>2100950</v>
      </c>
      <c r="E15" s="273">
        <f>D15/'- 3 -'!$D15*100</f>
        <v>10.142639512647367</v>
      </c>
      <c r="F15" s="272">
        <v>248000</v>
      </c>
      <c r="G15" s="273">
        <f>F15/'- 3 -'!$D15*100</f>
        <v>1.1972558124355872</v>
      </c>
    </row>
    <row r="16" spans="1:7" ht="14.1" customHeight="1" x14ac:dyDescent="0.2">
      <c r="A16" s="15" t="s">
        <v>108</v>
      </c>
      <c r="B16" s="16">
        <v>90797</v>
      </c>
      <c r="C16" s="267">
        <f>B16/'- 3 -'!$D16*100</f>
        <v>0.61387500713281418</v>
      </c>
      <c r="D16" s="16">
        <v>1995821</v>
      </c>
      <c r="E16" s="267">
        <f>D16/'- 3 -'!$D16*100</f>
        <v>13.493668630139988</v>
      </c>
      <c r="F16" s="16">
        <v>100000</v>
      </c>
      <c r="G16" s="267">
        <f>F16/'- 3 -'!$D16*100</f>
        <v>0.67609613437978588</v>
      </c>
    </row>
    <row r="17" spans="1:7" ht="14.1" customHeight="1" x14ac:dyDescent="0.2">
      <c r="A17" s="271" t="s">
        <v>109</v>
      </c>
      <c r="B17" s="272">
        <v>84945</v>
      </c>
      <c r="C17" s="273">
        <f>B17/'- 3 -'!$D17*100</f>
        <v>0.45424244637778743</v>
      </c>
      <c r="D17" s="272">
        <v>1639750</v>
      </c>
      <c r="E17" s="273">
        <f>D17/'- 3 -'!$D17*100</f>
        <v>8.7685449578901284</v>
      </c>
      <c r="F17" s="272">
        <v>97200</v>
      </c>
      <c r="G17" s="273">
        <f>F17/'- 3 -'!$D17*100</f>
        <v>0.51977592310225373</v>
      </c>
    </row>
    <row r="18" spans="1:7" ht="14.1" customHeight="1" x14ac:dyDescent="0.2">
      <c r="A18" s="15" t="s">
        <v>110</v>
      </c>
      <c r="B18" s="16">
        <v>962421</v>
      </c>
      <c r="C18" s="267">
        <f>B18/'- 3 -'!$D18*100</f>
        <v>0.73048226093960222</v>
      </c>
      <c r="D18" s="16">
        <v>16816385</v>
      </c>
      <c r="E18" s="267">
        <f>D18/'- 3 -'!$D18*100</f>
        <v>12.763718721464738</v>
      </c>
      <c r="F18" s="16">
        <v>2210457</v>
      </c>
      <c r="G18" s="267">
        <f>F18/'- 3 -'!$D18*100</f>
        <v>1.6777477081960706</v>
      </c>
    </row>
    <row r="19" spans="1:7" ht="14.1" customHeight="1" x14ac:dyDescent="0.2">
      <c r="A19" s="271" t="s">
        <v>111</v>
      </c>
      <c r="B19" s="272">
        <v>146550</v>
      </c>
      <c r="C19" s="273">
        <f>B19/'- 3 -'!$D19*100</f>
        <v>0.30072199750323791</v>
      </c>
      <c r="D19" s="272">
        <v>3925500</v>
      </c>
      <c r="E19" s="273">
        <f>D19/'- 3 -'!$D19*100</f>
        <v>8.055163433633302</v>
      </c>
      <c r="F19" s="272">
        <v>101000</v>
      </c>
      <c r="G19" s="273">
        <f>F19/'- 3 -'!$D19*100</f>
        <v>0.20725296313768016</v>
      </c>
    </row>
    <row r="20" spans="1:7" ht="14.1" customHeight="1" x14ac:dyDescent="0.2">
      <c r="A20" s="15" t="s">
        <v>112</v>
      </c>
      <c r="B20" s="16">
        <v>204100</v>
      </c>
      <c r="C20" s="267">
        <f>B20/'- 3 -'!$D20*100</f>
        <v>0.24040386907706587</v>
      </c>
      <c r="D20" s="16">
        <v>7390700</v>
      </c>
      <c r="E20" s="267">
        <f>D20/'- 3 -'!$D20*100</f>
        <v>8.705305610915584</v>
      </c>
      <c r="F20" s="16">
        <v>1263000</v>
      </c>
      <c r="G20" s="267">
        <f>F20/'- 3 -'!$D20*100</f>
        <v>1.487653535739021</v>
      </c>
    </row>
    <row r="21" spans="1:7" ht="14.1" customHeight="1" x14ac:dyDescent="0.2">
      <c r="A21" s="271" t="s">
        <v>113</v>
      </c>
      <c r="B21" s="272">
        <v>155000</v>
      </c>
      <c r="C21" s="273">
        <f>B21/'- 3 -'!$D21*100</f>
        <v>0.41734653763927254</v>
      </c>
      <c r="D21" s="272">
        <v>2886000</v>
      </c>
      <c r="E21" s="273">
        <f>D21/'- 3 -'!$D21*100</f>
        <v>7.7707232750125197</v>
      </c>
      <c r="F21" s="272">
        <v>300000</v>
      </c>
      <c r="G21" s="273">
        <f>F21/'- 3 -'!$D21*100</f>
        <v>0.80776749220504374</v>
      </c>
    </row>
    <row r="22" spans="1:7" ht="14.1" customHeight="1" x14ac:dyDescent="0.2">
      <c r="A22" s="15" t="s">
        <v>114</v>
      </c>
      <c r="B22" s="16">
        <v>95290</v>
      </c>
      <c r="C22" s="267">
        <f>B22/'- 3 -'!$D22*100</f>
        <v>0.44694304372480986</v>
      </c>
      <c r="D22" s="16">
        <v>2230720</v>
      </c>
      <c r="E22" s="267">
        <f>D22/'- 3 -'!$D22*100</f>
        <v>10.462848006063679</v>
      </c>
      <c r="F22" s="16">
        <v>123000</v>
      </c>
      <c r="G22" s="267">
        <f>F22/'- 3 -'!$D22*100</f>
        <v>0.5769125236452054</v>
      </c>
    </row>
    <row r="23" spans="1:7" ht="14.1" customHeight="1" x14ac:dyDescent="0.2">
      <c r="A23" s="271" t="s">
        <v>115</v>
      </c>
      <c r="B23" s="272">
        <v>91425</v>
      </c>
      <c r="C23" s="273">
        <f>B23/'- 3 -'!$D23*100</f>
        <v>0.54307630137387464</v>
      </c>
      <c r="D23" s="272">
        <v>1253200</v>
      </c>
      <c r="E23" s="273">
        <f>D23/'- 3 -'!$D23*100</f>
        <v>7.4441697662755226</v>
      </c>
      <c r="F23" s="272">
        <v>140382</v>
      </c>
      <c r="G23" s="273">
        <f>F23/'- 3 -'!$D23*100</f>
        <v>0.8338872008692072</v>
      </c>
    </row>
    <row r="24" spans="1:7" ht="14.1" customHeight="1" x14ac:dyDescent="0.2">
      <c r="A24" s="15" t="s">
        <v>116</v>
      </c>
      <c r="B24" s="16">
        <v>148935</v>
      </c>
      <c r="C24" s="267">
        <f>B24/'- 3 -'!$D24*100</f>
        <v>0.25494113527554763</v>
      </c>
      <c r="D24" s="16">
        <v>5531940</v>
      </c>
      <c r="E24" s="267">
        <f>D24/'- 3 -'!$D24*100</f>
        <v>9.4693595452795716</v>
      </c>
      <c r="F24" s="16">
        <v>290810</v>
      </c>
      <c r="G24" s="267">
        <f>F24/'- 3 -'!$D24*100</f>
        <v>0.49779723738195869</v>
      </c>
    </row>
    <row r="25" spans="1:7" ht="14.1" customHeight="1" x14ac:dyDescent="0.2">
      <c r="A25" s="271" t="s">
        <v>117</v>
      </c>
      <c r="B25" s="272">
        <v>670456</v>
      </c>
      <c r="C25" s="273">
        <f>B25/'- 3 -'!$D25*100</f>
        <v>0.36831751275126945</v>
      </c>
      <c r="D25" s="272">
        <v>16301573</v>
      </c>
      <c r="E25" s="273">
        <f>D25/'- 3 -'!$D25*100</f>
        <v>8.9553301354499784</v>
      </c>
      <c r="F25" s="272">
        <v>495760</v>
      </c>
      <c r="G25" s="273">
        <f>F25/'- 3 -'!$D25*100</f>
        <v>0.27234761135938723</v>
      </c>
    </row>
    <row r="26" spans="1:7" ht="14.1" customHeight="1" x14ac:dyDescent="0.2">
      <c r="A26" s="15" t="s">
        <v>118</v>
      </c>
      <c r="B26" s="16">
        <v>170641</v>
      </c>
      <c r="C26" s="267">
        <f>B26/'- 3 -'!$D26*100</f>
        <v>0.41448445628029534</v>
      </c>
      <c r="D26" s="16">
        <v>4360014</v>
      </c>
      <c r="E26" s="267">
        <f>D26/'- 3 -'!$D26*100</f>
        <v>10.590409292986303</v>
      </c>
      <c r="F26" s="16">
        <v>290000</v>
      </c>
      <c r="G26" s="267">
        <f>F26/'- 3 -'!$D26*100</f>
        <v>0.70440569570786415</v>
      </c>
    </row>
    <row r="27" spans="1:7" ht="14.1" customHeight="1" x14ac:dyDescent="0.2">
      <c r="A27" s="271" t="s">
        <v>119</v>
      </c>
      <c r="B27" s="272">
        <v>277073</v>
      </c>
      <c r="C27" s="273">
        <f>B27/'- 3 -'!$D27*100</f>
        <v>0.62906194296142992</v>
      </c>
      <c r="D27" s="272">
        <v>4282118</v>
      </c>
      <c r="E27" s="273">
        <f>D27/'- 3 -'!$D27*100</f>
        <v>9.7220496730829513</v>
      </c>
      <c r="F27" s="272">
        <v>406000</v>
      </c>
      <c r="G27" s="273">
        <f>F27/'- 3 -'!$D27*100</f>
        <v>0.92177566504979047</v>
      </c>
    </row>
    <row r="28" spans="1:7" ht="14.1" customHeight="1" x14ac:dyDescent="0.2">
      <c r="A28" s="15" t="s">
        <v>120</v>
      </c>
      <c r="B28" s="16">
        <v>70512</v>
      </c>
      <c r="C28" s="267">
        <f>B28/'- 3 -'!$D28*100</f>
        <v>0.24402009400546049</v>
      </c>
      <c r="D28" s="16">
        <v>2936157</v>
      </c>
      <c r="E28" s="267">
        <f>D28/'- 3 -'!$D28*100</f>
        <v>10.161125867296217</v>
      </c>
      <c r="F28" s="16">
        <v>289206</v>
      </c>
      <c r="G28" s="267">
        <f>F28/'- 3 -'!$D28*100</f>
        <v>1.000851986994316</v>
      </c>
    </row>
    <row r="29" spans="1:7" ht="14.1" customHeight="1" x14ac:dyDescent="0.2">
      <c r="A29" s="271" t="s">
        <v>121</v>
      </c>
      <c r="B29" s="272">
        <v>1037493</v>
      </c>
      <c r="C29" s="273">
        <f>B29/'- 3 -'!$D29*100</f>
        <v>0.63116499895323241</v>
      </c>
      <c r="D29" s="272">
        <v>14379464</v>
      </c>
      <c r="E29" s="273">
        <f>D29/'- 3 -'!$D29*100</f>
        <v>8.7478319183917801</v>
      </c>
      <c r="F29" s="272">
        <v>2545350</v>
      </c>
      <c r="G29" s="273">
        <f>F29/'- 3 -'!$D29*100</f>
        <v>1.5484787175292847</v>
      </c>
    </row>
    <row r="30" spans="1:7" ht="14.1" customHeight="1" x14ac:dyDescent="0.2">
      <c r="A30" s="15" t="s">
        <v>122</v>
      </c>
      <c r="B30" s="16">
        <v>115659</v>
      </c>
      <c r="C30" s="267">
        <f>B30/'- 3 -'!$D30*100</f>
        <v>0.76356882982890317</v>
      </c>
      <c r="D30" s="16">
        <v>1414032</v>
      </c>
      <c r="E30" s="267">
        <f>D30/'- 3 -'!$D30*100</f>
        <v>9.3352939207551842</v>
      </c>
      <c r="F30" s="16">
        <v>157250</v>
      </c>
      <c r="G30" s="267">
        <f>F30/'- 3 -'!$D30*100</f>
        <v>1.0381483368401512</v>
      </c>
    </row>
    <row r="31" spans="1:7" ht="14.1" customHeight="1" x14ac:dyDescent="0.2">
      <c r="A31" s="271" t="s">
        <v>123</v>
      </c>
      <c r="B31" s="272">
        <v>103813</v>
      </c>
      <c r="C31" s="273">
        <f>B31/'- 3 -'!$D31*100</f>
        <v>0.27114425261838221</v>
      </c>
      <c r="D31" s="272">
        <v>3499798</v>
      </c>
      <c r="E31" s="273">
        <f>D31/'- 3 -'!$D31*100</f>
        <v>9.1409564604173745</v>
      </c>
      <c r="F31" s="272">
        <v>367840</v>
      </c>
      <c r="G31" s="273">
        <f>F31/'- 3 -'!$D31*100</f>
        <v>0.9607438556167891</v>
      </c>
    </row>
    <row r="32" spans="1:7" ht="14.1" customHeight="1" x14ac:dyDescent="0.2">
      <c r="A32" s="15" t="s">
        <v>124</v>
      </c>
      <c r="B32" s="16">
        <v>132221</v>
      </c>
      <c r="C32" s="267">
        <f>B32/'- 3 -'!$D32*100</f>
        <v>0.42225272263443342</v>
      </c>
      <c r="D32" s="16">
        <v>2476266</v>
      </c>
      <c r="E32" s="267">
        <f>D32/'- 3 -'!$D32*100</f>
        <v>7.9080483468365683</v>
      </c>
      <c r="F32" s="16">
        <v>540500</v>
      </c>
      <c r="G32" s="267">
        <f>F32/'- 3 -'!$D32*100</f>
        <v>1.7261070222121391</v>
      </c>
    </row>
    <row r="33" spans="1:7" ht="14.1" customHeight="1" x14ac:dyDescent="0.2">
      <c r="A33" s="271" t="s">
        <v>125</v>
      </c>
      <c r="B33" s="272">
        <v>113400</v>
      </c>
      <c r="C33" s="273">
        <f>B33/'- 3 -'!$D33*100</f>
        <v>0.39965321097037493</v>
      </c>
      <c r="D33" s="272">
        <v>2757100</v>
      </c>
      <c r="E33" s="273">
        <f>D33/'- 3 -'!$D33*100</f>
        <v>9.716788959139512</v>
      </c>
      <c r="F33" s="272">
        <v>441400</v>
      </c>
      <c r="G33" s="273">
        <f>F33/'- 3 -'!$D33*100</f>
        <v>1.555616643053999</v>
      </c>
    </row>
    <row r="34" spans="1:7" ht="14.1" customHeight="1" x14ac:dyDescent="0.2">
      <c r="A34" s="15" t="s">
        <v>126</v>
      </c>
      <c r="B34" s="16">
        <v>111881</v>
      </c>
      <c r="C34" s="267">
        <f>B34/'- 3 -'!$D34*100</f>
        <v>0.36390069698004801</v>
      </c>
      <c r="D34" s="16">
        <v>2285274</v>
      </c>
      <c r="E34" s="267">
        <f>D34/'- 3 -'!$D34*100</f>
        <v>7.4330118732437347</v>
      </c>
      <c r="F34" s="16">
        <v>297052</v>
      </c>
      <c r="G34" s="267">
        <f>F34/'- 3 -'!$D34*100</f>
        <v>0.96618219214448586</v>
      </c>
    </row>
    <row r="35" spans="1:7" ht="14.1" customHeight="1" x14ac:dyDescent="0.2">
      <c r="A35" s="271" t="s">
        <v>127</v>
      </c>
      <c r="B35" s="272">
        <v>868991</v>
      </c>
      <c r="C35" s="273">
        <f>B35/'- 3 -'!$D35*100</f>
        <v>0.46917311981203685</v>
      </c>
      <c r="D35" s="272">
        <v>19164125</v>
      </c>
      <c r="E35" s="273">
        <f>D35/'- 3 -'!$D35*100</f>
        <v>10.346818683643273</v>
      </c>
      <c r="F35" s="272">
        <v>664000</v>
      </c>
      <c r="G35" s="273">
        <f>F35/'- 3 -'!$D35*100</f>
        <v>0.35849732799901546</v>
      </c>
    </row>
    <row r="36" spans="1:7" ht="14.1" customHeight="1" x14ac:dyDescent="0.2">
      <c r="A36" s="15" t="s">
        <v>128</v>
      </c>
      <c r="B36" s="16">
        <v>61470</v>
      </c>
      <c r="C36" s="267">
        <f>B36/'- 3 -'!$D36*100</f>
        <v>0.25640004246221626</v>
      </c>
      <c r="D36" s="16">
        <v>2404325</v>
      </c>
      <c r="E36" s="267">
        <f>D36/'- 3 -'!$D36*100</f>
        <v>10.028778787912284</v>
      </c>
      <c r="F36" s="16">
        <v>110000</v>
      </c>
      <c r="G36" s="267">
        <f>F36/'- 3 -'!$D36*100</f>
        <v>0.45882551929142323</v>
      </c>
    </row>
    <row r="37" spans="1:7" ht="14.1" customHeight="1" x14ac:dyDescent="0.2">
      <c r="A37" s="271" t="s">
        <v>129</v>
      </c>
      <c r="B37" s="272">
        <v>124100</v>
      </c>
      <c r="C37" s="273">
        <f>B37/'- 3 -'!$D37*100</f>
        <v>0.23805413285760874</v>
      </c>
      <c r="D37" s="272">
        <v>4142700</v>
      </c>
      <c r="E37" s="273">
        <f>D37/'- 3 -'!$D37*100</f>
        <v>7.9467111699372737</v>
      </c>
      <c r="F37" s="272">
        <v>520000</v>
      </c>
      <c r="G37" s="273">
        <f>F37/'- 3 -'!$D37*100</f>
        <v>0.99748709980625738</v>
      </c>
    </row>
    <row r="38" spans="1:7" ht="14.1" customHeight="1" x14ac:dyDescent="0.2">
      <c r="A38" s="15" t="s">
        <v>130</v>
      </c>
      <c r="B38" s="16">
        <v>652620</v>
      </c>
      <c r="C38" s="267">
        <f>B38/'- 3 -'!$D38*100</f>
        <v>0.46214879432148004</v>
      </c>
      <c r="D38" s="16">
        <v>11309310</v>
      </c>
      <c r="E38" s="267">
        <f>D38/'- 3 -'!$D38*100</f>
        <v>8.0086175432990974</v>
      </c>
      <c r="F38" s="16">
        <v>832780</v>
      </c>
      <c r="G38" s="267">
        <f>F38/'- 3 -'!$D38*100</f>
        <v>0.58972797789684983</v>
      </c>
    </row>
    <row r="39" spans="1:7" ht="14.1" customHeight="1" x14ac:dyDescent="0.2">
      <c r="A39" s="271" t="s">
        <v>131</v>
      </c>
      <c r="B39" s="272">
        <v>84200</v>
      </c>
      <c r="C39" s="273">
        <f>B39/'- 3 -'!$D39*100</f>
        <v>0.36183072596049509</v>
      </c>
      <c r="D39" s="272">
        <v>2049800</v>
      </c>
      <c r="E39" s="273">
        <f>D39/'- 3 -'!$D39*100</f>
        <v>8.8085584569337634</v>
      </c>
      <c r="F39" s="272">
        <v>160000</v>
      </c>
      <c r="G39" s="273">
        <f>F39/'- 3 -'!$D39*100</f>
        <v>0.68756432486554897</v>
      </c>
    </row>
    <row r="40" spans="1:7" ht="14.1" customHeight="1" x14ac:dyDescent="0.2">
      <c r="A40" s="15" t="s">
        <v>132</v>
      </c>
      <c r="B40" s="16">
        <v>519485</v>
      </c>
      <c r="C40" s="267">
        <f>B40/'- 3 -'!$D40*100</f>
        <v>0.48189304407611022</v>
      </c>
      <c r="D40" s="16">
        <v>8486953</v>
      </c>
      <c r="E40" s="267">
        <f>D40/'- 3 -'!$D40*100</f>
        <v>7.8728040580591854</v>
      </c>
      <c r="F40" s="16">
        <v>1199157</v>
      </c>
      <c r="G40" s="267">
        <f>F40/'- 3 -'!$D40*100</f>
        <v>1.1123813335422121</v>
      </c>
    </row>
    <row r="41" spans="1:7" ht="14.1" customHeight="1" x14ac:dyDescent="0.2">
      <c r="A41" s="271" t="s">
        <v>133</v>
      </c>
      <c r="B41" s="272">
        <v>189644</v>
      </c>
      <c r="C41" s="273">
        <f>B41/'- 3 -'!$D41*100</f>
        <v>0.29363431299435266</v>
      </c>
      <c r="D41" s="272">
        <v>5171002</v>
      </c>
      <c r="E41" s="273">
        <f>D41/'- 3 -'!$D41*100</f>
        <v>8.0064943776888455</v>
      </c>
      <c r="F41" s="272">
        <v>525000</v>
      </c>
      <c r="G41" s="273">
        <f>F41/'- 3 -'!$D41*100</f>
        <v>0.8128810525090967</v>
      </c>
    </row>
    <row r="42" spans="1:7" ht="14.1" customHeight="1" x14ac:dyDescent="0.2">
      <c r="A42" s="15" t="s">
        <v>134</v>
      </c>
      <c r="B42" s="16">
        <v>68810</v>
      </c>
      <c r="C42" s="267">
        <f>B42/'- 3 -'!$D42*100</f>
        <v>0.32074893688112144</v>
      </c>
      <c r="D42" s="16">
        <v>2082785</v>
      </c>
      <c r="E42" s="267">
        <f>D42/'- 3 -'!$D42*100</f>
        <v>9.7086335489310649</v>
      </c>
      <c r="F42" s="16">
        <v>154300</v>
      </c>
      <c r="G42" s="267">
        <f>F42/'- 3 -'!$D42*100</f>
        <v>0.71924954164739185</v>
      </c>
    </row>
    <row r="43" spans="1:7" ht="14.1" customHeight="1" x14ac:dyDescent="0.2">
      <c r="A43" s="271" t="s">
        <v>135</v>
      </c>
      <c r="B43" s="272">
        <v>15844</v>
      </c>
      <c r="C43" s="273">
        <f>B43/'- 3 -'!$D43*100</f>
        <v>0.11591017064195243</v>
      </c>
      <c r="D43" s="272">
        <v>799282</v>
      </c>
      <c r="E43" s="273">
        <f>D43/'- 3 -'!$D43*100</f>
        <v>5.8473184177632556</v>
      </c>
      <c r="F43" s="272">
        <v>128783</v>
      </c>
      <c r="G43" s="273">
        <f>F43/'- 3 -'!$D43*100</f>
        <v>0.94213958001657161</v>
      </c>
    </row>
    <row r="44" spans="1:7" ht="14.1" customHeight="1" x14ac:dyDescent="0.2">
      <c r="A44" s="15" t="s">
        <v>136</v>
      </c>
      <c r="B44" s="16">
        <v>32537</v>
      </c>
      <c r="C44" s="267">
        <f>B44/'- 3 -'!$D44*100</f>
        <v>0.28844796784120313</v>
      </c>
      <c r="D44" s="16">
        <v>1082009</v>
      </c>
      <c r="E44" s="267">
        <f>D44/'- 3 -'!$D44*100</f>
        <v>9.5922579597348374</v>
      </c>
      <c r="F44" s="16">
        <v>57000</v>
      </c>
      <c r="G44" s="267">
        <f>F44/'- 3 -'!$D44*100</f>
        <v>0.50531807379133231</v>
      </c>
    </row>
    <row r="45" spans="1:7" ht="14.1" customHeight="1" x14ac:dyDescent="0.2">
      <c r="A45" s="271" t="s">
        <v>137</v>
      </c>
      <c r="B45" s="272">
        <v>51663</v>
      </c>
      <c r="C45" s="273">
        <f>B45/'- 3 -'!$D45*100</f>
        <v>0.25542124333680222</v>
      </c>
      <c r="D45" s="272">
        <v>1576179</v>
      </c>
      <c r="E45" s="273">
        <f>D45/'- 3 -'!$D45*100</f>
        <v>7.79260979620536</v>
      </c>
      <c r="F45" s="272">
        <v>138820</v>
      </c>
      <c r="G45" s="273">
        <f>F45/'- 3 -'!$D45*100</f>
        <v>0.68632439076350349</v>
      </c>
    </row>
    <row r="46" spans="1:7" ht="14.1" customHeight="1" x14ac:dyDescent="0.2">
      <c r="A46" s="15" t="s">
        <v>138</v>
      </c>
      <c r="B46" s="16">
        <v>1099900</v>
      </c>
      <c r="C46" s="267">
        <f>B46/'- 3 -'!$D46*100</f>
        <v>0.27329172792477929</v>
      </c>
      <c r="D46" s="16">
        <v>40683100</v>
      </c>
      <c r="E46" s="267">
        <f>D46/'- 3 -'!$D46*100</f>
        <v>10.108514134318201</v>
      </c>
      <c r="F46" s="16">
        <v>5835100</v>
      </c>
      <c r="G46" s="267">
        <f>F46/'- 3 -'!$D46*100</f>
        <v>1.4498450419255202</v>
      </c>
    </row>
    <row r="47" spans="1:7" ht="5.0999999999999996" customHeight="1" x14ac:dyDescent="0.2">
      <c r="A47"/>
      <c r="B47" s="508"/>
      <c r="C47"/>
      <c r="D47"/>
      <c r="E47"/>
      <c r="F47" s="508"/>
      <c r="G47"/>
    </row>
    <row r="48" spans="1:7" ht="14.1" customHeight="1" x14ac:dyDescent="0.2">
      <c r="A48" s="274" t="s">
        <v>139</v>
      </c>
      <c r="B48" s="275">
        <f>SUM(B11:B46)</f>
        <v>9521036</v>
      </c>
      <c r="C48" s="276">
        <f>B48/'- 3 -'!$D48*100</f>
        <v>0.40134248803341993</v>
      </c>
      <c r="D48" s="275">
        <f>SUM(D11:D46)</f>
        <v>218287496</v>
      </c>
      <c r="E48" s="276">
        <f>D48/'- 3 -'!$D48*100</f>
        <v>9.2015245768659213</v>
      </c>
      <c r="F48" s="275">
        <f>SUM(F11:F46)</f>
        <v>23674447</v>
      </c>
      <c r="G48" s="276">
        <f>F48/'- 3 -'!$D48*100</f>
        <v>0.9979545778206631</v>
      </c>
    </row>
    <row r="49" spans="1:7" ht="5.0999999999999996" customHeight="1" x14ac:dyDescent="0.2">
      <c r="A49" s="17" t="s">
        <v>1</v>
      </c>
      <c r="B49" s="18"/>
      <c r="C49" s="266"/>
      <c r="D49" s="18"/>
      <c r="E49" s="266"/>
      <c r="F49" s="18"/>
      <c r="G49" s="266"/>
    </row>
    <row r="50" spans="1:7" ht="14.1" customHeight="1" x14ac:dyDescent="0.2">
      <c r="A50" s="15" t="s">
        <v>140</v>
      </c>
      <c r="B50" s="16">
        <v>14794</v>
      </c>
      <c r="C50" s="267">
        <f>B50/'- 3 -'!$D50*100</f>
        <v>0.41558981504371079</v>
      </c>
      <c r="D50" s="16">
        <v>421818</v>
      </c>
      <c r="E50" s="267">
        <f>D50/'- 3 -'!$D50*100</f>
        <v>11.849619075443288</v>
      </c>
      <c r="F50" s="16">
        <v>40000</v>
      </c>
      <c r="G50" s="267">
        <f>F50/'- 3 -'!$D50*100</f>
        <v>1.1236712587365441</v>
      </c>
    </row>
    <row r="51" spans="1:7" ht="14.1" customHeight="1" x14ac:dyDescent="0.2">
      <c r="A51" s="360" t="s">
        <v>516</v>
      </c>
      <c r="B51" s="272">
        <v>343238</v>
      </c>
      <c r="C51" s="273">
        <f>B51/'- 3 -'!$D51*100</f>
        <v>1.1213969595537752</v>
      </c>
      <c r="D51" s="272">
        <v>3346787</v>
      </c>
      <c r="E51" s="273">
        <f>D51/'- 3 -'!$D51*100</f>
        <v>10.934327685378953</v>
      </c>
      <c r="F51" s="272">
        <v>0</v>
      </c>
      <c r="G51" s="273">
        <f>F51/'- 3 -'!$D51*100</f>
        <v>0</v>
      </c>
    </row>
    <row r="52" spans="1:7" ht="50.1" customHeight="1" x14ac:dyDescent="0.2"/>
    <row r="53" spans="1:7" ht="15" customHeight="1" x14ac:dyDescent="0.2"/>
    <row r="54" spans="1:7" ht="14.45" customHeight="1" x14ac:dyDescent="0.2"/>
    <row r="55" spans="1:7" ht="14.45" customHeight="1" x14ac:dyDescent="0.2"/>
    <row r="56" spans="1:7" ht="14.45" customHeight="1" x14ac:dyDescent="0.2"/>
    <row r="57" spans="1:7" ht="14.45" customHeight="1" x14ac:dyDescent="0.2"/>
    <row r="58" spans="1:7" ht="14.45" customHeight="1" x14ac:dyDescent="0.2"/>
    <row r="59" spans="1:7" ht="14.45" customHeight="1" x14ac:dyDescent="0.2"/>
  </sheetData>
  <mergeCells count="5">
    <mergeCell ref="B6:G6"/>
    <mergeCell ref="B8:C8"/>
    <mergeCell ref="D7:G7"/>
    <mergeCell ref="D8:E8"/>
    <mergeCell ref="F8:G8"/>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F59"/>
  <sheetViews>
    <sheetView showGridLines="0" showZeros="0" workbookViewId="0"/>
  </sheetViews>
  <sheetFormatPr defaultColWidth="15.83203125" defaultRowHeight="12" x14ac:dyDescent="0.2"/>
  <cols>
    <col min="1" max="1" width="35.83203125" style="1" customWidth="1"/>
    <col min="2" max="2" width="19.83203125" style="1" customWidth="1"/>
    <col min="3" max="3" width="10.1640625" style="1" customWidth="1"/>
    <col min="4" max="4" width="19.83203125" style="1" customWidth="1"/>
    <col min="5" max="5" width="11.1640625" style="1" customWidth="1"/>
    <col min="6" max="6" width="25.83203125" style="1" customWidth="1"/>
    <col min="7" max="16384" width="15.83203125" style="1"/>
  </cols>
  <sheetData>
    <row r="1" spans="1:6" ht="6.95" customHeight="1" x14ac:dyDescent="0.2">
      <c r="A1" s="3"/>
      <c r="B1" s="3"/>
      <c r="C1" s="3"/>
      <c r="D1" s="4"/>
      <c r="E1" s="4"/>
      <c r="F1" s="4"/>
    </row>
    <row r="2" spans="1:6" ht="15.95" customHeight="1" x14ac:dyDescent="0.2">
      <c r="A2" s="132"/>
      <c r="B2" s="5" t="str">
        <f>AEXP_BP</f>
        <v>ANALYSIS OF EXPENSE BY PROGRAM</v>
      </c>
      <c r="C2" s="152"/>
      <c r="D2" s="133"/>
      <c r="E2" s="6"/>
      <c r="F2" s="503" t="s">
        <v>538</v>
      </c>
    </row>
    <row r="3" spans="1:6" ht="15.95" customHeight="1" x14ac:dyDescent="0.2">
      <c r="A3" s="135"/>
      <c r="B3" s="7" t="str">
        <f>OPYEAR</f>
        <v>OPERATING FUND 2017/2018 BUDGET</v>
      </c>
      <c r="C3" s="153"/>
      <c r="D3" s="144"/>
      <c r="E3" s="8"/>
      <c r="F3" s="81"/>
    </row>
    <row r="4" spans="1:6" ht="15.95" customHeight="1" x14ac:dyDescent="0.2">
      <c r="D4" s="4"/>
      <c r="E4" s="4"/>
      <c r="F4" s="4"/>
    </row>
    <row r="5" spans="1:6" ht="15.95" customHeight="1" x14ac:dyDescent="0.2">
      <c r="D5" s="4"/>
      <c r="E5" s="4"/>
      <c r="F5" s="4"/>
    </row>
    <row r="6" spans="1:6" ht="15.95" customHeight="1" x14ac:dyDescent="0.2">
      <c r="B6" s="668" t="s">
        <v>232</v>
      </c>
      <c r="C6" s="669"/>
      <c r="D6" s="669"/>
      <c r="E6" s="670"/>
      <c r="F6" s="55"/>
    </row>
    <row r="7" spans="1:6" ht="15.95" customHeight="1" x14ac:dyDescent="0.2">
      <c r="B7" s="314"/>
      <c r="C7" s="270"/>
      <c r="D7" s="314"/>
      <c r="E7" s="270"/>
      <c r="F7" s="4"/>
    </row>
    <row r="8" spans="1:6" ht="15.95" customHeight="1" x14ac:dyDescent="0.2">
      <c r="A8" s="82"/>
      <c r="B8" s="614" t="s">
        <v>30</v>
      </c>
      <c r="C8" s="615"/>
      <c r="D8" s="627" t="s">
        <v>31</v>
      </c>
      <c r="E8" s="615"/>
      <c r="F8" s="4"/>
    </row>
    <row r="9" spans="1:6" ht="15.95" customHeight="1" x14ac:dyDescent="0.2">
      <c r="A9" s="27" t="s">
        <v>37</v>
      </c>
      <c r="B9" s="151" t="s">
        <v>38</v>
      </c>
      <c r="C9" s="151" t="s">
        <v>39</v>
      </c>
      <c r="D9" s="154" t="s">
        <v>38</v>
      </c>
      <c r="E9" s="151" t="s">
        <v>39</v>
      </c>
    </row>
    <row r="10" spans="1:6" ht="5.0999999999999996" customHeight="1" x14ac:dyDescent="0.2">
      <c r="A10" s="29"/>
    </row>
    <row r="11" spans="1:6" ht="14.1" customHeight="1" x14ac:dyDescent="0.2">
      <c r="A11" s="271" t="s">
        <v>104</v>
      </c>
      <c r="B11" s="272">
        <v>62950</v>
      </c>
      <c r="C11" s="273">
        <f>B11/'- 3 -'!$D11*100</f>
        <v>0.31205673196344313</v>
      </c>
      <c r="D11" s="272">
        <v>33400</v>
      </c>
      <c r="E11" s="273">
        <f>D11/'- 3 -'!$D11*100</f>
        <v>0.1655710063157903</v>
      </c>
    </row>
    <row r="12" spans="1:6" ht="14.1" customHeight="1" x14ac:dyDescent="0.2">
      <c r="A12" s="15" t="s">
        <v>105</v>
      </c>
      <c r="B12" s="16">
        <v>318087</v>
      </c>
      <c r="C12" s="267">
        <f>B12/'- 3 -'!$D12*100</f>
        <v>0.9079990391544559</v>
      </c>
      <c r="D12" s="16">
        <v>137832</v>
      </c>
      <c r="E12" s="267">
        <f>D12/'- 3 -'!$D12*100</f>
        <v>0.39344997929728964</v>
      </c>
    </row>
    <row r="13" spans="1:6" ht="14.1" customHeight="1" x14ac:dyDescent="0.2">
      <c r="A13" s="271" t="s">
        <v>106</v>
      </c>
      <c r="B13" s="272">
        <v>322100</v>
      </c>
      <c r="C13" s="273">
        <f>B13/'- 3 -'!$D13*100</f>
        <v>0.31627422870721311</v>
      </c>
      <c r="D13" s="272">
        <v>165800</v>
      </c>
      <c r="E13" s="273">
        <f>D13/'- 3 -'!$D13*100</f>
        <v>0.16280120186170735</v>
      </c>
    </row>
    <row r="14" spans="1:6" ht="14.1" customHeight="1" x14ac:dyDescent="0.2">
      <c r="A14" s="15" t="s">
        <v>315</v>
      </c>
      <c r="B14" s="16">
        <v>122376</v>
      </c>
      <c r="C14" s="267">
        <f>B14/'- 3 -'!$D14*100</f>
        <v>0.13555845217184634</v>
      </c>
      <c r="D14" s="16">
        <v>550000</v>
      </c>
      <c r="E14" s="267">
        <f>D14/'- 3 -'!$D14*100</f>
        <v>0.60924649191439073</v>
      </c>
    </row>
    <row r="15" spans="1:6" ht="14.1" customHeight="1" x14ac:dyDescent="0.2">
      <c r="A15" s="271" t="s">
        <v>107</v>
      </c>
      <c r="B15" s="272">
        <v>130750</v>
      </c>
      <c r="C15" s="273">
        <f>B15/'- 3 -'!$D15*100</f>
        <v>0.63121450595142348</v>
      </c>
      <c r="D15" s="272">
        <v>110000</v>
      </c>
      <c r="E15" s="273">
        <f>D15/'- 3 -'!$D15*100</f>
        <v>0.53104088454804266</v>
      </c>
    </row>
    <row r="16" spans="1:6" ht="14.1" customHeight="1" x14ac:dyDescent="0.2">
      <c r="A16" s="15" t="s">
        <v>108</v>
      </c>
      <c r="B16" s="16">
        <v>7917</v>
      </c>
      <c r="C16" s="267">
        <f>B16/'- 3 -'!$D16*100</f>
        <v>5.3526530958847657E-2</v>
      </c>
      <c r="D16" s="16">
        <v>49500</v>
      </c>
      <c r="E16" s="267">
        <f>D16/'- 3 -'!$D16*100</f>
        <v>0.334667586517994</v>
      </c>
    </row>
    <row r="17" spans="1:5" ht="14.1" customHeight="1" x14ac:dyDescent="0.2">
      <c r="A17" s="271" t="s">
        <v>109</v>
      </c>
      <c r="B17" s="272">
        <v>105880</v>
      </c>
      <c r="C17" s="273">
        <f>B17/'- 3 -'!$D17*100</f>
        <v>0.56619212693484178</v>
      </c>
      <c r="D17" s="272">
        <v>57000</v>
      </c>
      <c r="E17" s="273">
        <f>D17/'- 3 -'!$D17*100</f>
        <v>0.30480686848588956</v>
      </c>
    </row>
    <row r="18" spans="1:5" ht="14.1" customHeight="1" x14ac:dyDescent="0.2">
      <c r="A18" s="15" t="s">
        <v>110</v>
      </c>
      <c r="B18" s="16">
        <v>3128605</v>
      </c>
      <c r="C18" s="267">
        <f>B18/'- 3 -'!$D18*100</f>
        <v>2.3746265449184341</v>
      </c>
      <c r="D18" s="16">
        <v>61050</v>
      </c>
      <c r="E18" s="267">
        <f>D18/'- 3 -'!$D18*100</f>
        <v>4.633724953046818E-2</v>
      </c>
    </row>
    <row r="19" spans="1:5" ht="14.1" customHeight="1" x14ac:dyDescent="0.2">
      <c r="A19" s="271" t="s">
        <v>111</v>
      </c>
      <c r="B19" s="272">
        <v>114200</v>
      </c>
      <c r="C19" s="273">
        <f>B19/'- 3 -'!$D19*100</f>
        <v>0.23433948901309976</v>
      </c>
      <c r="D19" s="272">
        <v>42700</v>
      </c>
      <c r="E19" s="273">
        <f>D19/'- 3 -'!$D19*100</f>
        <v>8.7620807187910335E-2</v>
      </c>
    </row>
    <row r="20" spans="1:5" ht="14.1" customHeight="1" x14ac:dyDescent="0.2">
      <c r="A20" s="15" t="s">
        <v>112</v>
      </c>
      <c r="B20" s="16">
        <v>185200</v>
      </c>
      <c r="C20" s="267">
        <f>B20/'- 3 -'!$D20*100</f>
        <v>0.21814207032372659</v>
      </c>
      <c r="D20" s="16">
        <v>636800</v>
      </c>
      <c r="E20" s="267">
        <f>D20/'- 3 -'!$D20*100</f>
        <v>0.75006949450404481</v>
      </c>
    </row>
    <row r="21" spans="1:5" ht="14.1" customHeight="1" x14ac:dyDescent="0.2">
      <c r="A21" s="271" t="s">
        <v>113</v>
      </c>
      <c r="B21" s="272">
        <v>167000</v>
      </c>
      <c r="C21" s="273">
        <f>B21/'- 3 -'!$D21*100</f>
        <v>0.44965723732747437</v>
      </c>
      <c r="D21" s="272">
        <v>115000</v>
      </c>
      <c r="E21" s="273">
        <f>D21/'- 3 -'!$D21*100</f>
        <v>0.30964420534526677</v>
      </c>
    </row>
    <row r="22" spans="1:5" ht="14.1" customHeight="1" x14ac:dyDescent="0.2">
      <c r="A22" s="15" t="s">
        <v>114</v>
      </c>
      <c r="B22" s="16">
        <v>72420</v>
      </c>
      <c r="C22" s="267">
        <f>B22/'- 3 -'!$D22*100</f>
        <v>0.33967483709256729</v>
      </c>
      <c r="D22" s="16">
        <v>17500</v>
      </c>
      <c r="E22" s="267">
        <f>D22/'- 3 -'!$D22*100</f>
        <v>8.2081050112122717E-2</v>
      </c>
    </row>
    <row r="23" spans="1:5" ht="14.1" customHeight="1" x14ac:dyDescent="0.2">
      <c r="A23" s="271" t="s">
        <v>115</v>
      </c>
      <c r="B23" s="272">
        <v>53500</v>
      </c>
      <c r="C23" s="273">
        <f>B23/'- 3 -'!$D23*100</f>
        <v>0.31779690591744369</v>
      </c>
      <c r="D23" s="272">
        <v>12700</v>
      </c>
      <c r="E23" s="273">
        <f>D23/'- 3 -'!$D23*100</f>
        <v>7.5439639348626825E-2</v>
      </c>
    </row>
    <row r="24" spans="1:5" ht="14.1" customHeight="1" x14ac:dyDescent="0.2">
      <c r="A24" s="15" t="s">
        <v>116</v>
      </c>
      <c r="B24" s="16">
        <v>208200</v>
      </c>
      <c r="C24" s="267">
        <f>B24/'- 3 -'!$D24*100</f>
        <v>0.35638865521448299</v>
      </c>
      <c r="D24" s="16">
        <v>392245</v>
      </c>
      <c r="E24" s="267">
        <f>D24/'- 3 -'!$D24*100</f>
        <v>0.67142972173201187</v>
      </c>
    </row>
    <row r="25" spans="1:5" ht="14.1" customHeight="1" x14ac:dyDescent="0.2">
      <c r="A25" s="271" t="s">
        <v>117</v>
      </c>
      <c r="B25" s="272">
        <v>222000</v>
      </c>
      <c r="C25" s="273">
        <f>B25/'- 3 -'!$D25*100</f>
        <v>0.12195653082496365</v>
      </c>
      <c r="D25" s="272">
        <v>398500</v>
      </c>
      <c r="E25" s="273">
        <f>D25/'- 3 -'!$D25*100</f>
        <v>0.21891746636823428</v>
      </c>
    </row>
    <row r="26" spans="1:5" ht="14.1" customHeight="1" x14ac:dyDescent="0.2">
      <c r="A26" s="15" t="s">
        <v>118</v>
      </c>
      <c r="B26" s="16">
        <v>248336</v>
      </c>
      <c r="C26" s="267">
        <f>B26/'- 3 -'!$D26*100</f>
        <v>0.6032044581010626</v>
      </c>
      <c r="D26" s="16">
        <v>99750</v>
      </c>
      <c r="E26" s="267">
        <f>D26/'- 3 -'!$D26*100</f>
        <v>0.24229126947192914</v>
      </c>
    </row>
    <row r="27" spans="1:5" ht="14.1" customHeight="1" x14ac:dyDescent="0.2">
      <c r="A27" s="271" t="s">
        <v>119</v>
      </c>
      <c r="B27" s="272">
        <v>181096</v>
      </c>
      <c r="C27" s="273">
        <f>B27/'- 3 -'!$D27*100</f>
        <v>0.41115735428043554</v>
      </c>
      <c r="D27" s="272">
        <v>169500</v>
      </c>
      <c r="E27" s="273">
        <f>D27/'- 3 -'!$D27*100</f>
        <v>0.38482998824123027</v>
      </c>
    </row>
    <row r="28" spans="1:5" ht="14.1" customHeight="1" x14ac:dyDescent="0.2">
      <c r="A28" s="15" t="s">
        <v>120</v>
      </c>
      <c r="B28" s="16">
        <v>72950</v>
      </c>
      <c r="C28" s="267">
        <f>B28/'- 3 -'!$D28*100</f>
        <v>0.25245725348448977</v>
      </c>
      <c r="D28" s="16">
        <v>84000</v>
      </c>
      <c r="E28" s="267">
        <f>D28/'- 3 -'!$D28*100</f>
        <v>0.29069786556130417</v>
      </c>
    </row>
    <row r="29" spans="1:5" ht="14.1" customHeight="1" x14ac:dyDescent="0.2">
      <c r="A29" s="271" t="s">
        <v>121</v>
      </c>
      <c r="B29" s="272">
        <v>490752</v>
      </c>
      <c r="C29" s="273">
        <f>B29/'- 3 -'!$D29*100</f>
        <v>0.29855187993200599</v>
      </c>
      <c r="D29" s="272">
        <v>885313</v>
      </c>
      <c r="E29" s="273">
        <f>D29/'- 3 -'!$D29*100</f>
        <v>0.53858539644921266</v>
      </c>
    </row>
    <row r="30" spans="1:5" ht="14.1" customHeight="1" x14ac:dyDescent="0.2">
      <c r="A30" s="15" t="s">
        <v>122</v>
      </c>
      <c r="B30" s="16">
        <v>62069</v>
      </c>
      <c r="C30" s="267">
        <f>B30/'- 3 -'!$D30*100</f>
        <v>0.40977315815155063</v>
      </c>
      <c r="D30" s="16">
        <v>55000</v>
      </c>
      <c r="E30" s="267">
        <f>D30/'- 3 -'!$D30*100</f>
        <v>0.36310434674854247</v>
      </c>
    </row>
    <row r="31" spans="1:5" ht="14.1" customHeight="1" x14ac:dyDescent="0.2">
      <c r="A31" s="271" t="s">
        <v>123</v>
      </c>
      <c r="B31" s="272">
        <v>89986</v>
      </c>
      <c r="C31" s="273">
        <f>B31/'- 3 -'!$D31*100</f>
        <v>0.23503016689738029</v>
      </c>
      <c r="D31" s="272">
        <v>111500</v>
      </c>
      <c r="E31" s="273">
        <f>D31/'- 3 -'!$D31*100</f>
        <v>0.29122156345495864</v>
      </c>
    </row>
    <row r="32" spans="1:5" ht="14.1" customHeight="1" x14ac:dyDescent="0.2">
      <c r="A32" s="15" t="s">
        <v>124</v>
      </c>
      <c r="B32" s="16">
        <v>108260</v>
      </c>
      <c r="C32" s="267">
        <f>B32/'- 3 -'!$D32*100</f>
        <v>0.34573237044345273</v>
      </c>
      <c r="D32" s="16">
        <v>110050</v>
      </c>
      <c r="E32" s="267">
        <f>D32/'- 3 -'!$D32*100</f>
        <v>0.35144880257991845</v>
      </c>
    </row>
    <row r="33" spans="1:5" ht="14.1" customHeight="1" x14ac:dyDescent="0.2">
      <c r="A33" s="271" t="s">
        <v>125</v>
      </c>
      <c r="B33" s="272">
        <v>125400</v>
      </c>
      <c r="C33" s="273">
        <f>B33/'- 3 -'!$D33*100</f>
        <v>0.44194455604660504</v>
      </c>
      <c r="D33" s="272">
        <v>87000</v>
      </c>
      <c r="E33" s="273">
        <f>D33/'- 3 -'!$D33*100</f>
        <v>0.3066122518026686</v>
      </c>
    </row>
    <row r="34" spans="1:5" ht="14.1" customHeight="1" x14ac:dyDescent="0.2">
      <c r="A34" s="15" t="s">
        <v>126</v>
      </c>
      <c r="B34" s="16">
        <v>98245</v>
      </c>
      <c r="C34" s="267">
        <f>B34/'- 3 -'!$D34*100</f>
        <v>0.31954866308671548</v>
      </c>
      <c r="D34" s="16">
        <v>111427</v>
      </c>
      <c r="E34" s="267">
        <f>D34/'- 3 -'!$D34*100</f>
        <v>0.36242403055385464</v>
      </c>
    </row>
    <row r="35" spans="1:5" ht="14.1" customHeight="1" x14ac:dyDescent="0.2">
      <c r="A35" s="271" t="s">
        <v>127</v>
      </c>
      <c r="B35" s="272">
        <v>419000</v>
      </c>
      <c r="C35" s="273">
        <f>B35/'- 3 -'!$D35*100</f>
        <v>0.22622045245721004</v>
      </c>
      <c r="D35" s="272">
        <v>753300</v>
      </c>
      <c r="E35" s="273">
        <f>D35/'- 3 -'!$D35*100</f>
        <v>0.40671089936996735</v>
      </c>
    </row>
    <row r="36" spans="1:5" ht="14.1" customHeight="1" x14ac:dyDescent="0.2">
      <c r="A36" s="15" t="s">
        <v>128</v>
      </c>
      <c r="B36" s="16">
        <v>173320</v>
      </c>
      <c r="C36" s="267">
        <f>B36/'- 3 -'!$D36*100</f>
        <v>0.72294217275990436</v>
      </c>
      <c r="D36" s="16">
        <v>71000</v>
      </c>
      <c r="E36" s="267">
        <f>D36/'- 3 -'!$D36*100</f>
        <v>0.29615101699719137</v>
      </c>
    </row>
    <row r="37" spans="1:5" ht="14.1" customHeight="1" x14ac:dyDescent="0.2">
      <c r="A37" s="271" t="s">
        <v>129</v>
      </c>
      <c r="B37" s="272">
        <v>132200</v>
      </c>
      <c r="C37" s="273">
        <f>B37/'- 3 -'!$D37*100</f>
        <v>0.25359191268151388</v>
      </c>
      <c r="D37" s="272">
        <v>211500</v>
      </c>
      <c r="E37" s="273">
        <f>D37/'- 3 -'!$D37*100</f>
        <v>0.40570869540196813</v>
      </c>
    </row>
    <row r="38" spans="1:5" ht="14.1" customHeight="1" x14ac:dyDescent="0.2">
      <c r="A38" s="15" t="s">
        <v>130</v>
      </c>
      <c r="B38" s="16">
        <v>439270</v>
      </c>
      <c r="C38" s="267">
        <f>B38/'- 3 -'!$D38*100</f>
        <v>0.31106631865648693</v>
      </c>
      <c r="D38" s="16">
        <v>596580</v>
      </c>
      <c r="E38" s="267">
        <f>D38/'- 3 -'!$D38*100</f>
        <v>0.42246441683722308</v>
      </c>
    </row>
    <row r="39" spans="1:5" ht="14.1" customHeight="1" x14ac:dyDescent="0.2">
      <c r="A39" s="271" t="s">
        <v>131</v>
      </c>
      <c r="B39" s="272">
        <v>82900</v>
      </c>
      <c r="C39" s="273">
        <f>B39/'- 3 -'!$D39*100</f>
        <v>0.35624426582096258</v>
      </c>
      <c r="D39" s="272">
        <v>70100</v>
      </c>
      <c r="E39" s="273">
        <f>D39/'- 3 -'!$D39*100</f>
        <v>0.30123911983171864</v>
      </c>
    </row>
    <row r="40" spans="1:5" ht="14.1" customHeight="1" x14ac:dyDescent="0.2">
      <c r="A40" s="15" t="s">
        <v>132</v>
      </c>
      <c r="B40" s="16">
        <v>694030</v>
      </c>
      <c r="C40" s="267">
        <f>B40/'- 3 -'!$D40*100</f>
        <v>0.64380728871890969</v>
      </c>
      <c r="D40" s="16">
        <v>334529</v>
      </c>
      <c r="E40" s="267">
        <f>D40/'- 3 -'!$D40*100</f>
        <v>0.31032117990266722</v>
      </c>
    </row>
    <row r="41" spans="1:5" ht="14.1" customHeight="1" x14ac:dyDescent="0.2">
      <c r="A41" s="271" t="s">
        <v>133</v>
      </c>
      <c r="B41" s="272">
        <v>265603</v>
      </c>
      <c r="C41" s="273">
        <f>B41/'- 3 -'!$D41*100</f>
        <v>0.41124504036109261</v>
      </c>
      <c r="D41" s="272">
        <v>340000</v>
      </c>
      <c r="E41" s="273">
        <f>D41/'- 3 -'!$D41*100</f>
        <v>0.5264372530535103</v>
      </c>
    </row>
    <row r="42" spans="1:5" ht="14.1" customHeight="1" x14ac:dyDescent="0.2">
      <c r="A42" s="15" t="s">
        <v>134</v>
      </c>
      <c r="B42" s="16">
        <v>158966</v>
      </c>
      <c r="C42" s="267">
        <f>B42/'- 3 -'!$D42*100</f>
        <v>0.74099949862293779</v>
      </c>
      <c r="D42" s="16">
        <v>102348</v>
      </c>
      <c r="E42" s="267">
        <f>D42/'- 3 -'!$D42*100</f>
        <v>0.47708199668520584</v>
      </c>
    </row>
    <row r="43" spans="1:5" ht="14.1" customHeight="1" x14ac:dyDescent="0.2">
      <c r="A43" s="271" t="s">
        <v>135</v>
      </c>
      <c r="B43" s="272">
        <v>48400</v>
      </c>
      <c r="C43" s="273">
        <f>B43/'- 3 -'!$D43*100</f>
        <v>0.35408055156971074</v>
      </c>
      <c r="D43" s="272">
        <v>14500</v>
      </c>
      <c r="E43" s="273">
        <f>D43/'- 3 -'!$D43*100</f>
        <v>0.1060778511934051</v>
      </c>
    </row>
    <row r="44" spans="1:5" ht="14.1" customHeight="1" x14ac:dyDescent="0.2">
      <c r="A44" s="15" t="s">
        <v>136</v>
      </c>
      <c r="B44" s="16">
        <v>93950</v>
      </c>
      <c r="C44" s="267">
        <f>B44/'- 3 -'!$D44*100</f>
        <v>0.83288829881922233</v>
      </c>
      <c r="D44" s="16">
        <v>37500</v>
      </c>
      <c r="E44" s="267">
        <f>D44/'- 3 -'!$D44*100</f>
        <v>0.33244610117850815</v>
      </c>
    </row>
    <row r="45" spans="1:5" ht="14.1" customHeight="1" x14ac:dyDescent="0.2">
      <c r="A45" s="271" t="s">
        <v>137</v>
      </c>
      <c r="B45" s="272">
        <v>54700</v>
      </c>
      <c r="C45" s="273">
        <f>B45/'- 3 -'!$D45*100</f>
        <v>0.27043613438095121</v>
      </c>
      <c r="D45" s="272">
        <v>45000</v>
      </c>
      <c r="E45" s="273">
        <f>D45/'- 3 -'!$D45*100</f>
        <v>0.22247945241577338</v>
      </c>
    </row>
    <row r="46" spans="1:5" ht="14.1" customHeight="1" x14ac:dyDescent="0.2">
      <c r="A46" s="15" t="s">
        <v>138</v>
      </c>
      <c r="B46" s="16">
        <v>2323700</v>
      </c>
      <c r="C46" s="267">
        <f>B46/'- 3 -'!$D46*100</f>
        <v>0.5773688409662785</v>
      </c>
      <c r="D46" s="16">
        <v>1403100</v>
      </c>
      <c r="E46" s="267">
        <f>D46/'- 3 -'!$D46*100</f>
        <v>0.34862771474793874</v>
      </c>
    </row>
    <row r="47" spans="1:5" ht="5.0999999999999996" customHeight="1" x14ac:dyDescent="0.2">
      <c r="A47"/>
      <c r="B47" s="508"/>
      <c r="C47"/>
      <c r="D47" s="508"/>
      <c r="E47"/>
    </row>
    <row r="48" spans="1:5" ht="14.1" customHeight="1" x14ac:dyDescent="0.2">
      <c r="A48" s="274" t="s">
        <v>139</v>
      </c>
      <c r="B48" s="275">
        <f>SUM(B11:B46)</f>
        <v>11584318</v>
      </c>
      <c r="C48" s="276">
        <f>B48/'- 3 -'!$D48*100</f>
        <v>0.48831650340260574</v>
      </c>
      <c r="D48" s="275">
        <f>SUM(D11:D46)</f>
        <v>8473024</v>
      </c>
      <c r="E48" s="276">
        <f>D48/'- 3 -'!$D48*100</f>
        <v>0.35716538970411205</v>
      </c>
    </row>
    <row r="49" spans="1:5" ht="5.0999999999999996" customHeight="1" x14ac:dyDescent="0.2">
      <c r="A49" s="17" t="s">
        <v>1</v>
      </c>
      <c r="B49" s="18"/>
      <c r="C49" s="266"/>
      <c r="D49" s="18"/>
      <c r="E49" s="266"/>
    </row>
    <row r="50" spans="1:5" ht="14.1" customHeight="1" x14ac:dyDescent="0.2">
      <c r="A50" s="15" t="s">
        <v>140</v>
      </c>
      <c r="B50" s="16">
        <v>0</v>
      </c>
      <c r="C50" s="267">
        <f>B50/'- 3 -'!$D50*100</f>
        <v>0</v>
      </c>
      <c r="D50" s="16">
        <v>12240</v>
      </c>
      <c r="E50" s="267">
        <f>D50/'- 3 -'!$D50*100</f>
        <v>0.34384340517338247</v>
      </c>
    </row>
    <row r="51" spans="1:5" ht="14.1" customHeight="1" x14ac:dyDescent="0.2">
      <c r="A51" s="360" t="s">
        <v>516</v>
      </c>
      <c r="B51" s="272">
        <v>0</v>
      </c>
      <c r="C51" s="273">
        <f>B51/'- 3 -'!$D51*100</f>
        <v>0</v>
      </c>
      <c r="D51" s="272">
        <v>103550</v>
      </c>
      <c r="E51" s="273">
        <f>D51/'- 3 -'!$D51*100</f>
        <v>0.33830943882027464</v>
      </c>
    </row>
    <row r="52" spans="1:5" ht="50.1" customHeight="1" x14ac:dyDescent="0.2"/>
    <row r="53" spans="1:5" ht="15" customHeight="1" x14ac:dyDescent="0.2"/>
    <row r="54" spans="1:5" ht="14.45" customHeight="1" x14ac:dyDescent="0.2"/>
    <row r="55" spans="1:5" ht="14.45" customHeight="1" x14ac:dyDescent="0.2"/>
    <row r="56" spans="1:5" ht="14.45" customHeight="1" x14ac:dyDescent="0.2"/>
    <row r="57" spans="1:5" ht="14.45" customHeight="1" x14ac:dyDescent="0.2"/>
    <row r="58" spans="1:5" ht="14.45" customHeight="1" x14ac:dyDescent="0.2"/>
    <row r="59" spans="1:5" ht="14.45" customHeight="1" x14ac:dyDescent="0.2"/>
  </sheetData>
  <mergeCells count="3">
    <mergeCell ref="B6:E6"/>
    <mergeCell ref="B8:C8"/>
    <mergeCell ref="D8:E8"/>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F59"/>
  <sheetViews>
    <sheetView showGridLines="0" showZeros="0" workbookViewId="0"/>
  </sheetViews>
  <sheetFormatPr defaultColWidth="15.83203125" defaultRowHeight="12" x14ac:dyDescent="0.2"/>
  <cols>
    <col min="1" max="1" width="36.83203125" style="1" customWidth="1"/>
    <col min="2" max="2" width="18.83203125" style="1" customWidth="1"/>
    <col min="3" max="3" width="11.6640625" style="1" customWidth="1"/>
    <col min="4" max="4" width="18.83203125" style="1" customWidth="1"/>
    <col min="5" max="5" width="11.6640625" style="1" customWidth="1"/>
    <col min="6" max="6" width="26.83203125" style="1" customWidth="1"/>
    <col min="7" max="16384" width="15.83203125" style="1"/>
  </cols>
  <sheetData>
    <row r="1" spans="1:6" ht="6.95" customHeight="1" x14ac:dyDescent="0.2">
      <c r="A1" s="3"/>
      <c r="B1" s="4"/>
      <c r="C1" s="4"/>
      <c r="D1" s="4"/>
      <c r="E1" s="4"/>
      <c r="F1" s="4"/>
    </row>
    <row r="2" spans="1:6" ht="15.95" customHeight="1" x14ac:dyDescent="0.2">
      <c r="A2" s="132"/>
      <c r="B2" s="5" t="str">
        <f>AEXP_BP</f>
        <v>ANALYSIS OF EXPENSE BY PROGRAM</v>
      </c>
      <c r="C2" s="6"/>
      <c r="D2" s="6"/>
      <c r="E2" s="6"/>
      <c r="F2" s="503" t="s">
        <v>539</v>
      </c>
    </row>
    <row r="3" spans="1:6" ht="15.95" customHeight="1" x14ac:dyDescent="0.2">
      <c r="A3" s="135"/>
      <c r="B3" s="7" t="str">
        <f>OPYEAR</f>
        <v>OPERATING FUND 2017/2018 BUDGET</v>
      </c>
      <c r="C3" s="8"/>
      <c r="D3" s="8"/>
      <c r="E3" s="8"/>
      <c r="F3" s="81"/>
    </row>
    <row r="4" spans="1:6" ht="15.95" customHeight="1" x14ac:dyDescent="0.2">
      <c r="B4" s="4"/>
      <c r="C4" s="4"/>
      <c r="D4" s="4"/>
      <c r="E4" s="4"/>
      <c r="F4" s="4"/>
    </row>
    <row r="5" spans="1:6" ht="15.95" customHeight="1" x14ac:dyDescent="0.2">
      <c r="B5" s="4"/>
      <c r="C5" s="4"/>
      <c r="D5" s="4"/>
      <c r="E5" s="4"/>
      <c r="F5" s="4"/>
    </row>
    <row r="6" spans="1:6" ht="15.95" customHeight="1" x14ac:dyDescent="0.2">
      <c r="B6" s="668" t="s">
        <v>10</v>
      </c>
      <c r="C6" s="669"/>
      <c r="D6" s="669"/>
      <c r="E6" s="670"/>
    </row>
    <row r="7" spans="1:6" ht="15.95" customHeight="1" x14ac:dyDescent="0.2">
      <c r="B7" s="314"/>
      <c r="C7" s="270"/>
      <c r="D7" s="620" t="s">
        <v>430</v>
      </c>
      <c r="E7" s="621"/>
    </row>
    <row r="8" spans="1:6" ht="15.95" customHeight="1" x14ac:dyDescent="0.2">
      <c r="A8" s="82"/>
      <c r="B8" s="614" t="s">
        <v>32</v>
      </c>
      <c r="C8" s="615"/>
      <c r="D8" s="622"/>
      <c r="E8" s="623"/>
    </row>
    <row r="9" spans="1:6" ht="15.95" customHeight="1" x14ac:dyDescent="0.2">
      <c r="A9" s="27" t="s">
        <v>37</v>
      </c>
      <c r="B9" s="151" t="s">
        <v>38</v>
      </c>
      <c r="C9" s="151" t="s">
        <v>39</v>
      </c>
      <c r="D9" s="154" t="s">
        <v>38</v>
      </c>
      <c r="E9" s="151" t="s">
        <v>39</v>
      </c>
    </row>
    <row r="10" spans="1:6" ht="5.0999999999999996" customHeight="1" x14ac:dyDescent="0.2">
      <c r="A10" s="29"/>
    </row>
    <row r="11" spans="1:6" ht="14.1" customHeight="1" x14ac:dyDescent="0.2">
      <c r="A11" s="271" t="s">
        <v>104</v>
      </c>
      <c r="B11" s="272">
        <v>14000</v>
      </c>
      <c r="C11" s="273">
        <f>B11/'- 3 -'!$D11*100</f>
        <v>6.9401020611409112E-2</v>
      </c>
      <c r="D11" s="272">
        <v>340000</v>
      </c>
      <c r="E11" s="273">
        <f>D11/'- 3 -'!$D11*100</f>
        <v>1.6854533577056499</v>
      </c>
    </row>
    <row r="12" spans="1:6" ht="14.1" customHeight="1" x14ac:dyDescent="0.2">
      <c r="A12" s="15" t="s">
        <v>105</v>
      </c>
      <c r="B12" s="16">
        <v>10000</v>
      </c>
      <c r="C12" s="267">
        <f>B12/'- 3 -'!$D12*100</f>
        <v>2.8545619253677643E-2</v>
      </c>
      <c r="D12" s="16">
        <v>532056</v>
      </c>
      <c r="E12" s="267">
        <f>D12/'- 3 -'!$D12*100</f>
        <v>1.518786799763471</v>
      </c>
    </row>
    <row r="13" spans="1:6" ht="14.1" customHeight="1" x14ac:dyDescent="0.2">
      <c r="A13" s="271" t="s">
        <v>106</v>
      </c>
      <c r="B13" s="272">
        <v>10500</v>
      </c>
      <c r="C13" s="273">
        <f>B13/'- 3 -'!$D13*100</f>
        <v>1.0310088175801733E-2</v>
      </c>
      <c r="D13" s="272">
        <v>1759700</v>
      </c>
      <c r="E13" s="273">
        <f>D13/'- 3 -'!$D13*100</f>
        <v>1.7278725869484104</v>
      </c>
    </row>
    <row r="14" spans="1:6" ht="14.1" customHeight="1" x14ac:dyDescent="0.2">
      <c r="A14" s="15" t="s">
        <v>315</v>
      </c>
      <c r="B14" s="16">
        <v>94742</v>
      </c>
      <c r="C14" s="267">
        <f>B14/'- 3 -'!$D14*100</f>
        <v>0.10494769297627855</v>
      </c>
      <c r="D14" s="16">
        <v>1294472</v>
      </c>
      <c r="E14" s="267">
        <f>D14/'- 3 -'!$D14*100</f>
        <v>1.4339136816025548</v>
      </c>
    </row>
    <row r="15" spans="1:6" ht="14.1" customHeight="1" x14ac:dyDescent="0.2">
      <c r="A15" s="271" t="s">
        <v>107</v>
      </c>
      <c r="B15" s="272">
        <v>15000</v>
      </c>
      <c r="C15" s="273">
        <f>B15/'- 3 -'!$D15*100</f>
        <v>7.2414666074733097E-2</v>
      </c>
      <c r="D15" s="272">
        <v>315000</v>
      </c>
      <c r="E15" s="273">
        <f>D15/'- 3 -'!$D15*100</f>
        <v>1.520707987569395</v>
      </c>
    </row>
    <row r="16" spans="1:6" ht="14.1" customHeight="1" x14ac:dyDescent="0.2">
      <c r="A16" s="15" t="s">
        <v>108</v>
      </c>
      <c r="B16" s="16">
        <v>17500</v>
      </c>
      <c r="C16" s="267">
        <f>B16/'- 3 -'!$D16*100</f>
        <v>0.11831682351646253</v>
      </c>
      <c r="D16" s="16">
        <v>214364</v>
      </c>
      <c r="E16" s="267">
        <f>D16/'- 3 -'!$D16*100</f>
        <v>1.4493067175018843</v>
      </c>
    </row>
    <row r="17" spans="1:5" ht="14.1" customHeight="1" x14ac:dyDescent="0.2">
      <c r="A17" s="271" t="s">
        <v>109</v>
      </c>
      <c r="B17" s="272">
        <v>68000</v>
      </c>
      <c r="C17" s="273">
        <f>B17/'- 3 -'!$D17*100</f>
        <v>0.36362924661474544</v>
      </c>
      <c r="D17" s="272">
        <v>310000</v>
      </c>
      <c r="E17" s="273">
        <f>D17/'- 3 -'!$D17*100</f>
        <v>1.6577215654495745</v>
      </c>
    </row>
    <row r="18" spans="1:5" ht="14.1" customHeight="1" x14ac:dyDescent="0.2">
      <c r="A18" s="15" t="s">
        <v>110</v>
      </c>
      <c r="B18" s="16">
        <v>100000</v>
      </c>
      <c r="C18" s="267">
        <f>B18/'- 3 -'!$D18*100</f>
        <v>7.5900490631397519E-2</v>
      </c>
      <c r="D18" s="16">
        <v>1200000</v>
      </c>
      <c r="E18" s="267">
        <f>D18/'- 3 -'!$D18*100</f>
        <v>0.91080588757677017</v>
      </c>
    </row>
    <row r="19" spans="1:5" ht="14.1" customHeight="1" x14ac:dyDescent="0.2">
      <c r="A19" s="271" t="s">
        <v>111</v>
      </c>
      <c r="B19" s="272">
        <v>34000</v>
      </c>
      <c r="C19" s="273">
        <f>B19/'- 3 -'!$D19*100</f>
        <v>6.9768324224565595E-2</v>
      </c>
      <c r="D19" s="272">
        <v>796000</v>
      </c>
      <c r="E19" s="273">
        <f>D19/'- 3 -'!$D19*100</f>
        <v>1.6333995906692416</v>
      </c>
    </row>
    <row r="20" spans="1:5" ht="14.1" customHeight="1" x14ac:dyDescent="0.2">
      <c r="A20" s="15" t="s">
        <v>112</v>
      </c>
      <c r="B20" s="16">
        <v>147700</v>
      </c>
      <c r="C20" s="267">
        <f>B20/'- 3 -'!$D20*100</f>
        <v>0.17397183470202168</v>
      </c>
      <c r="D20" s="16">
        <v>1425500</v>
      </c>
      <c r="E20" s="267">
        <f>D20/'- 3 -'!$D20*100</f>
        <v>1.6790578900997424</v>
      </c>
    </row>
    <row r="21" spans="1:5" ht="14.1" customHeight="1" x14ac:dyDescent="0.2">
      <c r="A21" s="271" t="s">
        <v>113</v>
      </c>
      <c r="B21" s="272">
        <v>21600</v>
      </c>
      <c r="C21" s="273">
        <f>B21/'- 3 -'!$D21*100</f>
        <v>5.8159259438763149E-2</v>
      </c>
      <c r="D21" s="272">
        <v>644000</v>
      </c>
      <c r="E21" s="273">
        <f>D21/'- 3 -'!$D21*100</f>
        <v>1.7340075499334937</v>
      </c>
    </row>
    <row r="22" spans="1:5" ht="14.1" customHeight="1" x14ac:dyDescent="0.2">
      <c r="A22" s="15" t="s">
        <v>114</v>
      </c>
      <c r="B22" s="16">
        <v>10000</v>
      </c>
      <c r="C22" s="267">
        <f>B22/'- 3 -'!$D22*100</f>
        <v>4.6903457206927263E-2</v>
      </c>
      <c r="D22" s="16">
        <v>355000</v>
      </c>
      <c r="E22" s="267">
        <f>D22/'- 3 -'!$D22*100</f>
        <v>1.6650727308459179</v>
      </c>
    </row>
    <row r="23" spans="1:5" ht="14.1" customHeight="1" x14ac:dyDescent="0.2">
      <c r="A23" s="271" t="s">
        <v>115</v>
      </c>
      <c r="B23" s="272">
        <v>5000</v>
      </c>
      <c r="C23" s="273">
        <f>B23/'- 3 -'!$D23*100</f>
        <v>2.9700645412845207E-2</v>
      </c>
      <c r="D23" s="272">
        <v>250000</v>
      </c>
      <c r="E23" s="273">
        <f>D23/'- 3 -'!$D23*100</f>
        <v>1.4850322706422603</v>
      </c>
    </row>
    <row r="24" spans="1:5" ht="14.1" customHeight="1" x14ac:dyDescent="0.2">
      <c r="A24" s="15" t="s">
        <v>116</v>
      </c>
      <c r="B24" s="16">
        <v>60000</v>
      </c>
      <c r="C24" s="267">
        <f>B24/'- 3 -'!$D24*100</f>
        <v>0.10270566432694034</v>
      </c>
      <c r="D24" s="16">
        <v>960000</v>
      </c>
      <c r="E24" s="267">
        <f>D24/'- 3 -'!$D24*100</f>
        <v>1.6432906292310454</v>
      </c>
    </row>
    <row r="25" spans="1:5" ht="14.1" customHeight="1" x14ac:dyDescent="0.2">
      <c r="A25" s="271" t="s">
        <v>117</v>
      </c>
      <c r="B25" s="272">
        <v>108000</v>
      </c>
      <c r="C25" s="273">
        <f>B25/'- 3 -'!$D25*100</f>
        <v>5.933020418511744E-2</v>
      </c>
      <c r="D25" s="272">
        <v>2983506</v>
      </c>
      <c r="E25" s="273">
        <f>D25/'- 3 -'!$D25*100</f>
        <v>1.6390001867363242</v>
      </c>
    </row>
    <row r="26" spans="1:5" ht="14.1" customHeight="1" x14ac:dyDescent="0.2">
      <c r="A26" s="15" t="s">
        <v>118</v>
      </c>
      <c r="B26" s="16">
        <v>135000</v>
      </c>
      <c r="C26" s="267">
        <f>B26/'- 3 -'!$D26*100</f>
        <v>0.32791299627779885</v>
      </c>
      <c r="D26" s="16">
        <v>644567</v>
      </c>
      <c r="E26" s="267">
        <f>D26/'- 3 -'!$D26*100</f>
        <v>1.5656436760873478</v>
      </c>
    </row>
    <row r="27" spans="1:5" ht="14.1" customHeight="1" x14ac:dyDescent="0.2">
      <c r="A27" s="271" t="s">
        <v>119</v>
      </c>
      <c r="B27" s="272">
        <v>7000</v>
      </c>
      <c r="C27" s="273">
        <f>B27/'- 3 -'!$D27*100</f>
        <v>1.58926838801688E-2</v>
      </c>
      <c r="D27" s="272">
        <v>715117</v>
      </c>
      <c r="E27" s="273">
        <f>D27/'- 3 -'!$D27*100</f>
        <v>1.6235897740478102</v>
      </c>
    </row>
    <row r="28" spans="1:5" ht="14.1" customHeight="1" x14ac:dyDescent="0.2">
      <c r="A28" s="15" t="s">
        <v>120</v>
      </c>
      <c r="B28" s="16">
        <v>42000</v>
      </c>
      <c r="C28" s="267">
        <f>B28/'- 3 -'!$D28*100</f>
        <v>0.14534893278065208</v>
      </c>
      <c r="D28" s="16">
        <v>400000</v>
      </c>
      <c r="E28" s="267">
        <f>D28/'- 3 -'!$D28*100</f>
        <v>1.3842755502919246</v>
      </c>
    </row>
    <row r="29" spans="1:5" ht="14.1" customHeight="1" x14ac:dyDescent="0.2">
      <c r="A29" s="271" t="s">
        <v>121</v>
      </c>
      <c r="B29" s="272">
        <v>120000</v>
      </c>
      <c r="C29" s="273">
        <f>B29/'- 3 -'!$D29*100</f>
        <v>7.3002709294798018E-2</v>
      </c>
      <c r="D29" s="272">
        <v>2738000</v>
      </c>
      <c r="E29" s="273">
        <f>D29/'- 3 -'!$D29*100</f>
        <v>1.6656784837429748</v>
      </c>
    </row>
    <row r="30" spans="1:5" ht="14.1" customHeight="1" x14ac:dyDescent="0.2">
      <c r="A30" s="15" t="s">
        <v>122</v>
      </c>
      <c r="B30" s="16">
        <v>8000</v>
      </c>
      <c r="C30" s="267">
        <f>B30/'- 3 -'!$D30*100</f>
        <v>5.2815177708878905E-2</v>
      </c>
      <c r="D30" s="16">
        <v>237239</v>
      </c>
      <c r="E30" s="267">
        <f>D30/'- 3 -'!$D30*100</f>
        <v>1.5662274930595905</v>
      </c>
    </row>
    <row r="31" spans="1:5" ht="14.1" customHeight="1" x14ac:dyDescent="0.2">
      <c r="A31" s="271" t="s">
        <v>123</v>
      </c>
      <c r="B31" s="272">
        <v>35000</v>
      </c>
      <c r="C31" s="273">
        <f>B31/'- 3 -'!$D31*100</f>
        <v>9.1414840546399562E-2</v>
      </c>
      <c r="D31" s="272">
        <v>632680</v>
      </c>
      <c r="E31" s="273">
        <f>D31/'- 3 -'!$D31*100</f>
        <v>1.6524668947684593</v>
      </c>
    </row>
    <row r="32" spans="1:5" ht="14.1" customHeight="1" x14ac:dyDescent="0.2">
      <c r="A32" s="15" t="s">
        <v>124</v>
      </c>
      <c r="B32" s="16">
        <v>34000</v>
      </c>
      <c r="C32" s="267">
        <f>B32/'- 3 -'!$D32*100</f>
        <v>0.10858027521778489</v>
      </c>
      <c r="D32" s="16">
        <v>456933</v>
      </c>
      <c r="E32" s="267">
        <f>D32/'- 3 -'!$D32*100</f>
        <v>1.4592326734143559</v>
      </c>
    </row>
    <row r="33" spans="1:5" ht="14.1" customHeight="1" x14ac:dyDescent="0.2">
      <c r="A33" s="271" t="s">
        <v>125</v>
      </c>
      <c r="B33" s="272">
        <v>27000</v>
      </c>
      <c r="C33" s="273">
        <f>B33/'- 3 -'!$D33*100</f>
        <v>9.5155526421517839E-2</v>
      </c>
      <c r="D33" s="272">
        <v>425000</v>
      </c>
      <c r="E33" s="273">
        <f>D33/'- 3 -'!$D33*100</f>
        <v>1.4978184714498177</v>
      </c>
    </row>
    <row r="34" spans="1:5" ht="14.1" customHeight="1" x14ac:dyDescent="0.2">
      <c r="A34" s="15" t="s">
        <v>126</v>
      </c>
      <c r="B34" s="16">
        <v>71100</v>
      </c>
      <c r="C34" s="267">
        <f>B34/'- 3 -'!$D34*100</f>
        <v>0.23125767159107813</v>
      </c>
      <c r="D34" s="16">
        <v>493853</v>
      </c>
      <c r="E34" s="267">
        <f>D34/'- 3 -'!$D34*100</f>
        <v>1.6062910673455517</v>
      </c>
    </row>
    <row r="35" spans="1:5" ht="14.1" customHeight="1" x14ac:dyDescent="0.2">
      <c r="A35" s="271" t="s">
        <v>127</v>
      </c>
      <c r="B35" s="272">
        <v>39500</v>
      </c>
      <c r="C35" s="273">
        <f>B35/'- 3 -'!$D35*100</f>
        <v>2.1326271771025768E-2</v>
      </c>
      <c r="D35" s="272">
        <v>3125000</v>
      </c>
      <c r="E35" s="273">
        <f>D35/'- 3 -'!$D35*100</f>
        <v>1.6872050451760892</v>
      </c>
    </row>
    <row r="36" spans="1:5" ht="14.1" customHeight="1" x14ac:dyDescent="0.2">
      <c r="A36" s="15" t="s">
        <v>128</v>
      </c>
      <c r="B36" s="16">
        <v>50000</v>
      </c>
      <c r="C36" s="267">
        <f>B36/'- 3 -'!$D36*100</f>
        <v>0.2085570542233742</v>
      </c>
      <c r="D36" s="16">
        <v>395170</v>
      </c>
      <c r="E36" s="267">
        <f>D36/'- 3 -'!$D36*100</f>
        <v>1.6483098223490156</v>
      </c>
    </row>
    <row r="37" spans="1:5" ht="14.1" customHeight="1" x14ac:dyDescent="0.2">
      <c r="A37" s="271" t="s">
        <v>129</v>
      </c>
      <c r="B37" s="272">
        <v>35000</v>
      </c>
      <c r="C37" s="273">
        <f>B37/'- 3 -'!$D37*100</f>
        <v>6.7138554794651931E-2</v>
      </c>
      <c r="D37" s="272">
        <v>800000</v>
      </c>
      <c r="E37" s="273">
        <f>D37/'- 3 -'!$D37*100</f>
        <v>1.5345955381634728</v>
      </c>
    </row>
    <row r="38" spans="1:5" ht="14.1" customHeight="1" x14ac:dyDescent="0.2">
      <c r="A38" s="15" t="s">
        <v>130</v>
      </c>
      <c r="B38" s="16">
        <v>250000</v>
      </c>
      <c r="C38" s="267">
        <f>B38/'- 3 -'!$D38*100</f>
        <v>0.17703594523669211</v>
      </c>
      <c r="D38" s="16">
        <v>2313370</v>
      </c>
      <c r="E38" s="267">
        <f>D38/'- 3 -'!$D38*100</f>
        <v>1.6381985785288256</v>
      </c>
    </row>
    <row r="39" spans="1:5" ht="14.1" customHeight="1" x14ac:dyDescent="0.2">
      <c r="A39" s="271" t="s">
        <v>131</v>
      </c>
      <c r="B39" s="272">
        <v>115000</v>
      </c>
      <c r="C39" s="273">
        <f>B39/'- 3 -'!$D39*100</f>
        <v>0.49418685849711336</v>
      </c>
      <c r="D39" s="272">
        <v>350000</v>
      </c>
      <c r="E39" s="273">
        <f>D39/'- 3 -'!$D39*100</f>
        <v>1.5040469606433884</v>
      </c>
    </row>
    <row r="40" spans="1:5" ht="14.1" customHeight="1" x14ac:dyDescent="0.2">
      <c r="A40" s="15" t="s">
        <v>132</v>
      </c>
      <c r="B40" s="16">
        <v>67700</v>
      </c>
      <c r="C40" s="267">
        <f>B40/'- 3 -'!$D40*100</f>
        <v>6.2800964578289389E-2</v>
      </c>
      <c r="D40" s="16">
        <v>1781130</v>
      </c>
      <c r="E40" s="267">
        <f>D40/'- 3 -'!$D40*100</f>
        <v>1.6522405027965819</v>
      </c>
    </row>
    <row r="41" spans="1:5" ht="14.1" customHeight="1" x14ac:dyDescent="0.2">
      <c r="A41" s="271" t="s">
        <v>133</v>
      </c>
      <c r="B41" s="272">
        <v>136000</v>
      </c>
      <c r="C41" s="273">
        <f>B41/'- 3 -'!$D41*100</f>
        <v>0.2105749012214041</v>
      </c>
      <c r="D41" s="272">
        <v>1010063</v>
      </c>
      <c r="E41" s="273">
        <f>D41/'- 3 -'!$D41*100</f>
        <v>1.563925856267611</v>
      </c>
    </row>
    <row r="42" spans="1:5" ht="14.1" customHeight="1" x14ac:dyDescent="0.2">
      <c r="A42" s="15" t="s">
        <v>134</v>
      </c>
      <c r="B42" s="16">
        <v>2000</v>
      </c>
      <c r="C42" s="267">
        <f>B42/'- 3 -'!$D42*100</f>
        <v>9.3227419526557605E-3</v>
      </c>
      <c r="D42" s="16">
        <v>345000</v>
      </c>
      <c r="E42" s="267">
        <f>D42/'- 3 -'!$D42*100</f>
        <v>1.6081729868331187</v>
      </c>
    </row>
    <row r="43" spans="1:5" ht="14.1" customHeight="1" x14ac:dyDescent="0.2">
      <c r="A43" s="271" t="s">
        <v>135</v>
      </c>
      <c r="B43" s="272">
        <v>26000</v>
      </c>
      <c r="C43" s="273">
        <f>B43/'- 3 -'!$D43*100</f>
        <v>0.19020856076058845</v>
      </c>
      <c r="D43" s="272">
        <v>205000</v>
      </c>
      <c r="E43" s="273">
        <f>D43/'- 3 -'!$D43*100</f>
        <v>1.4997213444584858</v>
      </c>
    </row>
    <row r="44" spans="1:5" ht="14.1" customHeight="1" x14ac:dyDescent="0.2">
      <c r="A44" s="15" t="s">
        <v>136</v>
      </c>
      <c r="B44" s="16">
        <v>3000</v>
      </c>
      <c r="C44" s="267">
        <f>B44/'- 3 -'!$D44*100</f>
        <v>2.6595688094280652E-2</v>
      </c>
      <c r="D44" s="16">
        <v>173189</v>
      </c>
      <c r="E44" s="267">
        <f>D44/'- 3 -'!$D44*100</f>
        <v>1.5353602084534572</v>
      </c>
    </row>
    <row r="45" spans="1:5" ht="14.1" customHeight="1" x14ac:dyDescent="0.2">
      <c r="A45" s="271" t="s">
        <v>137</v>
      </c>
      <c r="B45" s="272">
        <v>25000</v>
      </c>
      <c r="C45" s="273">
        <f>B45/'- 3 -'!$D45*100</f>
        <v>0.12359969578654074</v>
      </c>
      <c r="D45" s="272">
        <v>336612</v>
      </c>
      <c r="E45" s="273">
        <f>D45/'- 3 -'!$D45*100</f>
        <v>1.6642056319239624</v>
      </c>
    </row>
    <row r="46" spans="1:5" ht="14.1" customHeight="1" x14ac:dyDescent="0.2">
      <c r="A46" s="15" t="s">
        <v>138</v>
      </c>
      <c r="B46" s="16">
        <v>536000</v>
      </c>
      <c r="C46" s="267">
        <f>B46/'- 3 -'!$D46*100</f>
        <v>0.13317971285360641</v>
      </c>
      <c r="D46" s="16">
        <v>6892350</v>
      </c>
      <c r="E46" s="267">
        <f>D46/'- 3 -'!$D46*100</f>
        <v>1.7125395408331234</v>
      </c>
    </row>
    <row r="47" spans="1:5" ht="5.0999999999999996" customHeight="1" x14ac:dyDescent="0.2">
      <c r="A47"/>
      <c r="B47" s="508"/>
      <c r="C47"/>
      <c r="D47"/>
      <c r="E47"/>
    </row>
    <row r="48" spans="1:5" ht="14.1" customHeight="1" x14ac:dyDescent="0.2">
      <c r="A48" s="274" t="s">
        <v>139</v>
      </c>
      <c r="B48" s="275">
        <f>SUM(B11:B46)</f>
        <v>2480342</v>
      </c>
      <c r="C48" s="276">
        <f>B48/'- 3 -'!$D48*100</f>
        <v>0.10455444443795707</v>
      </c>
      <c r="D48" s="275">
        <f>SUM(D11:D46)</f>
        <v>37849871</v>
      </c>
      <c r="E48" s="276">
        <f>D48/'- 3 -'!$D48*100</f>
        <v>1.5954945868163914</v>
      </c>
    </row>
    <row r="49" spans="1:5" ht="5.0999999999999996" customHeight="1" x14ac:dyDescent="0.2">
      <c r="A49" s="17" t="s">
        <v>1</v>
      </c>
      <c r="B49" s="18"/>
      <c r="C49" s="266"/>
      <c r="D49" s="18"/>
      <c r="E49" s="266"/>
    </row>
    <row r="50" spans="1:5" ht="14.1" customHeight="1" x14ac:dyDescent="0.2">
      <c r="A50" s="15" t="s">
        <v>140</v>
      </c>
      <c r="B50" s="16">
        <v>0</v>
      </c>
      <c r="C50" s="267">
        <f>B50/'- 3 -'!$D50*100</f>
        <v>0</v>
      </c>
      <c r="D50" s="16">
        <v>49900</v>
      </c>
      <c r="E50" s="267">
        <f>D50/'- 3 -'!$D50*100</f>
        <v>1.4017798952738385</v>
      </c>
    </row>
    <row r="51" spans="1:5" ht="14.1" customHeight="1" x14ac:dyDescent="0.2">
      <c r="A51" s="360" t="s">
        <v>516</v>
      </c>
      <c r="B51" s="272">
        <v>150000</v>
      </c>
      <c r="C51" s="273">
        <f>B51/'- 3 -'!$D51*100</f>
        <v>0.49006678728190434</v>
      </c>
      <c r="D51" s="272">
        <v>391205</v>
      </c>
      <c r="E51" s="273">
        <f>D51/'- 3 -'!$D51*100</f>
        <v>1.2781105167907825</v>
      </c>
    </row>
    <row r="52" spans="1:5" ht="50.1" customHeight="1" x14ac:dyDescent="0.2"/>
    <row r="53" spans="1:5" ht="15" customHeight="1" x14ac:dyDescent="0.2">
      <c r="C53" s="90"/>
    </row>
    <row r="54" spans="1:5" ht="14.45" customHeight="1" x14ac:dyDescent="0.2">
      <c r="C54" s="90"/>
    </row>
    <row r="55" spans="1:5" ht="14.45" customHeight="1" x14ac:dyDescent="0.2"/>
    <row r="56" spans="1:5" ht="14.45" customHeight="1" x14ac:dyDescent="0.2"/>
    <row r="57" spans="1:5" ht="14.45" customHeight="1" x14ac:dyDescent="0.2"/>
    <row r="58" spans="1:5" ht="14.45" customHeight="1" x14ac:dyDescent="0.2"/>
    <row r="59" spans="1:5" ht="14.45" customHeight="1" x14ac:dyDescent="0.2"/>
  </sheetData>
  <mergeCells count="3">
    <mergeCell ref="B6:E6"/>
    <mergeCell ref="B8:C8"/>
    <mergeCell ref="D7:E8"/>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B59"/>
  <sheetViews>
    <sheetView showGridLines="0" showZeros="0" workbookViewId="0"/>
  </sheetViews>
  <sheetFormatPr defaultColWidth="15.83203125" defaultRowHeight="12" x14ac:dyDescent="0.2"/>
  <cols>
    <col min="1" max="1" width="40.83203125" style="1" customWidth="1"/>
    <col min="2" max="2" width="27.83203125" style="1" customWidth="1"/>
    <col min="3" max="3" width="18.83203125" style="1" customWidth="1"/>
    <col min="4" max="4" width="27.83203125" style="1" customWidth="1"/>
    <col min="5" max="5" width="18.83203125" style="1" customWidth="1"/>
    <col min="6" max="16384" width="15.83203125" style="1"/>
  </cols>
  <sheetData>
    <row r="1" spans="1:54" ht="6.95" customHeight="1" x14ac:dyDescent="0.2">
      <c r="A1" s="3"/>
      <c r="B1" s="4"/>
      <c r="C1" s="4"/>
      <c r="D1" s="4"/>
      <c r="E1" s="4"/>
    </row>
    <row r="2" spans="1:54" ht="15.95" customHeight="1" x14ac:dyDescent="0.2">
      <c r="A2" s="546" t="str">
        <f>IF(Lang=1,BA2,BB2)</f>
        <v>OPERATING FUND EXPENSE PER PUPIL</v>
      </c>
      <c r="B2" s="546"/>
      <c r="C2" s="546"/>
      <c r="D2" s="546"/>
      <c r="E2" s="546"/>
      <c r="BA2" s="459" t="s">
        <v>248</v>
      </c>
      <c r="BB2" s="460" t="s">
        <v>370</v>
      </c>
    </row>
    <row r="3" spans="1:54" ht="15.95" customHeight="1" x14ac:dyDescent="0.2">
      <c r="A3" s="547"/>
      <c r="B3" s="547"/>
      <c r="C3" s="547"/>
      <c r="D3" s="547"/>
      <c r="E3" s="547"/>
    </row>
    <row r="4" spans="1:54" ht="15.95" customHeight="1" x14ac:dyDescent="0.2">
      <c r="B4" s="4"/>
      <c r="C4" s="22"/>
      <c r="D4" s="23"/>
      <c r="E4" s="22"/>
    </row>
    <row r="5" spans="1:54" ht="15.95" customHeight="1" x14ac:dyDescent="0.2">
      <c r="B5" s="4"/>
      <c r="C5" s="4"/>
      <c r="D5" s="4"/>
      <c r="E5" s="4"/>
    </row>
    <row r="6" spans="1:54" ht="15.95" customHeight="1" x14ac:dyDescent="0.2">
      <c r="B6" s="4"/>
      <c r="C6" s="4"/>
      <c r="D6" s="4"/>
      <c r="E6" s="4"/>
    </row>
    <row r="7" spans="1:54" ht="15.95" customHeight="1" x14ac:dyDescent="0.2">
      <c r="B7" s="283" t="s">
        <v>565</v>
      </c>
      <c r="C7" s="294"/>
      <c r="D7" s="283" t="s">
        <v>577</v>
      </c>
      <c r="E7" s="297"/>
    </row>
    <row r="8" spans="1:54" ht="15.95" customHeight="1" x14ac:dyDescent="0.2">
      <c r="A8" s="24"/>
      <c r="B8" s="25"/>
      <c r="C8" s="26"/>
      <c r="D8" s="25"/>
      <c r="E8" s="26"/>
    </row>
    <row r="9" spans="1:54" ht="15.95" customHeight="1" x14ac:dyDescent="0.2">
      <c r="A9" s="27" t="s">
        <v>37</v>
      </c>
      <c r="B9" s="28" t="s">
        <v>249</v>
      </c>
      <c r="C9" s="28" t="s">
        <v>40</v>
      </c>
      <c r="D9" s="28" t="s">
        <v>249</v>
      </c>
      <c r="E9" s="28" t="s">
        <v>40</v>
      </c>
    </row>
    <row r="10" spans="1:54" ht="5.0999999999999996" customHeight="1" x14ac:dyDescent="0.2">
      <c r="A10" s="29"/>
    </row>
    <row r="11" spans="1:54" ht="14.1" customHeight="1" x14ac:dyDescent="0.2">
      <c r="A11" s="271" t="s">
        <v>104</v>
      </c>
      <c r="B11" s="272">
        <v>19540108</v>
      </c>
      <c r="C11" s="272">
        <v>11147</v>
      </c>
      <c r="D11" s="272">
        <f>'- 3 -'!F11</f>
        <v>20147114</v>
      </c>
      <c r="E11" s="272">
        <f>ROUND(D11/'- 7 -'!E11,0)</f>
        <v>11218</v>
      </c>
      <c r="F11" s="1" t="str">
        <f>IF(B11=D11,"Check","")</f>
        <v/>
      </c>
    </row>
    <row r="12" spans="1:54" ht="14.1" customHeight="1" x14ac:dyDescent="0.2">
      <c r="A12" s="15" t="s">
        <v>105</v>
      </c>
      <c r="B12" s="30">
        <v>34223699</v>
      </c>
      <c r="C12" s="30">
        <v>15918</v>
      </c>
      <c r="D12" s="16">
        <f>'- 3 -'!F12</f>
        <v>34280089</v>
      </c>
      <c r="E12" s="16">
        <f>ROUND(D12/'- 7 -'!E12,0)</f>
        <v>15944</v>
      </c>
      <c r="F12" s="1" t="str">
        <f t="shared" ref="F12:F51" si="0">IF(B12=D12,"Check","")</f>
        <v/>
      </c>
      <c r="G12" s="79"/>
    </row>
    <row r="13" spans="1:54" ht="14.1" customHeight="1" x14ac:dyDescent="0.2">
      <c r="A13" s="271" t="s">
        <v>106</v>
      </c>
      <c r="B13" s="272">
        <v>97591400</v>
      </c>
      <c r="C13" s="272">
        <v>11692</v>
      </c>
      <c r="D13" s="272">
        <f>'- 3 -'!F13</f>
        <v>101481400</v>
      </c>
      <c r="E13" s="272">
        <f>ROUND(D13/'- 7 -'!E13,0)</f>
        <v>11897</v>
      </c>
      <c r="F13" s="1" t="str">
        <f t="shared" si="0"/>
        <v/>
      </c>
      <c r="G13" s="79"/>
    </row>
    <row r="14" spans="1:54" ht="14.1" customHeight="1" x14ac:dyDescent="0.2">
      <c r="A14" s="15" t="s">
        <v>315</v>
      </c>
      <c r="B14" s="16">
        <v>84549549</v>
      </c>
      <c r="C14" s="16">
        <v>15406</v>
      </c>
      <c r="D14" s="16">
        <f>'- 3 -'!F14</f>
        <v>88470031</v>
      </c>
      <c r="E14" s="16">
        <f>ROUND(D14/'- 7 -'!E14,0)</f>
        <v>15883</v>
      </c>
      <c r="F14" s="1" t="str">
        <f t="shared" si="0"/>
        <v/>
      </c>
    </row>
    <row r="15" spans="1:54" ht="14.1" customHeight="1" x14ac:dyDescent="0.2">
      <c r="A15" s="271" t="s">
        <v>107</v>
      </c>
      <c r="B15" s="272">
        <v>20334554</v>
      </c>
      <c r="C15" s="272">
        <v>14848</v>
      </c>
      <c r="D15" s="272">
        <f>'- 3 -'!F15</f>
        <v>20637536</v>
      </c>
      <c r="E15" s="272">
        <f>ROUND(D15/'- 7 -'!E15,0)</f>
        <v>14976</v>
      </c>
      <c r="F15" s="1" t="str">
        <f t="shared" si="0"/>
        <v/>
      </c>
    </row>
    <row r="16" spans="1:54" ht="14.1" customHeight="1" x14ac:dyDescent="0.2">
      <c r="A16" s="15" t="s">
        <v>108</v>
      </c>
      <c r="B16" s="30">
        <v>14516231</v>
      </c>
      <c r="C16" s="30">
        <v>15161</v>
      </c>
      <c r="D16" s="16">
        <f>'- 3 -'!F16</f>
        <v>14687106</v>
      </c>
      <c r="E16" s="16">
        <f>ROUND(D16/'- 7 -'!E16,0)</f>
        <v>15835</v>
      </c>
      <c r="F16" s="1" t="str">
        <f t="shared" si="0"/>
        <v/>
      </c>
    </row>
    <row r="17" spans="1:6" ht="14.1" customHeight="1" x14ac:dyDescent="0.2">
      <c r="A17" s="271" t="s">
        <v>109</v>
      </c>
      <c r="B17" s="272">
        <v>17835685</v>
      </c>
      <c r="C17" s="272">
        <v>13119</v>
      </c>
      <c r="D17" s="272">
        <f>'- 3 -'!F17</f>
        <v>18330496</v>
      </c>
      <c r="E17" s="272">
        <f>ROUND(D17/'- 7 -'!E17,0)</f>
        <v>13014</v>
      </c>
      <c r="F17" s="1" t="str">
        <f t="shared" si="0"/>
        <v/>
      </c>
    </row>
    <row r="18" spans="1:6" ht="14.1" customHeight="1" x14ac:dyDescent="0.2">
      <c r="A18" s="15" t="s">
        <v>110</v>
      </c>
      <c r="B18" s="16">
        <v>127375742</v>
      </c>
      <c r="C18" s="16">
        <v>20463</v>
      </c>
      <c r="D18" s="16">
        <f>'- 3 -'!F18</f>
        <v>127668087</v>
      </c>
      <c r="E18" s="16">
        <f>ROUND(D18/'- 7 -'!E18,0)</f>
        <v>20879</v>
      </c>
      <c r="F18" s="1" t="str">
        <f t="shared" si="0"/>
        <v/>
      </c>
    </row>
    <row r="19" spans="1:6" ht="14.1" customHeight="1" x14ac:dyDescent="0.2">
      <c r="A19" s="271" t="s">
        <v>111</v>
      </c>
      <c r="B19" s="272">
        <v>46376420</v>
      </c>
      <c r="C19" s="272">
        <v>10995</v>
      </c>
      <c r="D19" s="272">
        <f>'- 3 -'!F19</f>
        <v>48664417</v>
      </c>
      <c r="E19" s="272">
        <f>ROUND(D19/'- 7 -'!E19,0)</f>
        <v>11217</v>
      </c>
      <c r="F19" s="1" t="str">
        <f t="shared" si="0"/>
        <v/>
      </c>
    </row>
    <row r="20" spans="1:6" ht="14.1" customHeight="1" x14ac:dyDescent="0.2">
      <c r="A20" s="15" t="s">
        <v>112</v>
      </c>
      <c r="B20" s="30">
        <v>82136800</v>
      </c>
      <c r="C20" s="30">
        <v>10835</v>
      </c>
      <c r="D20" s="16">
        <f>'- 3 -'!F20</f>
        <v>84740600</v>
      </c>
      <c r="E20" s="16">
        <f>ROUND(D20/'- 7 -'!E20,0)</f>
        <v>10941</v>
      </c>
      <c r="F20" s="1" t="str">
        <f t="shared" si="0"/>
        <v/>
      </c>
    </row>
    <row r="21" spans="1:6" ht="14.1" customHeight="1" x14ac:dyDescent="0.2">
      <c r="A21" s="271" t="s">
        <v>113</v>
      </c>
      <c r="B21" s="272">
        <v>36114685</v>
      </c>
      <c r="C21" s="272">
        <v>13346</v>
      </c>
      <c r="D21" s="272">
        <f>'- 3 -'!F21</f>
        <v>36874400</v>
      </c>
      <c r="E21" s="272">
        <f>ROUND(D21/'- 7 -'!E21,0)</f>
        <v>13382</v>
      </c>
      <c r="F21" s="1" t="str">
        <f t="shared" si="0"/>
        <v/>
      </c>
    </row>
    <row r="22" spans="1:6" ht="14.1" customHeight="1" x14ac:dyDescent="0.2">
      <c r="A22" s="15" t="s">
        <v>114</v>
      </c>
      <c r="B22" s="16">
        <v>19976917</v>
      </c>
      <c r="C22" s="16">
        <v>12821</v>
      </c>
      <c r="D22" s="16">
        <f>'- 3 -'!F22</f>
        <v>20579595</v>
      </c>
      <c r="E22" s="16">
        <f>ROUND(D22/'- 7 -'!E22,0)</f>
        <v>13546</v>
      </c>
      <c r="F22" s="1" t="str">
        <f t="shared" si="0"/>
        <v/>
      </c>
    </row>
    <row r="23" spans="1:6" ht="14.1" customHeight="1" x14ac:dyDescent="0.2">
      <c r="A23" s="271" t="s">
        <v>115</v>
      </c>
      <c r="B23" s="272">
        <v>16265121</v>
      </c>
      <c r="C23" s="272">
        <v>14601</v>
      </c>
      <c r="D23" s="272">
        <f>'- 3 -'!F23</f>
        <v>16306021</v>
      </c>
      <c r="E23" s="272">
        <f>ROUND(D23/'- 7 -'!E23,0)</f>
        <v>14757</v>
      </c>
      <c r="F23" s="1" t="str">
        <f t="shared" si="0"/>
        <v/>
      </c>
    </row>
    <row r="24" spans="1:6" ht="14.1" customHeight="1" x14ac:dyDescent="0.2">
      <c r="A24" s="15" t="s">
        <v>116</v>
      </c>
      <c r="B24" s="30">
        <v>57312977</v>
      </c>
      <c r="C24" s="30">
        <v>14508</v>
      </c>
      <c r="D24" s="16">
        <f>'- 3 -'!F24</f>
        <v>57647663</v>
      </c>
      <c r="E24" s="16">
        <f>ROUND(D24/'- 7 -'!E24,0)</f>
        <v>14802</v>
      </c>
      <c r="F24" s="1" t="str">
        <f t="shared" si="0"/>
        <v/>
      </c>
    </row>
    <row r="25" spans="1:6" ht="14.1" customHeight="1" x14ac:dyDescent="0.2">
      <c r="A25" s="271" t="s">
        <v>117</v>
      </c>
      <c r="B25" s="272">
        <v>172240144</v>
      </c>
      <c r="C25" s="272">
        <v>12061</v>
      </c>
      <c r="D25" s="272">
        <f>'- 3 -'!F25</f>
        <v>179323177</v>
      </c>
      <c r="E25" s="272">
        <f>ROUND(D25/'- 7 -'!E25,0)</f>
        <v>12391</v>
      </c>
      <c r="F25" s="1" t="str">
        <f t="shared" si="0"/>
        <v/>
      </c>
    </row>
    <row r="26" spans="1:6" ht="14.1" customHeight="1" x14ac:dyDescent="0.2">
      <c r="A26" s="15" t="s">
        <v>118</v>
      </c>
      <c r="B26" s="16">
        <v>40711697</v>
      </c>
      <c r="C26" s="16">
        <v>12883</v>
      </c>
      <c r="D26" s="16">
        <f>'- 3 -'!F26</f>
        <v>41069207</v>
      </c>
      <c r="E26" s="16">
        <f>ROUND(D26/'- 7 -'!E26,0)</f>
        <v>13465</v>
      </c>
      <c r="F26" s="1" t="str">
        <f t="shared" si="0"/>
        <v/>
      </c>
    </row>
    <row r="27" spans="1:6" ht="14.1" customHeight="1" x14ac:dyDescent="0.2">
      <c r="A27" s="271" t="s">
        <v>119</v>
      </c>
      <c r="B27" s="272">
        <v>43712278</v>
      </c>
      <c r="C27" s="272">
        <v>15021</v>
      </c>
      <c r="D27" s="272">
        <f>'- 3 -'!F27</f>
        <v>43988050</v>
      </c>
      <c r="E27" s="272">
        <f>ROUND(D27/'- 7 -'!E27,0)</f>
        <v>14709</v>
      </c>
      <c r="F27" s="1" t="str">
        <f t="shared" si="0"/>
        <v/>
      </c>
    </row>
    <row r="28" spans="1:6" ht="14.1" customHeight="1" x14ac:dyDescent="0.2">
      <c r="A28" s="15" t="s">
        <v>120</v>
      </c>
      <c r="B28" s="30">
        <v>28437301</v>
      </c>
      <c r="C28" s="30">
        <v>14617</v>
      </c>
      <c r="D28" s="16">
        <f>'- 3 -'!F28</f>
        <v>28673276</v>
      </c>
      <c r="E28" s="16">
        <f>ROUND(D28/'- 7 -'!E28,0)</f>
        <v>14637</v>
      </c>
      <c r="F28" s="1" t="str">
        <f t="shared" si="0"/>
        <v/>
      </c>
    </row>
    <row r="29" spans="1:6" ht="14.1" customHeight="1" x14ac:dyDescent="0.2">
      <c r="A29" s="271" t="s">
        <v>121</v>
      </c>
      <c r="B29" s="272">
        <v>157787503</v>
      </c>
      <c r="C29" s="272">
        <v>12445</v>
      </c>
      <c r="D29" s="272">
        <f>'- 3 -'!F29</f>
        <v>163789575</v>
      </c>
      <c r="E29" s="272">
        <f>ROUND(D29/'- 7 -'!E29,0)</f>
        <v>12538</v>
      </c>
      <c r="F29" s="1" t="str">
        <f t="shared" si="0"/>
        <v/>
      </c>
    </row>
    <row r="30" spans="1:6" ht="14.1" customHeight="1" x14ac:dyDescent="0.2">
      <c r="A30" s="15" t="s">
        <v>122</v>
      </c>
      <c r="B30" s="16">
        <v>14698928</v>
      </c>
      <c r="C30" s="16">
        <v>14640</v>
      </c>
      <c r="D30" s="16">
        <f>'- 3 -'!F30</f>
        <v>15133221</v>
      </c>
      <c r="E30" s="16">
        <f>ROUND(D30/'- 7 -'!E30,0)</f>
        <v>14902</v>
      </c>
      <c r="F30" s="1" t="str">
        <f t="shared" si="0"/>
        <v/>
      </c>
    </row>
    <row r="31" spans="1:6" ht="14.1" customHeight="1" x14ac:dyDescent="0.2">
      <c r="A31" s="271" t="s">
        <v>123</v>
      </c>
      <c r="B31" s="272">
        <v>37621121</v>
      </c>
      <c r="C31" s="272">
        <v>11684</v>
      </c>
      <c r="D31" s="272">
        <f>'- 3 -'!F31</f>
        <v>38240650</v>
      </c>
      <c r="E31" s="272">
        <f>ROUND(D31/'- 7 -'!E31,0)</f>
        <v>11643</v>
      </c>
      <c r="F31" s="1" t="str">
        <f t="shared" si="0"/>
        <v/>
      </c>
    </row>
    <row r="32" spans="1:6" ht="14.1" customHeight="1" x14ac:dyDescent="0.2">
      <c r="A32" s="15" t="s">
        <v>124</v>
      </c>
      <c r="B32" s="30">
        <v>29952714</v>
      </c>
      <c r="C32" s="30">
        <v>13733</v>
      </c>
      <c r="D32" s="16">
        <f>'- 3 -'!F32</f>
        <v>30999631</v>
      </c>
      <c r="E32" s="16">
        <f>ROUND(D32/'- 7 -'!E32,0)</f>
        <v>14008</v>
      </c>
      <c r="F32" s="1" t="str">
        <f t="shared" si="0"/>
        <v/>
      </c>
    </row>
    <row r="33" spans="1:6" ht="14.1" customHeight="1" x14ac:dyDescent="0.2">
      <c r="A33" s="271" t="s">
        <v>125</v>
      </c>
      <c r="B33" s="272">
        <v>27899150</v>
      </c>
      <c r="C33" s="272">
        <v>13853</v>
      </c>
      <c r="D33" s="272">
        <f>'- 3 -'!F33</f>
        <v>28343000</v>
      </c>
      <c r="E33" s="272">
        <f>ROUND(D33/'- 7 -'!E33,0)</f>
        <v>14286</v>
      </c>
      <c r="F33" s="1" t="str">
        <f t="shared" si="0"/>
        <v/>
      </c>
    </row>
    <row r="34" spans="1:6" ht="14.1" customHeight="1" x14ac:dyDescent="0.2">
      <c r="A34" s="15" t="s">
        <v>126</v>
      </c>
      <c r="B34" s="16">
        <v>29489465</v>
      </c>
      <c r="C34" s="16">
        <v>14797</v>
      </c>
      <c r="D34" s="16">
        <f>'- 3 -'!F34</f>
        <v>30685815</v>
      </c>
      <c r="E34" s="16">
        <f>ROUND(D34/'- 7 -'!E34,0)</f>
        <v>14932</v>
      </c>
      <c r="F34" s="1" t="str">
        <f t="shared" si="0"/>
        <v/>
      </c>
    </row>
    <row r="35" spans="1:6" ht="14.1" customHeight="1" x14ac:dyDescent="0.2">
      <c r="A35" s="271" t="s">
        <v>127</v>
      </c>
      <c r="B35" s="272">
        <v>180473779</v>
      </c>
      <c r="C35" s="272">
        <v>11677</v>
      </c>
      <c r="D35" s="272">
        <f>'- 3 -'!F35</f>
        <v>184640269</v>
      </c>
      <c r="E35" s="272">
        <f>ROUND(D35/'- 7 -'!E35,0)</f>
        <v>11759</v>
      </c>
      <c r="F35" s="1" t="str">
        <f t="shared" si="0"/>
        <v/>
      </c>
    </row>
    <row r="36" spans="1:6" ht="14.1" customHeight="1" x14ac:dyDescent="0.2">
      <c r="A36" s="15" t="s">
        <v>128</v>
      </c>
      <c r="B36" s="30">
        <v>23606060</v>
      </c>
      <c r="C36" s="30">
        <v>14242</v>
      </c>
      <c r="D36" s="16">
        <f>'- 3 -'!F36</f>
        <v>23932330</v>
      </c>
      <c r="E36" s="16">
        <f>ROUND(D36/'- 7 -'!E36,0)</f>
        <v>14233</v>
      </c>
      <c r="F36" s="1" t="str">
        <f t="shared" si="0"/>
        <v/>
      </c>
    </row>
    <row r="37" spans="1:6" ht="14.1" customHeight="1" x14ac:dyDescent="0.2">
      <c r="A37" s="271" t="s">
        <v>129</v>
      </c>
      <c r="B37" s="272">
        <v>49626095</v>
      </c>
      <c r="C37" s="272">
        <v>12094</v>
      </c>
      <c r="D37" s="272">
        <f>'- 3 -'!F37</f>
        <v>51761576</v>
      </c>
      <c r="E37" s="272">
        <f>ROUND(D37/'- 7 -'!E37,0)</f>
        <v>12169</v>
      </c>
      <c r="F37" s="1" t="str">
        <f t="shared" si="0"/>
        <v/>
      </c>
    </row>
    <row r="38" spans="1:6" ht="14.1" customHeight="1" x14ac:dyDescent="0.2">
      <c r="A38" s="15" t="s">
        <v>130</v>
      </c>
      <c r="B38" s="16">
        <v>133230535</v>
      </c>
      <c r="C38" s="16">
        <v>12104</v>
      </c>
      <c r="D38" s="16">
        <f>'- 3 -'!F38</f>
        <v>138251060</v>
      </c>
      <c r="E38" s="16">
        <f>ROUND(D38/'- 7 -'!E38,0)</f>
        <v>12245</v>
      </c>
      <c r="F38" s="1" t="str">
        <f t="shared" si="0"/>
        <v/>
      </c>
    </row>
    <row r="39" spans="1:6" ht="14.1" customHeight="1" x14ac:dyDescent="0.2">
      <c r="A39" s="271" t="s">
        <v>131</v>
      </c>
      <c r="B39" s="272">
        <v>22746679</v>
      </c>
      <c r="C39" s="272">
        <v>14896</v>
      </c>
      <c r="D39" s="272">
        <f>'- 3 -'!F39</f>
        <v>23116650</v>
      </c>
      <c r="E39" s="272">
        <f>ROUND(D39/'- 7 -'!E39,0)</f>
        <v>15329</v>
      </c>
      <c r="F39" s="1" t="str">
        <f t="shared" si="0"/>
        <v/>
      </c>
    </row>
    <row r="40" spans="1:6" ht="14.1" customHeight="1" x14ac:dyDescent="0.2">
      <c r="A40" s="15" t="s">
        <v>132</v>
      </c>
      <c r="B40" s="30">
        <v>104435346</v>
      </c>
      <c r="C40" s="30">
        <v>13139</v>
      </c>
      <c r="D40" s="16">
        <f>'- 3 -'!F40</f>
        <v>106758712</v>
      </c>
      <c r="E40" s="16">
        <f>ROUND(D40/'- 7 -'!E40,0)</f>
        <v>12988</v>
      </c>
      <c r="F40" s="1" t="str">
        <f t="shared" si="0"/>
        <v/>
      </c>
    </row>
    <row r="41" spans="1:6" ht="14.1" customHeight="1" x14ac:dyDescent="0.2">
      <c r="A41" s="271" t="s">
        <v>133</v>
      </c>
      <c r="B41" s="272">
        <v>62648929</v>
      </c>
      <c r="C41" s="272">
        <v>14208</v>
      </c>
      <c r="D41" s="272">
        <f>'- 3 -'!F41</f>
        <v>63285230</v>
      </c>
      <c r="E41" s="272">
        <f>ROUND(D41/'- 7 -'!E41,0)</f>
        <v>14292</v>
      </c>
      <c r="F41" s="1" t="str">
        <f t="shared" si="0"/>
        <v/>
      </c>
    </row>
    <row r="42" spans="1:6" ht="14.1" customHeight="1" x14ac:dyDescent="0.2">
      <c r="A42" s="15" t="s">
        <v>134</v>
      </c>
      <c r="B42" s="16">
        <v>20914117</v>
      </c>
      <c r="C42" s="16">
        <v>15367</v>
      </c>
      <c r="D42" s="16">
        <f>'- 3 -'!F42</f>
        <v>21388260</v>
      </c>
      <c r="E42" s="16">
        <f>ROUND(D42/'- 7 -'!E42,0)</f>
        <v>15421</v>
      </c>
      <c r="F42" s="1" t="str">
        <f t="shared" si="0"/>
        <v/>
      </c>
    </row>
    <row r="43" spans="1:6" ht="14.1" customHeight="1" x14ac:dyDescent="0.2">
      <c r="A43" s="271" t="s">
        <v>135</v>
      </c>
      <c r="B43" s="272">
        <v>13107059</v>
      </c>
      <c r="C43" s="272">
        <v>13936</v>
      </c>
      <c r="D43" s="272">
        <f>'- 3 -'!F43</f>
        <v>13422198</v>
      </c>
      <c r="E43" s="272">
        <f>ROUND(D43/'- 7 -'!E43,0)</f>
        <v>14092</v>
      </c>
      <c r="F43" s="1" t="str">
        <f t="shared" si="0"/>
        <v/>
      </c>
    </row>
    <row r="44" spans="1:6" ht="14.1" customHeight="1" x14ac:dyDescent="0.2">
      <c r="A44" s="15" t="s">
        <v>136</v>
      </c>
      <c r="B44" s="30">
        <v>11179394</v>
      </c>
      <c r="C44" s="30">
        <v>15948</v>
      </c>
      <c r="D44" s="16">
        <f>'- 3 -'!F44</f>
        <v>11240524</v>
      </c>
      <c r="E44" s="16">
        <f>ROUND(D44/'- 7 -'!E44,0)</f>
        <v>15699</v>
      </c>
      <c r="F44" s="1" t="str">
        <f t="shared" si="0"/>
        <v/>
      </c>
    </row>
    <row r="45" spans="1:6" ht="14.1" customHeight="1" x14ac:dyDescent="0.2">
      <c r="A45" s="271" t="s">
        <v>137</v>
      </c>
      <c r="B45" s="272">
        <v>19152045</v>
      </c>
      <c r="C45" s="272">
        <v>11253</v>
      </c>
      <c r="D45" s="272">
        <f>'- 3 -'!F45</f>
        <v>19765141</v>
      </c>
      <c r="E45" s="272">
        <f>ROUND(D45/'- 7 -'!E45,0)</f>
        <v>11412</v>
      </c>
      <c r="F45" s="1" t="str">
        <f t="shared" si="0"/>
        <v/>
      </c>
    </row>
    <row r="46" spans="1:6" ht="14.1" customHeight="1" x14ac:dyDescent="0.2">
      <c r="A46" s="15" t="s">
        <v>138</v>
      </c>
      <c r="B46" s="16">
        <v>381799200</v>
      </c>
      <c r="C46" s="16">
        <v>12660</v>
      </c>
      <c r="D46" s="16">
        <f>'- 3 -'!F46</f>
        <v>391659500</v>
      </c>
      <c r="E46" s="16">
        <f>ROUND(D46/'- 7 -'!E46,0)</f>
        <v>12943</v>
      </c>
      <c r="F46" s="1" t="str">
        <f t="shared" si="0"/>
        <v/>
      </c>
    </row>
    <row r="47" spans="1:6" ht="5.0999999999999996" customHeight="1" x14ac:dyDescent="0.2">
      <c r="A47"/>
      <c r="B47"/>
      <c r="C47"/>
      <c r="D47"/>
      <c r="E47"/>
    </row>
    <row r="48" spans="1:6" ht="14.1" customHeight="1" x14ac:dyDescent="0.2">
      <c r="A48" s="274" t="s">
        <v>139</v>
      </c>
      <c r="B48" s="275">
        <v>2279619427</v>
      </c>
      <c r="C48" s="275">
        <v>13016</v>
      </c>
      <c r="D48" s="275">
        <f>SUM(D11:D46)</f>
        <v>2339981607</v>
      </c>
      <c r="E48" s="275">
        <f>ROUND(D48/'- 7 -'!E48,0)</f>
        <v>13187</v>
      </c>
      <c r="F48" s="1" t="str">
        <f t="shared" si="0"/>
        <v/>
      </c>
    </row>
    <row r="49" spans="1:6" ht="5.0999999999999996" customHeight="1" x14ac:dyDescent="0.2">
      <c r="A49" s="17" t="s">
        <v>1</v>
      </c>
      <c r="B49" s="18"/>
      <c r="C49" s="18"/>
      <c r="D49" s="18"/>
      <c r="E49" s="18"/>
    </row>
    <row r="50" spans="1:6" ht="14.1" customHeight="1" x14ac:dyDescent="0.2">
      <c r="A50" s="15" t="s">
        <v>140</v>
      </c>
      <c r="B50" s="16">
        <v>3268379</v>
      </c>
      <c r="C50" s="16">
        <v>20300</v>
      </c>
      <c r="D50" s="16">
        <f>'- 3 -'!F50</f>
        <v>3367142</v>
      </c>
      <c r="E50" s="16">
        <f>ROUND(D50/'- 7 -'!E50,0)</f>
        <v>20785</v>
      </c>
      <c r="F50" s="1" t="str">
        <f t="shared" si="0"/>
        <v/>
      </c>
    </row>
    <row r="51" spans="1:6" ht="14.1" customHeight="1" x14ac:dyDescent="0.2">
      <c r="A51" s="360" t="s">
        <v>516</v>
      </c>
      <c r="B51" s="353">
        <v>14807951</v>
      </c>
      <c r="C51" s="353">
        <v>20439</v>
      </c>
      <c r="D51" s="272">
        <f>'- 3 -'!F51</f>
        <v>18008493</v>
      </c>
      <c r="E51" s="272">
        <f>ROUND(D51/'- 7 -'!E51,0)</f>
        <v>16894</v>
      </c>
      <c r="F51" s="1" t="str">
        <f t="shared" si="0"/>
        <v/>
      </c>
    </row>
    <row r="52" spans="1:6" ht="50.1" customHeight="1" x14ac:dyDescent="0.2">
      <c r="A52" s="19"/>
      <c r="B52" s="19"/>
      <c r="C52" s="19"/>
      <c r="D52" s="19"/>
      <c r="E52" s="19"/>
    </row>
    <row r="53" spans="1:6" ht="15" customHeight="1" x14ac:dyDescent="0.2">
      <c r="A53" s="548" t="s">
        <v>570</v>
      </c>
      <c r="B53" s="548"/>
      <c r="C53" s="548"/>
      <c r="D53" s="548"/>
      <c r="E53" s="548"/>
    </row>
    <row r="54" spans="1:6" ht="12" customHeight="1" x14ac:dyDescent="0.2">
      <c r="A54" s="549"/>
      <c r="B54" s="549"/>
      <c r="C54" s="549"/>
      <c r="D54" s="549"/>
      <c r="E54" s="549"/>
    </row>
    <row r="55" spans="1:6" ht="12" customHeight="1" x14ac:dyDescent="0.2">
      <c r="A55" s="549"/>
      <c r="B55" s="549"/>
      <c r="C55" s="549"/>
      <c r="D55" s="549"/>
      <c r="E55" s="549"/>
    </row>
    <row r="56" spans="1:6" ht="12" customHeight="1" x14ac:dyDescent="0.2">
      <c r="A56" s="2"/>
      <c r="B56" s="31"/>
      <c r="C56" s="31"/>
      <c r="D56" s="31"/>
      <c r="E56" s="31"/>
    </row>
    <row r="57" spans="1:6" ht="12" customHeight="1" x14ac:dyDescent="0.2"/>
    <row r="58" spans="1:6" ht="14.45" customHeight="1" x14ac:dyDescent="0.2">
      <c r="A58" s="2"/>
    </row>
    <row r="59" spans="1:6" ht="14.45" customHeight="1" x14ac:dyDescent="0.2">
      <c r="A59" s="2"/>
    </row>
  </sheetData>
  <mergeCells count="2">
    <mergeCell ref="A2:E3"/>
    <mergeCell ref="A53:E55"/>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BB59"/>
  <sheetViews>
    <sheetView showGridLines="0" showZeros="0" workbookViewId="0"/>
  </sheetViews>
  <sheetFormatPr defaultColWidth="15.83203125" defaultRowHeight="12" x14ac:dyDescent="0.2"/>
  <cols>
    <col min="1" max="1" width="30.83203125" style="1" customWidth="1"/>
    <col min="2" max="2" width="16.83203125" style="1" customWidth="1"/>
    <col min="3" max="3" width="19.83203125" style="1" customWidth="1"/>
    <col min="4" max="4" width="10.83203125" style="1" customWidth="1"/>
    <col min="5" max="5" width="16.83203125" style="1" customWidth="1"/>
    <col min="6" max="6" width="11.83203125" style="1" customWidth="1"/>
    <col min="7" max="7" width="14.83203125" style="1" customWidth="1"/>
    <col min="8" max="8" width="11.83203125" style="1" customWidth="1"/>
    <col min="9" max="16384" width="15.83203125" style="1"/>
  </cols>
  <sheetData>
    <row r="1" spans="1:54" ht="6.95" customHeight="1" x14ac:dyDescent="0.2">
      <c r="A1" s="3"/>
      <c r="B1" s="4"/>
      <c r="C1" s="4"/>
      <c r="D1" s="4"/>
      <c r="E1" s="4"/>
      <c r="F1" s="4"/>
      <c r="G1" s="4"/>
      <c r="H1" s="4"/>
    </row>
    <row r="2" spans="1:54" ht="15.95" customHeight="1" x14ac:dyDescent="0.2">
      <c r="A2" s="132"/>
      <c r="B2" s="5" t="str">
        <f>IF(Lang=1,BA2,BB2)</f>
        <v>ANALYSIS OF  TRANSPORTATION EXPENSES</v>
      </c>
      <c r="C2" s="6"/>
      <c r="D2" s="6"/>
      <c r="E2" s="6"/>
      <c r="F2" s="85"/>
      <c r="G2" s="85"/>
      <c r="H2" s="85"/>
      <c r="BA2" s="456" t="s">
        <v>255</v>
      </c>
      <c r="BB2" s="456" t="s">
        <v>436</v>
      </c>
    </row>
    <row r="3" spans="1:54" ht="15.95" customHeight="1" x14ac:dyDescent="0.2">
      <c r="A3" s="135"/>
      <c r="B3" s="7" t="str">
        <f>OPYEAR</f>
        <v>OPERATING FUND 2017/2018 BUDGET</v>
      </c>
      <c r="C3" s="8"/>
      <c r="D3" s="8"/>
      <c r="E3" s="8"/>
      <c r="F3" s="87"/>
      <c r="G3" s="87"/>
      <c r="H3" s="87"/>
    </row>
    <row r="4" spans="1:54" ht="15.95" customHeight="1" x14ac:dyDescent="0.2">
      <c r="B4" s="4"/>
      <c r="C4" s="4"/>
      <c r="D4" s="4"/>
      <c r="E4" s="4"/>
      <c r="F4" s="4"/>
      <c r="G4" s="4"/>
      <c r="H4" s="4"/>
    </row>
    <row r="5" spans="1:54" ht="15.95" customHeight="1" x14ac:dyDescent="0.2">
      <c r="B5" s="4"/>
      <c r="C5" s="4"/>
      <c r="D5" s="4"/>
      <c r="E5" s="4"/>
      <c r="F5" s="4"/>
      <c r="G5" s="4"/>
      <c r="H5" s="4"/>
    </row>
    <row r="6" spans="1:54" ht="15.95" customHeight="1" x14ac:dyDescent="0.2">
      <c r="B6" s="626" t="s">
        <v>11</v>
      </c>
      <c r="C6" s="628"/>
      <c r="D6" s="628"/>
      <c r="E6" s="628"/>
      <c r="F6" s="628"/>
      <c r="G6" s="628"/>
      <c r="H6" s="613"/>
    </row>
    <row r="7" spans="1:54" ht="15.95" customHeight="1" x14ac:dyDescent="0.2">
      <c r="B7" s="627" t="s">
        <v>26</v>
      </c>
      <c r="C7" s="629"/>
      <c r="D7" s="629"/>
      <c r="E7" s="629"/>
      <c r="F7" s="629"/>
      <c r="G7" s="629"/>
      <c r="H7" s="615"/>
    </row>
    <row r="8" spans="1:54" ht="15.95" customHeight="1" x14ac:dyDescent="0.2">
      <c r="A8" s="82"/>
      <c r="B8" s="22"/>
      <c r="C8" s="577" t="s">
        <v>431</v>
      </c>
      <c r="D8" s="538" t="s">
        <v>396</v>
      </c>
      <c r="E8" s="700" t="s">
        <v>432</v>
      </c>
      <c r="F8" s="702" t="s">
        <v>434</v>
      </c>
      <c r="G8" s="702" t="s">
        <v>433</v>
      </c>
      <c r="H8" s="702" t="s">
        <v>434</v>
      </c>
    </row>
    <row r="9" spans="1:54" ht="15.95" customHeight="1" x14ac:dyDescent="0.2">
      <c r="A9" s="27" t="s">
        <v>37</v>
      </c>
      <c r="B9" s="89" t="s">
        <v>38</v>
      </c>
      <c r="C9" s="578"/>
      <c r="D9" s="578"/>
      <c r="E9" s="701"/>
      <c r="F9" s="701"/>
      <c r="G9" s="703"/>
      <c r="H9" s="701"/>
    </row>
    <row r="10" spans="1:54" ht="5.0999999999999996" customHeight="1" x14ac:dyDescent="0.2">
      <c r="A10" s="29"/>
    </row>
    <row r="11" spans="1:54" ht="14.1" customHeight="1" x14ac:dyDescent="0.2">
      <c r="A11" s="271" t="s">
        <v>104</v>
      </c>
      <c r="B11" s="303">
        <f>'- 29 -'!$D11</f>
        <v>1087950</v>
      </c>
      <c r="C11" s="303">
        <v>771</v>
      </c>
      <c r="D11" s="303">
        <f ca="1">IF(AND(CELL("type",C11)="v",C11&gt;0),B11/C11,"")</f>
        <v>1411.0894941634242</v>
      </c>
      <c r="E11" s="303">
        <v>632000</v>
      </c>
      <c r="F11" s="304">
        <f ca="1">IF(AND(CELL("type",E11)="v",E11&gt;0),B11/E11,"")</f>
        <v>1.7214398734177214</v>
      </c>
      <c r="G11" s="303">
        <v>422000</v>
      </c>
      <c r="H11" s="304">
        <f ca="1">IF(AND(CELL("type",G11)="v",G11&gt;0),B11/G11,"")</f>
        <v>2.5780805687203792</v>
      </c>
    </row>
    <row r="12" spans="1:54" ht="14.1" customHeight="1" x14ac:dyDescent="0.2">
      <c r="A12" s="15" t="s">
        <v>105</v>
      </c>
      <c r="B12" s="139">
        <f>'- 29 -'!$D12</f>
        <v>2175998</v>
      </c>
      <c r="C12" s="139">
        <v>1538</v>
      </c>
      <c r="D12" s="139">
        <f t="shared" ref="D12:D46" ca="1" si="0">IF(AND(CELL("type",C12)="v",C12&gt;0),B12/C12,"")</f>
        <v>1414.8231469440832</v>
      </c>
      <c r="E12" s="139">
        <v>1305705</v>
      </c>
      <c r="F12" s="145">
        <f t="shared" ref="F12:F46" ca="1" si="1">IF(AND(CELL("type",E12)="v",E12&gt;0),B12/E12,"")</f>
        <v>1.6665311077157552</v>
      </c>
      <c r="G12" s="139">
        <v>804651</v>
      </c>
      <c r="H12" s="145">
        <f t="shared" ref="H12:H46" ca="1" si="2">IF(AND(CELL("type",G12)="v",G12&gt;0),B12/G12,"")</f>
        <v>2.7042755182060296</v>
      </c>
    </row>
    <row r="13" spans="1:54" ht="14.1" customHeight="1" x14ac:dyDescent="0.2">
      <c r="A13" s="271" t="s">
        <v>106</v>
      </c>
      <c r="B13" s="303">
        <f>'- 29 -'!$D13</f>
        <v>2221600</v>
      </c>
      <c r="C13" s="303">
        <v>3474</v>
      </c>
      <c r="D13" s="303">
        <f t="shared" ca="1" si="0"/>
        <v>639.49337938975248</v>
      </c>
      <c r="E13" s="303">
        <v>825000</v>
      </c>
      <c r="F13" s="304">
        <f t="shared" ca="1" si="1"/>
        <v>2.692848484848485</v>
      </c>
      <c r="G13" s="303">
        <v>535000</v>
      </c>
      <c r="H13" s="304">
        <f t="shared" ca="1" si="2"/>
        <v>4.1525233644859814</v>
      </c>
    </row>
    <row r="14" spans="1:54" ht="14.1" customHeight="1" x14ac:dyDescent="0.2">
      <c r="A14" s="15" t="s">
        <v>315</v>
      </c>
      <c r="B14" s="139">
        <f>'- 29 -'!$D14</f>
        <v>8672562</v>
      </c>
      <c r="C14" s="139">
        <v>4561</v>
      </c>
      <c r="D14" s="139">
        <f t="shared" ca="1" si="0"/>
        <v>1901.4606445954835</v>
      </c>
      <c r="E14" s="139">
        <v>3074394</v>
      </c>
      <c r="F14" s="145">
        <f t="shared" ca="1" si="1"/>
        <v>2.8209012898151635</v>
      </c>
      <c r="G14" s="139">
        <v>1623408</v>
      </c>
      <c r="H14" s="145">
        <f t="shared" ca="1" si="2"/>
        <v>5.3421949380562372</v>
      </c>
    </row>
    <row r="15" spans="1:54" ht="14.1" customHeight="1" x14ac:dyDescent="0.2">
      <c r="A15" s="271" t="s">
        <v>107</v>
      </c>
      <c r="B15" s="303">
        <f>'- 29 -'!$D15</f>
        <v>1438600</v>
      </c>
      <c r="C15" s="303">
        <v>926</v>
      </c>
      <c r="D15" s="303">
        <f t="shared" ca="1" si="0"/>
        <v>1553.5637149028078</v>
      </c>
      <c r="E15" s="303">
        <v>785000</v>
      </c>
      <c r="F15" s="304">
        <f t="shared" ca="1" si="1"/>
        <v>1.8326114649681529</v>
      </c>
      <c r="G15" s="303">
        <v>475000</v>
      </c>
      <c r="H15" s="304">
        <f t="shared" ca="1" si="2"/>
        <v>3.0286315789473686</v>
      </c>
    </row>
    <row r="16" spans="1:54" ht="14.1" customHeight="1" x14ac:dyDescent="0.2">
      <c r="A16" s="15" t="s">
        <v>108</v>
      </c>
      <c r="B16" s="139">
        <f>'- 29 -'!$D16</f>
        <v>386937</v>
      </c>
      <c r="C16" s="139">
        <v>296</v>
      </c>
      <c r="D16" s="139">
        <f t="shared" ca="1" si="0"/>
        <v>1307.2195945945946</v>
      </c>
      <c r="E16" s="139">
        <v>59094</v>
      </c>
      <c r="F16" s="145">
        <f t="shared" ca="1" si="1"/>
        <v>6.5478221139201951</v>
      </c>
      <c r="G16" s="139">
        <v>33575</v>
      </c>
      <c r="H16" s="145">
        <f t="shared" ca="1" si="2"/>
        <v>11.524556962025317</v>
      </c>
    </row>
    <row r="17" spans="1:8" ht="14.1" customHeight="1" x14ac:dyDescent="0.2">
      <c r="A17" s="271" t="s">
        <v>109</v>
      </c>
      <c r="B17" s="303">
        <f>'- 29 -'!$D17</f>
        <v>1320740</v>
      </c>
      <c r="C17" s="303">
        <v>675</v>
      </c>
      <c r="D17" s="303">
        <f t="shared" ca="1" si="0"/>
        <v>1956.6518518518519</v>
      </c>
      <c r="E17" s="303">
        <v>934780</v>
      </c>
      <c r="F17" s="304">
        <f t="shared" ca="1" si="1"/>
        <v>1.4128885941077045</v>
      </c>
      <c r="G17" s="303">
        <v>599962</v>
      </c>
      <c r="H17" s="304">
        <f t="shared" ca="1" si="2"/>
        <v>2.2013727536077283</v>
      </c>
    </row>
    <row r="18" spans="1:8" ht="14.1" customHeight="1" x14ac:dyDescent="0.2">
      <c r="A18" s="15" t="s">
        <v>110</v>
      </c>
      <c r="B18" s="139">
        <f>'- 29 -'!$D18</f>
        <v>7428750</v>
      </c>
      <c r="C18" s="139">
        <v>4950</v>
      </c>
      <c r="D18" s="139">
        <f t="shared" ca="1" si="0"/>
        <v>1500.7575757575758</v>
      </c>
      <c r="E18" s="139">
        <v>1541417</v>
      </c>
      <c r="F18" s="145">
        <f t="shared" ca="1" si="1"/>
        <v>4.8194291356589423</v>
      </c>
      <c r="G18" s="139">
        <v>978453</v>
      </c>
      <c r="H18" s="145">
        <f t="shared" ca="1" si="2"/>
        <v>7.5923421973257783</v>
      </c>
    </row>
    <row r="19" spans="1:8" ht="14.1" customHeight="1" x14ac:dyDescent="0.2">
      <c r="A19" s="271" t="s">
        <v>111</v>
      </c>
      <c r="B19" s="303">
        <f>'- 29 -'!$D19</f>
        <v>2925266</v>
      </c>
      <c r="C19" s="303">
        <v>2534</v>
      </c>
      <c r="D19" s="303">
        <f t="shared" ca="1" si="0"/>
        <v>1154.4064719810576</v>
      </c>
      <c r="E19" s="303">
        <v>862596</v>
      </c>
      <c r="F19" s="304">
        <f t="shared" ca="1" si="1"/>
        <v>3.3912352943904214</v>
      </c>
      <c r="G19" s="303">
        <v>508599</v>
      </c>
      <c r="H19" s="304">
        <f t="shared" ca="1" si="2"/>
        <v>5.7516157129683698</v>
      </c>
    </row>
    <row r="20" spans="1:8" ht="14.1" customHeight="1" x14ac:dyDescent="0.2">
      <c r="A20" s="15" t="s">
        <v>112</v>
      </c>
      <c r="B20" s="139">
        <f>'- 29 -'!$D20</f>
        <v>3385000</v>
      </c>
      <c r="C20" s="139">
        <v>5147</v>
      </c>
      <c r="D20" s="139">
        <f t="shared" ca="1" si="0"/>
        <v>657.66465902467462</v>
      </c>
      <c r="E20" s="139">
        <v>1452939</v>
      </c>
      <c r="F20" s="145">
        <f t="shared" ca="1" si="1"/>
        <v>2.329760574944991</v>
      </c>
      <c r="G20" s="139">
        <v>860287</v>
      </c>
      <c r="H20" s="145">
        <f t="shared" ca="1" si="2"/>
        <v>3.9347334087345271</v>
      </c>
    </row>
    <row r="21" spans="1:8" ht="14.1" customHeight="1" x14ac:dyDescent="0.2">
      <c r="A21" s="271" t="s">
        <v>113</v>
      </c>
      <c r="B21" s="303">
        <f>'- 29 -'!$D21</f>
        <v>1906000</v>
      </c>
      <c r="C21" s="303">
        <v>1584</v>
      </c>
      <c r="D21" s="303">
        <f t="shared" ca="1" si="0"/>
        <v>1203.2828282828282</v>
      </c>
      <c r="E21" s="303">
        <v>998000</v>
      </c>
      <c r="F21" s="304">
        <f t="shared" ca="1" si="1"/>
        <v>1.9098196392785571</v>
      </c>
      <c r="G21" s="303">
        <v>584942</v>
      </c>
      <c r="H21" s="304">
        <f t="shared" ca="1" si="2"/>
        <v>3.2584427173976223</v>
      </c>
    </row>
    <row r="22" spans="1:8" ht="14.1" customHeight="1" x14ac:dyDescent="0.2">
      <c r="A22" s="15" t="s">
        <v>114</v>
      </c>
      <c r="B22" s="139">
        <f>'- 29 -'!$D22</f>
        <v>471035</v>
      </c>
      <c r="C22" s="139">
        <v>400</v>
      </c>
      <c r="D22" s="139">
        <f t="shared" ca="1" si="0"/>
        <v>1177.5875000000001</v>
      </c>
      <c r="E22" s="139">
        <v>155588</v>
      </c>
      <c r="F22" s="145">
        <f t="shared" ca="1" si="1"/>
        <v>3.0274507031390594</v>
      </c>
      <c r="G22" s="139">
        <v>96224</v>
      </c>
      <c r="H22" s="145">
        <f t="shared" ca="1" si="2"/>
        <v>4.8951924675756571</v>
      </c>
    </row>
    <row r="23" spans="1:8" ht="14.1" customHeight="1" x14ac:dyDescent="0.2">
      <c r="A23" s="271" t="s">
        <v>115</v>
      </c>
      <c r="B23" s="303">
        <f>'- 29 -'!$D23</f>
        <v>1564890</v>
      </c>
      <c r="C23" s="303">
        <v>778</v>
      </c>
      <c r="D23" s="303">
        <f t="shared" ca="1" si="0"/>
        <v>2011.4267352185091</v>
      </c>
      <c r="E23" s="303">
        <v>1008784</v>
      </c>
      <c r="F23" s="304">
        <f t="shared" ca="1" si="1"/>
        <v>1.5512636996621676</v>
      </c>
      <c r="G23" s="303">
        <v>542945</v>
      </c>
      <c r="H23" s="304">
        <f t="shared" ca="1" si="2"/>
        <v>2.8822256397977695</v>
      </c>
    </row>
    <row r="24" spans="1:8" ht="14.1" customHeight="1" x14ac:dyDescent="0.2">
      <c r="A24" s="15" t="s">
        <v>116</v>
      </c>
      <c r="B24" s="139">
        <f>'- 29 -'!$D24</f>
        <v>2444525</v>
      </c>
      <c r="C24" s="139">
        <v>2853</v>
      </c>
      <c r="D24" s="139">
        <f t="shared" ca="1" si="0"/>
        <v>856.826147914476</v>
      </c>
      <c r="E24" s="139">
        <v>1027464</v>
      </c>
      <c r="F24" s="145">
        <f t="shared" ca="1" si="1"/>
        <v>2.3791831149315206</v>
      </c>
      <c r="G24" s="139">
        <v>652116</v>
      </c>
      <c r="H24" s="145">
        <f t="shared" ca="1" si="2"/>
        <v>3.7486045427500629</v>
      </c>
    </row>
    <row r="25" spans="1:8" ht="14.1" customHeight="1" x14ac:dyDescent="0.2">
      <c r="A25" s="271" t="s">
        <v>117</v>
      </c>
      <c r="B25" s="303">
        <f>'- 29 -'!$D25</f>
        <v>3658087</v>
      </c>
      <c r="C25" s="303">
        <v>2631</v>
      </c>
      <c r="D25" s="303">
        <f t="shared" ca="1" si="0"/>
        <v>1390.3789433675408</v>
      </c>
      <c r="E25" s="303">
        <v>933261</v>
      </c>
      <c r="F25" s="304">
        <f t="shared" ca="1" si="1"/>
        <v>3.9196827039809872</v>
      </c>
      <c r="G25" s="303">
        <v>577192</v>
      </c>
      <c r="H25" s="304">
        <f t="shared" ca="1" si="2"/>
        <v>6.3377299061664054</v>
      </c>
    </row>
    <row r="26" spans="1:8" ht="14.1" customHeight="1" x14ac:dyDescent="0.2">
      <c r="A26" s="15" t="s">
        <v>118</v>
      </c>
      <c r="B26" s="139">
        <f>'- 29 -'!$D26</f>
        <v>2702863</v>
      </c>
      <c r="C26" s="139">
        <v>1432</v>
      </c>
      <c r="D26" s="139">
        <f t="shared" ca="1" si="0"/>
        <v>1887.4741620111731</v>
      </c>
      <c r="E26" s="139">
        <v>1324243</v>
      </c>
      <c r="F26" s="145">
        <f t="shared" ca="1" si="1"/>
        <v>2.0410627052587782</v>
      </c>
      <c r="G26" s="139">
        <v>1059735</v>
      </c>
      <c r="H26" s="145">
        <f t="shared" ca="1" si="2"/>
        <v>2.5505083818124343</v>
      </c>
    </row>
    <row r="27" spans="1:8" ht="14.1" customHeight="1" x14ac:dyDescent="0.2">
      <c r="A27" s="271" t="s">
        <v>119</v>
      </c>
      <c r="B27" s="303">
        <f>'- 29 -'!$D27</f>
        <v>0</v>
      </c>
      <c r="C27" s="307" t="s">
        <v>84</v>
      </c>
      <c r="D27" s="307" t="str">
        <f ca="1">IF(AND(CELL("type",C27)="v",C27&gt;0),B27/C27,"")</f>
        <v/>
      </c>
      <c r="E27" s="307" t="s">
        <v>84</v>
      </c>
      <c r="F27" s="308" t="str">
        <f ca="1">IF(AND(CELL("type",E27)="v",E27&gt;0),B27/E27,"")</f>
        <v/>
      </c>
      <c r="G27" s="307" t="s">
        <v>84</v>
      </c>
      <c r="H27" s="304" t="str">
        <f t="shared" ca="1" si="2"/>
        <v/>
      </c>
    </row>
    <row r="28" spans="1:8" ht="14.1" customHeight="1" x14ac:dyDescent="0.2">
      <c r="A28" s="15" t="s">
        <v>120</v>
      </c>
      <c r="B28" s="139">
        <f>'- 29 -'!$D28</f>
        <v>1740645</v>
      </c>
      <c r="C28" s="139">
        <v>799</v>
      </c>
      <c r="D28" s="139">
        <f t="shared" ca="1" si="0"/>
        <v>2178.5294117647059</v>
      </c>
      <c r="E28" s="139">
        <v>1176324</v>
      </c>
      <c r="F28" s="145">
        <f t="shared" ca="1" si="1"/>
        <v>1.4797326246850357</v>
      </c>
      <c r="G28" s="139">
        <v>752496</v>
      </c>
      <c r="H28" s="145">
        <f t="shared" ca="1" si="2"/>
        <v>2.3131617975377941</v>
      </c>
    </row>
    <row r="29" spans="1:8" ht="14.1" customHeight="1" x14ac:dyDescent="0.2">
      <c r="A29" s="271" t="s">
        <v>121</v>
      </c>
      <c r="B29" s="303">
        <f>'- 29 -'!$D29</f>
        <v>3054957</v>
      </c>
      <c r="C29" s="303">
        <v>2625</v>
      </c>
      <c r="D29" s="303">
        <f t="shared" ca="1" si="0"/>
        <v>1163.7931428571428</v>
      </c>
      <c r="E29" s="303">
        <v>651000</v>
      </c>
      <c r="F29" s="304">
        <f t="shared" ca="1" si="1"/>
        <v>4.6927142857142856</v>
      </c>
      <c r="G29" s="303">
        <v>374000</v>
      </c>
      <c r="H29" s="304">
        <f t="shared" ca="1" si="2"/>
        <v>8.1683342245989312</v>
      </c>
    </row>
    <row r="30" spans="1:8" ht="14.1" customHeight="1" x14ac:dyDescent="0.2">
      <c r="A30" s="15" t="s">
        <v>122</v>
      </c>
      <c r="B30" s="139">
        <f>'- 29 -'!$D30</f>
        <v>1141463</v>
      </c>
      <c r="C30" s="139">
        <v>548</v>
      </c>
      <c r="D30" s="139">
        <f t="shared" ca="1" si="0"/>
        <v>2082.9616788321168</v>
      </c>
      <c r="E30" s="139">
        <v>668447</v>
      </c>
      <c r="F30" s="145">
        <f t="shared" ca="1" si="1"/>
        <v>1.7076342627014558</v>
      </c>
      <c r="G30" s="139">
        <v>409386</v>
      </c>
      <c r="H30" s="145">
        <f t="shared" ca="1" si="2"/>
        <v>2.7882316444626833</v>
      </c>
    </row>
    <row r="31" spans="1:8" ht="14.1" customHeight="1" x14ac:dyDescent="0.2">
      <c r="A31" s="271" t="s">
        <v>123</v>
      </c>
      <c r="B31" s="303">
        <f>'- 29 -'!$D31</f>
        <v>949850</v>
      </c>
      <c r="C31" s="303">
        <v>1070</v>
      </c>
      <c r="D31" s="303">
        <f t="shared" ca="1" si="0"/>
        <v>887.71028037383178</v>
      </c>
      <c r="E31" s="303">
        <v>623208</v>
      </c>
      <c r="F31" s="304">
        <f t="shared" ca="1" si="1"/>
        <v>1.5241299854944095</v>
      </c>
      <c r="G31" s="303">
        <v>402224</v>
      </c>
      <c r="H31" s="304">
        <f t="shared" ca="1" si="2"/>
        <v>2.3614950873145313</v>
      </c>
    </row>
    <row r="32" spans="1:8" ht="14.1" customHeight="1" x14ac:dyDescent="0.2">
      <c r="A32" s="15" t="s">
        <v>124</v>
      </c>
      <c r="B32" s="139">
        <f>'- 29 -'!$D32</f>
        <v>2038482</v>
      </c>
      <c r="C32" s="139">
        <v>1476</v>
      </c>
      <c r="D32" s="139">
        <f t="shared" ca="1" si="0"/>
        <v>1381.0853658536585</v>
      </c>
      <c r="E32" s="139">
        <v>1064182</v>
      </c>
      <c r="F32" s="145">
        <f t="shared" ca="1" si="1"/>
        <v>1.9155388833864884</v>
      </c>
      <c r="G32" s="139">
        <v>679351</v>
      </c>
      <c r="H32" s="145">
        <f t="shared" ca="1" si="2"/>
        <v>3.000631485049702</v>
      </c>
    </row>
    <row r="33" spans="1:8" ht="14.1" customHeight="1" x14ac:dyDescent="0.2">
      <c r="A33" s="271" t="s">
        <v>125</v>
      </c>
      <c r="B33" s="303">
        <f>'- 29 -'!$D33</f>
        <v>2182700</v>
      </c>
      <c r="C33" s="303">
        <v>1110</v>
      </c>
      <c r="D33" s="303">
        <f t="shared" ca="1" si="0"/>
        <v>1966.3963963963963</v>
      </c>
      <c r="E33" s="303">
        <v>1500000</v>
      </c>
      <c r="F33" s="304">
        <f t="shared" ca="1" si="1"/>
        <v>1.4551333333333334</v>
      </c>
      <c r="G33" s="303">
        <v>900000</v>
      </c>
      <c r="H33" s="304">
        <f t="shared" ca="1" si="2"/>
        <v>2.4252222222222222</v>
      </c>
    </row>
    <row r="34" spans="1:8" ht="14.1" customHeight="1" x14ac:dyDescent="0.2">
      <c r="A34" s="15" t="s">
        <v>126</v>
      </c>
      <c r="B34" s="139">
        <f>'- 29 -'!$D34</f>
        <v>2586889</v>
      </c>
      <c r="C34" s="139">
        <v>1231</v>
      </c>
      <c r="D34" s="139">
        <f t="shared" ca="1" si="0"/>
        <v>2101.4532900081235</v>
      </c>
      <c r="E34" s="139">
        <v>1402200</v>
      </c>
      <c r="F34" s="145">
        <f t="shared" ca="1" si="1"/>
        <v>1.8448787619455143</v>
      </c>
      <c r="G34" s="139">
        <v>940728</v>
      </c>
      <c r="H34" s="145">
        <f t="shared" ca="1" si="2"/>
        <v>2.7498798802629452</v>
      </c>
    </row>
    <row r="35" spans="1:8" ht="14.1" customHeight="1" x14ac:dyDescent="0.2">
      <c r="A35" s="271" t="s">
        <v>127</v>
      </c>
      <c r="B35" s="303">
        <f>'- 29 -'!$D35</f>
        <v>4016500</v>
      </c>
      <c r="C35" s="303">
        <v>3500</v>
      </c>
      <c r="D35" s="303">
        <f t="shared" ca="1" si="0"/>
        <v>1147.5714285714287</v>
      </c>
      <c r="E35" s="303">
        <v>1025000</v>
      </c>
      <c r="F35" s="304">
        <f t="shared" ca="1" si="1"/>
        <v>3.9185365853658536</v>
      </c>
      <c r="G35" s="303">
        <v>475000</v>
      </c>
      <c r="H35" s="304">
        <f t="shared" ca="1" si="2"/>
        <v>8.4557894736842112</v>
      </c>
    </row>
    <row r="36" spans="1:8" ht="14.1" customHeight="1" x14ac:dyDescent="0.2">
      <c r="A36" s="15" t="s">
        <v>128</v>
      </c>
      <c r="B36" s="139">
        <f>'- 29 -'!$D36</f>
        <v>1467350</v>
      </c>
      <c r="C36" s="139">
        <v>890</v>
      </c>
      <c r="D36" s="139">
        <f t="shared" ca="1" si="0"/>
        <v>1648.7078651685392</v>
      </c>
      <c r="E36" s="139">
        <v>785587</v>
      </c>
      <c r="F36" s="145">
        <f t="shared" ca="1" si="1"/>
        <v>1.8678389535468383</v>
      </c>
      <c r="G36" s="139">
        <v>497233</v>
      </c>
      <c r="H36" s="145">
        <f t="shared" ca="1" si="2"/>
        <v>2.9510310055849067</v>
      </c>
    </row>
    <row r="37" spans="1:8" ht="14.1" customHeight="1" x14ac:dyDescent="0.2">
      <c r="A37" s="271" t="s">
        <v>129</v>
      </c>
      <c r="B37" s="303">
        <f>'- 29 -'!$D37</f>
        <v>3004500</v>
      </c>
      <c r="C37" s="303">
        <v>2950</v>
      </c>
      <c r="D37" s="303">
        <f t="shared" ca="1" si="0"/>
        <v>1018.4745762711865</v>
      </c>
      <c r="E37" s="303">
        <v>1460000</v>
      </c>
      <c r="F37" s="304">
        <f t="shared" ca="1" si="1"/>
        <v>2.0578767123287673</v>
      </c>
      <c r="G37" s="303">
        <v>925000</v>
      </c>
      <c r="H37" s="304">
        <f t="shared" ca="1" si="2"/>
        <v>3.248108108108108</v>
      </c>
    </row>
    <row r="38" spans="1:8" ht="14.1" customHeight="1" x14ac:dyDescent="0.2">
      <c r="A38" s="15" t="s">
        <v>130</v>
      </c>
      <c r="B38" s="139">
        <f>'- 29 -'!$D38</f>
        <v>2849780</v>
      </c>
      <c r="C38" s="139">
        <v>2825</v>
      </c>
      <c r="D38" s="139">
        <f t="shared" ca="1" si="0"/>
        <v>1008.7716814159292</v>
      </c>
      <c r="E38" s="139">
        <v>594272</v>
      </c>
      <c r="F38" s="145">
        <f t="shared" ca="1" si="1"/>
        <v>4.7954135480049542</v>
      </c>
      <c r="G38" s="139">
        <v>428652</v>
      </c>
      <c r="H38" s="145">
        <f t="shared" ca="1" si="2"/>
        <v>6.6482367981486146</v>
      </c>
    </row>
    <row r="39" spans="1:8" ht="14.1" customHeight="1" x14ac:dyDescent="0.2">
      <c r="A39" s="271" t="s">
        <v>131</v>
      </c>
      <c r="B39" s="303">
        <f>'- 29 -'!$D39</f>
        <v>1980100</v>
      </c>
      <c r="C39" s="303">
        <v>816</v>
      </c>
      <c r="D39" s="303">
        <f t="shared" ca="1" si="0"/>
        <v>2426.5931372549021</v>
      </c>
      <c r="E39" s="303">
        <v>1136600</v>
      </c>
      <c r="F39" s="304">
        <f t="shared" ca="1" si="1"/>
        <v>1.7421256378673236</v>
      </c>
      <c r="G39" s="303">
        <v>724700</v>
      </c>
      <c r="H39" s="304">
        <f t="shared" ca="1" si="2"/>
        <v>2.7323030219401132</v>
      </c>
    </row>
    <row r="40" spans="1:8" ht="14.1" customHeight="1" x14ac:dyDescent="0.2">
      <c r="A40" s="15" t="s">
        <v>132</v>
      </c>
      <c r="B40" s="139">
        <f>'- 29 -'!$D40</f>
        <v>2356943</v>
      </c>
      <c r="C40" s="139">
        <v>2140</v>
      </c>
      <c r="D40" s="139">
        <f t="shared" ca="1" si="0"/>
        <v>1101.3752336448599</v>
      </c>
      <c r="E40" s="139">
        <v>634432</v>
      </c>
      <c r="F40" s="145">
        <f t="shared" ca="1" si="1"/>
        <v>3.7150443231110661</v>
      </c>
      <c r="G40" s="139">
        <v>296037</v>
      </c>
      <c r="H40" s="145">
        <f t="shared" ca="1" si="2"/>
        <v>7.9616500640122689</v>
      </c>
    </row>
    <row r="41" spans="1:8" ht="14.1" customHeight="1" x14ac:dyDescent="0.2">
      <c r="A41" s="271" t="s">
        <v>133</v>
      </c>
      <c r="B41" s="303">
        <f>'- 29 -'!$D41</f>
        <v>4710498</v>
      </c>
      <c r="C41" s="303">
        <v>3738</v>
      </c>
      <c r="D41" s="303">
        <f t="shared" ca="1" si="0"/>
        <v>1260.1653290529696</v>
      </c>
      <c r="E41" s="303">
        <v>2498310</v>
      </c>
      <c r="F41" s="304">
        <f t="shared" ca="1" si="1"/>
        <v>1.8854737802754662</v>
      </c>
      <c r="G41" s="303">
        <v>1541280</v>
      </c>
      <c r="H41" s="304">
        <f t="shared" ca="1" si="2"/>
        <v>3.0562246963562751</v>
      </c>
    </row>
    <row r="42" spans="1:8" ht="14.1" customHeight="1" x14ac:dyDescent="0.2">
      <c r="A42" s="15" t="s">
        <v>134</v>
      </c>
      <c r="B42" s="139">
        <f>'- 29 -'!$D42</f>
        <v>1673797</v>
      </c>
      <c r="C42" s="139">
        <v>1272</v>
      </c>
      <c r="D42" s="139">
        <f t="shared" ca="1" si="0"/>
        <v>1315.8781446540881</v>
      </c>
      <c r="E42" s="139">
        <v>806520</v>
      </c>
      <c r="F42" s="145">
        <f t="shared" ca="1" si="1"/>
        <v>2.0753322918216535</v>
      </c>
      <c r="G42" s="139">
        <v>669703</v>
      </c>
      <c r="H42" s="145">
        <f t="shared" ca="1" si="2"/>
        <v>2.4993123817572864</v>
      </c>
    </row>
    <row r="43" spans="1:8" ht="14.1" customHeight="1" x14ac:dyDescent="0.2">
      <c r="A43" s="271" t="s">
        <v>135</v>
      </c>
      <c r="B43" s="303">
        <f>'- 29 -'!$D43</f>
        <v>1002619</v>
      </c>
      <c r="C43" s="303">
        <v>532</v>
      </c>
      <c r="D43" s="303">
        <f t="shared" ca="1" si="0"/>
        <v>1884.6221804511279</v>
      </c>
      <c r="E43" s="303">
        <v>640472</v>
      </c>
      <c r="F43" s="304">
        <f t="shared" ca="1" si="1"/>
        <v>1.5654376772130554</v>
      </c>
      <c r="G43" s="303">
        <v>405424</v>
      </c>
      <c r="H43" s="304">
        <f t="shared" ca="1" si="2"/>
        <v>2.4730134377836537</v>
      </c>
    </row>
    <row r="44" spans="1:8" ht="14.1" customHeight="1" x14ac:dyDescent="0.2">
      <c r="A44" s="15" t="s">
        <v>136</v>
      </c>
      <c r="B44" s="139">
        <f>'- 29 -'!$D44</f>
        <v>1135394</v>
      </c>
      <c r="C44" s="139">
        <v>422</v>
      </c>
      <c r="D44" s="139">
        <f t="shared" ca="1" si="0"/>
        <v>2690.5071090047395</v>
      </c>
      <c r="E44" s="139">
        <v>696132</v>
      </c>
      <c r="F44" s="145">
        <f t="shared" ca="1" si="1"/>
        <v>1.6310038900668264</v>
      </c>
      <c r="G44" s="139">
        <v>476678</v>
      </c>
      <c r="H44" s="145">
        <f t="shared" ca="1" si="2"/>
        <v>2.3818888222238073</v>
      </c>
    </row>
    <row r="45" spans="1:8" ht="14.1" customHeight="1" x14ac:dyDescent="0.2">
      <c r="A45" s="271" t="s">
        <v>137</v>
      </c>
      <c r="B45" s="303">
        <f>'- 29 -'!$D45</f>
        <v>702643</v>
      </c>
      <c r="C45" s="303">
        <v>950</v>
      </c>
      <c r="D45" s="303">
        <f t="shared" ca="1" si="0"/>
        <v>739.62421052631578</v>
      </c>
      <c r="E45" s="303">
        <v>280000</v>
      </c>
      <c r="F45" s="304">
        <f t="shared" ca="1" si="1"/>
        <v>2.5094392857142855</v>
      </c>
      <c r="G45" s="303">
        <v>168000</v>
      </c>
      <c r="H45" s="304">
        <f t="shared" ca="1" si="2"/>
        <v>4.1823988095238098</v>
      </c>
    </row>
    <row r="46" spans="1:8" ht="14.1" customHeight="1" x14ac:dyDescent="0.2">
      <c r="A46" s="15" t="s">
        <v>138</v>
      </c>
      <c r="B46" s="139">
        <f>'- 29 -'!$D46</f>
        <v>5377700</v>
      </c>
      <c r="C46" s="139">
        <v>2592</v>
      </c>
      <c r="D46" s="139">
        <f t="shared" ca="1" si="0"/>
        <v>2074.7299382716051</v>
      </c>
      <c r="E46" s="139">
        <v>937478</v>
      </c>
      <c r="F46" s="145">
        <f t="shared" ca="1" si="1"/>
        <v>5.7363479462984728</v>
      </c>
      <c r="G46" s="139">
        <v>588361</v>
      </c>
      <c r="H46" s="145">
        <f t="shared" ca="1" si="2"/>
        <v>9.1401367527759323</v>
      </c>
    </row>
    <row r="47" spans="1:8" ht="5.0999999999999996" customHeight="1" x14ac:dyDescent="0.2">
      <c r="A47"/>
      <c r="B47"/>
      <c r="C47"/>
      <c r="D47"/>
      <c r="E47"/>
      <c r="F47"/>
      <c r="G47"/>
      <c r="H47"/>
    </row>
    <row r="48" spans="1:8" ht="14.1" customHeight="1" x14ac:dyDescent="0.2">
      <c r="A48" s="274" t="s">
        <v>139</v>
      </c>
      <c r="B48" s="305">
        <f>SUM(B11:B46)</f>
        <v>87763613</v>
      </c>
      <c r="C48" s="305">
        <f>SUM(C11:C46)</f>
        <v>66036</v>
      </c>
      <c r="D48" s="305">
        <f>B48/C48</f>
        <v>1329.0267884184384</v>
      </c>
      <c r="E48" s="305">
        <f>SUM(E11:E46)</f>
        <v>35500429</v>
      </c>
      <c r="F48" s="306">
        <f>B48/E48</f>
        <v>2.472184575572312</v>
      </c>
      <c r="G48" s="305">
        <f>SUM(G11:G46)</f>
        <v>22008342</v>
      </c>
      <c r="H48" s="306">
        <f>B48/G48</f>
        <v>3.9877430567009546</v>
      </c>
    </row>
    <row r="49" spans="1:8" ht="5.0999999999999996" customHeight="1" x14ac:dyDescent="0.2">
      <c r="A49" s="17" t="s">
        <v>1</v>
      </c>
      <c r="B49" s="140"/>
      <c r="C49" s="140"/>
      <c r="D49" s="140"/>
      <c r="E49" s="140"/>
      <c r="F49" s="79"/>
      <c r="G49" s="140"/>
      <c r="H49" s="79"/>
    </row>
    <row r="50" spans="1:8" ht="14.1" customHeight="1" x14ac:dyDescent="0.2">
      <c r="A50" s="15" t="s">
        <v>140</v>
      </c>
      <c r="B50" s="139">
        <f>'- 29 -'!$D50</f>
        <v>0</v>
      </c>
      <c r="C50" s="361" t="s">
        <v>84</v>
      </c>
      <c r="D50" s="139" t="str">
        <f ca="1">IF(AND(CELL("type",C50)="v",C50&gt;0),B50/C50,"")</f>
        <v/>
      </c>
      <c r="E50" s="361" t="s">
        <v>84</v>
      </c>
      <c r="F50" s="145" t="str">
        <f ca="1">IF(AND(CELL("type",E50)="v",E50&gt;0),B50/E50,"")</f>
        <v/>
      </c>
      <c r="G50" s="361" t="s">
        <v>84</v>
      </c>
      <c r="H50" s="145" t="str">
        <f ca="1">IF(AND(CELL("type",G50)="v",G50&gt;0),B50/G50,"")</f>
        <v/>
      </c>
    </row>
    <row r="51" spans="1:8" ht="14.1" customHeight="1" x14ac:dyDescent="0.2">
      <c r="A51" s="360" t="s">
        <v>516</v>
      </c>
      <c r="B51" s="303">
        <f>'- 29 -'!$D51</f>
        <v>0</v>
      </c>
      <c r="C51" s="303">
        <v>0</v>
      </c>
      <c r="D51" s="303" t="str">
        <f ca="1">IF(AND(CELL("type",C51)="v",C51&gt;0),B51/C51,"")</f>
        <v/>
      </c>
      <c r="E51" s="303">
        <v>0</v>
      </c>
      <c r="F51" s="304" t="str">
        <f ca="1">IF(AND(CELL("type",E51)="v",E51&gt;0),B51/E51,"")</f>
        <v/>
      </c>
      <c r="G51" s="303">
        <v>0</v>
      </c>
      <c r="H51" s="304" t="str">
        <f ca="1">IF(AND(CELL("type",G51)="v",G51&gt;0),B51/G51,"")</f>
        <v/>
      </c>
    </row>
    <row r="52" spans="1:8" ht="50.1" customHeight="1" x14ac:dyDescent="0.2"/>
    <row r="53" spans="1:8" ht="15" customHeight="1" x14ac:dyDescent="0.2"/>
    <row r="54" spans="1:8" ht="14.45" customHeight="1" x14ac:dyDescent="0.2"/>
    <row r="55" spans="1:8" ht="14.45" customHeight="1" x14ac:dyDescent="0.2"/>
    <row r="56" spans="1:8" ht="14.45" customHeight="1" x14ac:dyDescent="0.2"/>
    <row r="57" spans="1:8" ht="14.45" customHeight="1" x14ac:dyDescent="0.2"/>
    <row r="58" spans="1:8" ht="14.45" customHeight="1" x14ac:dyDescent="0.2"/>
    <row r="59" spans="1:8" ht="14.45" customHeight="1" x14ac:dyDescent="0.2"/>
  </sheetData>
  <mergeCells count="8">
    <mergeCell ref="B6:H6"/>
    <mergeCell ref="B7:H7"/>
    <mergeCell ref="C8:C9"/>
    <mergeCell ref="D8:D9"/>
    <mergeCell ref="E8:E9"/>
    <mergeCell ref="F8:F9"/>
    <mergeCell ref="G8:G9"/>
    <mergeCell ref="H8:H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BB59"/>
  <sheetViews>
    <sheetView showGridLines="0" showZeros="0" workbookViewId="0"/>
  </sheetViews>
  <sheetFormatPr defaultColWidth="15.83203125" defaultRowHeight="12" x14ac:dyDescent="0.2"/>
  <cols>
    <col min="1" max="1" width="35.83203125" style="1" customWidth="1"/>
    <col min="2" max="2" width="22.83203125" style="1" customWidth="1"/>
    <col min="3" max="3" width="19.83203125" style="1" customWidth="1"/>
    <col min="4" max="4" width="15.83203125" style="1"/>
    <col min="5" max="5" width="38.83203125" style="1" customWidth="1"/>
    <col min="6" max="16384" width="15.83203125" style="1"/>
  </cols>
  <sheetData>
    <row r="1" spans="1:54" ht="6.95" customHeight="1" x14ac:dyDescent="0.2">
      <c r="A1" s="3"/>
      <c r="B1" s="4"/>
      <c r="C1" s="4"/>
      <c r="D1" s="4"/>
      <c r="E1" s="4"/>
    </row>
    <row r="2" spans="1:54" ht="15.95" customHeight="1" x14ac:dyDescent="0.2">
      <c r="A2" s="132"/>
      <c r="B2" s="5" t="str">
        <f>IF(Lang=1,BA2,BB2)</f>
        <v>ANALYSIS OF  TRANSPORTATION EXPENSES (CONT'D)</v>
      </c>
      <c r="C2" s="6"/>
      <c r="D2" s="6"/>
      <c r="E2" s="146"/>
      <c r="BA2" s="456" t="s">
        <v>256</v>
      </c>
      <c r="BB2" s="456" t="s">
        <v>437</v>
      </c>
    </row>
    <row r="3" spans="1:54" ht="15.95" customHeight="1" x14ac:dyDescent="0.2">
      <c r="A3" s="135"/>
      <c r="B3" s="7" t="str">
        <f>OPYEAR</f>
        <v>OPERATING FUND 2017/2018 BUDGET</v>
      </c>
      <c r="C3" s="8"/>
      <c r="D3" s="8"/>
      <c r="E3" s="147"/>
    </row>
    <row r="4" spans="1:54" ht="15.95" customHeight="1" x14ac:dyDescent="0.2">
      <c r="B4" s="4"/>
      <c r="C4" s="4"/>
      <c r="D4" s="4"/>
      <c r="E4" s="4"/>
    </row>
    <row r="5" spans="1:54" ht="15.95" customHeight="1" x14ac:dyDescent="0.2">
      <c r="B5" s="4"/>
      <c r="C5" s="4"/>
      <c r="D5" s="4"/>
      <c r="E5" s="4"/>
    </row>
    <row r="6" spans="1:54" ht="15.95" customHeight="1" x14ac:dyDescent="0.2">
      <c r="B6" s="626" t="s">
        <v>12</v>
      </c>
      <c r="C6" s="628"/>
      <c r="D6" s="613"/>
    </row>
    <row r="7" spans="1:54" ht="15.95" customHeight="1" x14ac:dyDescent="0.2">
      <c r="B7" s="627" t="s">
        <v>27</v>
      </c>
      <c r="C7" s="629"/>
      <c r="D7" s="615"/>
    </row>
    <row r="8" spans="1:54" ht="15.95" customHeight="1" x14ac:dyDescent="0.2">
      <c r="A8" s="82"/>
      <c r="B8" s="148"/>
      <c r="C8" s="702" t="s">
        <v>435</v>
      </c>
      <c r="D8" s="702" t="s">
        <v>434</v>
      </c>
    </row>
    <row r="9" spans="1:54" ht="15.95" customHeight="1" x14ac:dyDescent="0.2">
      <c r="A9" s="27" t="s">
        <v>37</v>
      </c>
      <c r="B9" s="89" t="s">
        <v>38</v>
      </c>
      <c r="C9" s="701"/>
      <c r="D9" s="701"/>
    </row>
    <row r="10" spans="1:54" ht="5.0999999999999996" customHeight="1" x14ac:dyDescent="0.2">
      <c r="A10" s="29"/>
    </row>
    <row r="11" spans="1:54" ht="14.1" customHeight="1" x14ac:dyDescent="0.2">
      <c r="A11" s="271" t="s">
        <v>104</v>
      </c>
      <c r="B11" s="303">
        <f>SUM('- 29 -'!$B11,'- 29 -'!$D11,'- 30 -'!$D11)</f>
        <v>1318400</v>
      </c>
      <c r="C11" s="303">
        <v>641000</v>
      </c>
      <c r="D11" s="304">
        <f ca="1">IF(AND(CELL("type",C11)="v",C11&gt;0),B11/C11,"")</f>
        <v>2.056786271450858</v>
      </c>
      <c r="E11" s="149"/>
    </row>
    <row r="12" spans="1:54" ht="14.1" customHeight="1" x14ac:dyDescent="0.2">
      <c r="A12" s="15" t="s">
        <v>105</v>
      </c>
      <c r="B12" s="139">
        <f>SUM('- 29 -'!$B12,'- 29 -'!$D12,'- 30 -'!$D12)</f>
        <v>2578405</v>
      </c>
      <c r="C12" s="139">
        <v>1427000</v>
      </c>
      <c r="D12" s="145">
        <f t="shared" ref="D12:D46" ca="1" si="0">IF(AND(CELL("type",C12)="v",C12&gt;0),B12/C12,"")</f>
        <v>1.8068710581639804</v>
      </c>
      <c r="E12" s="149"/>
    </row>
    <row r="13" spans="1:54" ht="14.1" customHeight="1" x14ac:dyDescent="0.2">
      <c r="A13" s="271" t="s">
        <v>106</v>
      </c>
      <c r="B13" s="303">
        <f>SUM('- 29 -'!$B13,'- 29 -'!$D13,'- 30 -'!$D13)</f>
        <v>2509500</v>
      </c>
      <c r="C13" s="303">
        <v>840000</v>
      </c>
      <c r="D13" s="304">
        <f t="shared" ca="1" si="0"/>
        <v>2.9874999999999998</v>
      </c>
      <c r="E13" s="149"/>
    </row>
    <row r="14" spans="1:54" ht="14.1" customHeight="1" x14ac:dyDescent="0.2">
      <c r="A14" s="15" t="s">
        <v>315</v>
      </c>
      <c r="B14" s="139">
        <f>SUM('- 29 -'!$B14,'- 29 -'!$D14,'- 30 -'!$D14)</f>
        <v>9041709</v>
      </c>
      <c r="C14" s="361" t="s">
        <v>84</v>
      </c>
      <c r="D14" s="145" t="str">
        <f t="shared" ca="1" si="0"/>
        <v/>
      </c>
      <c r="E14" s="149"/>
    </row>
    <row r="15" spans="1:54" ht="14.1" customHeight="1" x14ac:dyDescent="0.2">
      <c r="A15" s="271" t="s">
        <v>107</v>
      </c>
      <c r="B15" s="303">
        <f>SUM('- 29 -'!$B15,'- 29 -'!$D15,'- 30 -'!$D15)</f>
        <v>1575250</v>
      </c>
      <c r="C15" s="303">
        <v>850000</v>
      </c>
      <c r="D15" s="304">
        <f t="shared" ca="1" si="0"/>
        <v>1.8532352941176471</v>
      </c>
      <c r="E15" s="149"/>
    </row>
    <row r="16" spans="1:54" ht="14.1" customHeight="1" x14ac:dyDescent="0.2">
      <c r="A16" s="15" t="s">
        <v>108</v>
      </c>
      <c r="B16" s="139">
        <f>SUM('- 29 -'!$B16,'- 29 -'!$D16,'- 30 -'!$D16)</f>
        <v>570323</v>
      </c>
      <c r="C16" s="139">
        <v>59094</v>
      </c>
      <c r="D16" s="145">
        <f t="shared" ca="1" si="0"/>
        <v>9.6511151724371338</v>
      </c>
      <c r="E16" s="149"/>
    </row>
    <row r="17" spans="1:5" ht="14.1" customHeight="1" x14ac:dyDescent="0.2">
      <c r="A17" s="271" t="s">
        <v>109</v>
      </c>
      <c r="B17" s="303">
        <f>SUM('- 29 -'!$B17,'- 29 -'!$D17,'- 30 -'!$D17)</f>
        <v>1419562</v>
      </c>
      <c r="C17" s="303">
        <v>890378</v>
      </c>
      <c r="D17" s="304">
        <f t="shared" ca="1" si="0"/>
        <v>1.5943363380496822</v>
      </c>
      <c r="E17" s="149"/>
    </row>
    <row r="18" spans="1:5" ht="14.1" customHeight="1" x14ac:dyDescent="0.2">
      <c r="A18" s="15" t="s">
        <v>110</v>
      </c>
      <c r="B18" s="139">
        <f>SUM('- 29 -'!$B18,'- 29 -'!$D18,'- 30 -'!$D18)</f>
        <v>8666980</v>
      </c>
      <c r="C18" s="139">
        <v>1800300</v>
      </c>
      <c r="D18" s="145">
        <f t="shared" ca="1" si="0"/>
        <v>4.8141865244681439</v>
      </c>
      <c r="E18" s="149"/>
    </row>
    <row r="19" spans="1:5" ht="14.1" customHeight="1" x14ac:dyDescent="0.2">
      <c r="A19" s="271" t="s">
        <v>111</v>
      </c>
      <c r="B19" s="303">
        <f>SUM('- 29 -'!$B19,'- 29 -'!$D19,'- 30 -'!$D19)</f>
        <v>3247330</v>
      </c>
      <c r="C19" s="303">
        <v>970000</v>
      </c>
      <c r="D19" s="304">
        <f t="shared" ca="1" si="0"/>
        <v>3.3477628865979381</v>
      </c>
      <c r="E19" s="149"/>
    </row>
    <row r="20" spans="1:5" ht="14.1" customHeight="1" x14ac:dyDescent="0.2">
      <c r="A20" s="15" t="s">
        <v>112</v>
      </c>
      <c r="B20" s="139">
        <f>SUM('- 29 -'!$B20,'- 29 -'!$D20,'- 30 -'!$D20)</f>
        <v>3956000</v>
      </c>
      <c r="C20" s="139">
        <v>1889134</v>
      </c>
      <c r="D20" s="145">
        <f t="shared" ca="1" si="0"/>
        <v>2.0940812033450249</v>
      </c>
      <c r="E20" s="149"/>
    </row>
    <row r="21" spans="1:5" ht="14.1" customHeight="1" x14ac:dyDescent="0.2">
      <c r="A21" s="271" t="s">
        <v>113</v>
      </c>
      <c r="B21" s="303">
        <f>SUM('- 29 -'!$B21,'- 29 -'!$D21,'- 30 -'!$D21)</f>
        <v>2203000</v>
      </c>
      <c r="C21" s="303">
        <v>990000</v>
      </c>
      <c r="D21" s="304">
        <f t="shared" ca="1" si="0"/>
        <v>2.2252525252525253</v>
      </c>
      <c r="E21" s="149"/>
    </row>
    <row r="22" spans="1:5" ht="14.1" customHeight="1" x14ac:dyDescent="0.2">
      <c r="A22" s="15" t="s">
        <v>114</v>
      </c>
      <c r="B22" s="139">
        <f>SUM('- 29 -'!$B22,'- 29 -'!$D22,'- 30 -'!$D22)</f>
        <v>630294</v>
      </c>
      <c r="C22" s="139">
        <v>185469</v>
      </c>
      <c r="D22" s="145">
        <f t="shared" ca="1" si="0"/>
        <v>3.3983792439706906</v>
      </c>
      <c r="E22" s="149"/>
    </row>
    <row r="23" spans="1:5" ht="14.1" customHeight="1" x14ac:dyDescent="0.2">
      <c r="A23" s="271" t="s">
        <v>115</v>
      </c>
      <c r="B23" s="303">
        <f>SUM('- 29 -'!$B23,'- 29 -'!$D23,'- 30 -'!$D23)</f>
        <v>1696315</v>
      </c>
      <c r="C23" s="303">
        <v>964556</v>
      </c>
      <c r="D23" s="304">
        <f t="shared" ca="1" si="0"/>
        <v>1.7586485388095663</v>
      </c>
      <c r="E23" s="149"/>
    </row>
    <row r="24" spans="1:5" ht="14.1" customHeight="1" x14ac:dyDescent="0.2">
      <c r="A24" s="15" t="s">
        <v>116</v>
      </c>
      <c r="B24" s="139">
        <f>SUM('- 29 -'!$B24,'- 29 -'!$D24,'- 30 -'!$D24)</f>
        <v>2695595</v>
      </c>
      <c r="C24" s="139">
        <v>1085717</v>
      </c>
      <c r="D24" s="145">
        <f t="shared" ca="1" si="0"/>
        <v>2.482778661474399</v>
      </c>
      <c r="E24" s="149"/>
    </row>
    <row r="25" spans="1:5" ht="14.1" customHeight="1" x14ac:dyDescent="0.2">
      <c r="A25" s="271" t="s">
        <v>117</v>
      </c>
      <c r="B25" s="303">
        <f>SUM('- 29 -'!$B25,'- 29 -'!$D25,'- 30 -'!$D25)</f>
        <v>4062254</v>
      </c>
      <c r="C25" s="303">
        <v>910000</v>
      </c>
      <c r="D25" s="304">
        <f t="shared" ca="1" si="0"/>
        <v>4.4640153846153847</v>
      </c>
      <c r="E25" s="149"/>
    </row>
    <row r="26" spans="1:5" ht="14.1" customHeight="1" x14ac:dyDescent="0.2">
      <c r="A26" s="15" t="s">
        <v>118</v>
      </c>
      <c r="B26" s="139">
        <f>SUM('- 29 -'!$B26,'- 29 -'!$D26,'- 30 -'!$D26)</f>
        <v>3162487</v>
      </c>
      <c r="C26" s="139">
        <v>1364243</v>
      </c>
      <c r="D26" s="145">
        <f t="shared" ca="1" si="0"/>
        <v>2.3181258764017847</v>
      </c>
      <c r="E26" s="149"/>
    </row>
    <row r="27" spans="1:5" ht="14.1" customHeight="1" x14ac:dyDescent="0.2">
      <c r="A27" s="271" t="s">
        <v>119</v>
      </c>
      <c r="B27" s="303">
        <f>SUM('- 29 -'!$B27,'- 29 -'!$D27,'- 30 -'!$D27)</f>
        <v>130000</v>
      </c>
      <c r="C27" s="307" t="s">
        <v>84</v>
      </c>
      <c r="D27" s="304" t="str">
        <f t="shared" ca="1" si="0"/>
        <v/>
      </c>
      <c r="E27" s="149"/>
    </row>
    <row r="28" spans="1:5" ht="14.1" customHeight="1" x14ac:dyDescent="0.2">
      <c r="A28" s="15" t="s">
        <v>120</v>
      </c>
      <c r="B28" s="139">
        <f>SUM('- 29 -'!$B28,'- 29 -'!$D28,'- 30 -'!$D28)</f>
        <v>1994985</v>
      </c>
      <c r="C28" s="139">
        <v>1150000</v>
      </c>
      <c r="D28" s="145">
        <f t="shared" ca="1" si="0"/>
        <v>1.7347695652173913</v>
      </c>
      <c r="E28" s="149"/>
    </row>
    <row r="29" spans="1:5" ht="14.1" customHeight="1" x14ac:dyDescent="0.2">
      <c r="A29" s="271" t="s">
        <v>121</v>
      </c>
      <c r="B29" s="303">
        <f>SUM('- 29 -'!$B29,'- 29 -'!$D29,'- 30 -'!$D29)</f>
        <v>3372700</v>
      </c>
      <c r="C29" s="303">
        <v>847000</v>
      </c>
      <c r="D29" s="304">
        <f t="shared" ca="1" si="0"/>
        <v>3.9819362455726091</v>
      </c>
      <c r="E29" s="149"/>
    </row>
    <row r="30" spans="1:5" ht="14.1" customHeight="1" x14ac:dyDescent="0.2">
      <c r="A30" s="15" t="s">
        <v>122</v>
      </c>
      <c r="B30" s="139">
        <f>SUM('- 29 -'!$B30,'- 29 -'!$D30,'- 30 -'!$D30)</f>
        <v>1281680</v>
      </c>
      <c r="C30" s="139">
        <v>788767</v>
      </c>
      <c r="D30" s="145">
        <f t="shared" ca="1" si="0"/>
        <v>1.6249158496742384</v>
      </c>
      <c r="E30" s="149"/>
    </row>
    <row r="31" spans="1:5" ht="14.1" customHeight="1" x14ac:dyDescent="0.2">
      <c r="A31" s="271" t="s">
        <v>123</v>
      </c>
      <c r="B31" s="303">
        <f>SUM('- 29 -'!$B31,'- 29 -'!$D31,'- 30 -'!$D31)</f>
        <v>1082554</v>
      </c>
      <c r="C31" s="303">
        <v>612000</v>
      </c>
      <c r="D31" s="304">
        <f t="shared" ca="1" si="0"/>
        <v>1.7688790849673202</v>
      </c>
      <c r="E31" s="149"/>
    </row>
    <row r="32" spans="1:5" ht="14.1" customHeight="1" x14ac:dyDescent="0.2">
      <c r="A32" s="15" t="s">
        <v>124</v>
      </c>
      <c r="B32" s="139">
        <f>SUM('- 29 -'!$B32,'- 29 -'!$D32,'- 30 -'!$D32)</f>
        <v>2288925</v>
      </c>
      <c r="C32" s="139">
        <v>1268631</v>
      </c>
      <c r="D32" s="145">
        <f t="shared" ca="1" si="0"/>
        <v>1.8042480437574047</v>
      </c>
      <c r="E32" s="149"/>
    </row>
    <row r="33" spans="1:5" ht="14.1" customHeight="1" x14ac:dyDescent="0.2">
      <c r="A33" s="271" t="s">
        <v>125</v>
      </c>
      <c r="B33" s="303">
        <f>SUM('- 29 -'!$B33,'- 29 -'!$D33,'- 30 -'!$D33)</f>
        <v>2388300</v>
      </c>
      <c r="C33" s="303">
        <v>1550000</v>
      </c>
      <c r="D33" s="304">
        <f t="shared" ca="1" si="0"/>
        <v>1.5408387096774194</v>
      </c>
      <c r="E33" s="149"/>
    </row>
    <row r="34" spans="1:5" ht="14.1" customHeight="1" x14ac:dyDescent="0.2">
      <c r="A34" s="15" t="s">
        <v>126</v>
      </c>
      <c r="B34" s="139">
        <f>SUM('- 29 -'!$B34,'- 29 -'!$D34,'- 30 -'!$D34)</f>
        <v>2981584</v>
      </c>
      <c r="C34" s="139">
        <v>1294700</v>
      </c>
      <c r="D34" s="145">
        <f t="shared" ca="1" si="0"/>
        <v>2.302914960994825</v>
      </c>
      <c r="E34" s="149"/>
    </row>
    <row r="35" spans="1:5" ht="14.1" customHeight="1" x14ac:dyDescent="0.2">
      <c r="A35" s="271" t="s">
        <v>127</v>
      </c>
      <c r="B35" s="303">
        <f>SUM('- 29 -'!$B35,'- 29 -'!$D35,'- 30 -'!$D35)</f>
        <v>4566741</v>
      </c>
      <c r="C35" s="303">
        <v>1250000</v>
      </c>
      <c r="D35" s="304">
        <f t="shared" ca="1" si="0"/>
        <v>3.6533928000000002</v>
      </c>
      <c r="E35" s="149"/>
    </row>
    <row r="36" spans="1:5" ht="14.1" customHeight="1" x14ac:dyDescent="0.2">
      <c r="A36" s="15" t="s">
        <v>128</v>
      </c>
      <c r="B36" s="139">
        <f>SUM('- 29 -'!$B36,'- 29 -'!$D36,'- 30 -'!$D36)</f>
        <v>1628210</v>
      </c>
      <c r="C36" s="139">
        <v>817010</v>
      </c>
      <c r="D36" s="145">
        <f t="shared" ca="1" si="0"/>
        <v>1.9928887039326324</v>
      </c>
      <c r="E36" s="149"/>
    </row>
    <row r="37" spans="1:5" ht="14.1" customHeight="1" x14ac:dyDescent="0.2">
      <c r="A37" s="271" t="s">
        <v>129</v>
      </c>
      <c r="B37" s="303">
        <f>SUM('- 29 -'!$B37,'- 29 -'!$D37,'- 30 -'!$D37)</f>
        <v>3306897</v>
      </c>
      <c r="C37" s="303">
        <v>1480000</v>
      </c>
      <c r="D37" s="304">
        <f t="shared" ca="1" si="0"/>
        <v>2.2343898648648648</v>
      </c>
      <c r="E37" s="149"/>
    </row>
    <row r="38" spans="1:5" ht="14.1" customHeight="1" x14ac:dyDescent="0.2">
      <c r="A38" s="15" t="s">
        <v>130</v>
      </c>
      <c r="B38" s="139">
        <f>SUM('- 29 -'!$B38,'- 29 -'!$D38,'- 30 -'!$D38)</f>
        <v>3549190</v>
      </c>
      <c r="C38" s="139">
        <v>862000</v>
      </c>
      <c r="D38" s="145">
        <f t="shared" ca="1" si="0"/>
        <v>4.1173897911832951</v>
      </c>
      <c r="E38" s="149"/>
    </row>
    <row r="39" spans="1:5" ht="14.1" customHeight="1" x14ac:dyDescent="0.2">
      <c r="A39" s="271" t="s">
        <v>131</v>
      </c>
      <c r="B39" s="303">
        <f>SUM('- 29 -'!$B39,'- 29 -'!$D39,'- 30 -'!$D39)</f>
        <v>2139550</v>
      </c>
      <c r="C39" s="303">
        <v>1051400</v>
      </c>
      <c r="D39" s="304">
        <f t="shared" ca="1" si="0"/>
        <v>2.0349533954727033</v>
      </c>
      <c r="E39" s="149"/>
    </row>
    <row r="40" spans="1:5" ht="14.1" customHeight="1" x14ac:dyDescent="0.2">
      <c r="A40" s="15" t="s">
        <v>132</v>
      </c>
      <c r="B40" s="139">
        <f>SUM('- 29 -'!$B40,'- 29 -'!$D40,'- 30 -'!$D40)</f>
        <v>2598780</v>
      </c>
      <c r="C40" s="139">
        <v>664201</v>
      </c>
      <c r="D40" s="145">
        <f t="shared" ca="1" si="0"/>
        <v>3.9126409023774431</v>
      </c>
      <c r="E40" s="149"/>
    </row>
    <row r="41" spans="1:5" ht="14.1" customHeight="1" x14ac:dyDescent="0.2">
      <c r="A41" s="271" t="s">
        <v>133</v>
      </c>
      <c r="B41" s="303">
        <f>SUM('- 29 -'!$B41,'- 29 -'!$D41,'- 30 -'!$D41)</f>
        <v>5359400</v>
      </c>
      <c r="C41" s="303">
        <v>2530743</v>
      </c>
      <c r="D41" s="304">
        <f t="shared" ca="1" si="0"/>
        <v>2.1177179982321399</v>
      </c>
      <c r="E41" s="149"/>
    </row>
    <row r="42" spans="1:5" ht="14.1" customHeight="1" x14ac:dyDescent="0.2">
      <c r="A42" s="15" t="s">
        <v>134</v>
      </c>
      <c r="B42" s="139">
        <f>SUM('- 29 -'!$B42,'- 29 -'!$D42,'- 30 -'!$D42)</f>
        <v>1872107</v>
      </c>
      <c r="C42" s="139">
        <v>735000</v>
      </c>
      <c r="D42" s="145">
        <f t="shared" ca="1" si="0"/>
        <v>2.5470843537414964</v>
      </c>
      <c r="E42" s="149"/>
    </row>
    <row r="43" spans="1:5" ht="14.1" customHeight="1" x14ac:dyDescent="0.2">
      <c r="A43" s="271" t="s">
        <v>135</v>
      </c>
      <c r="B43" s="303">
        <f>SUM('- 29 -'!$B43,'- 29 -'!$D43,'- 30 -'!$D43)</f>
        <v>1027969</v>
      </c>
      <c r="C43" s="303">
        <v>600064</v>
      </c>
      <c r="D43" s="304">
        <f t="shared" ca="1" si="0"/>
        <v>1.7130989361134812</v>
      </c>
      <c r="E43" s="149"/>
    </row>
    <row r="44" spans="1:5" ht="14.1" customHeight="1" x14ac:dyDescent="0.2">
      <c r="A44" s="15" t="s">
        <v>136</v>
      </c>
      <c r="B44" s="139">
        <f>SUM('- 29 -'!$B44,'- 29 -'!$D44,'- 30 -'!$D44)</f>
        <v>1208431</v>
      </c>
      <c r="C44" s="139">
        <v>729894</v>
      </c>
      <c r="D44" s="145">
        <f t="shared" ca="1" si="0"/>
        <v>1.6556253373777563</v>
      </c>
      <c r="E44" s="149"/>
    </row>
    <row r="45" spans="1:5" ht="14.1" customHeight="1" x14ac:dyDescent="0.2">
      <c r="A45" s="271" t="s">
        <v>137</v>
      </c>
      <c r="B45" s="303">
        <f>SUM('- 29 -'!$B45,'- 29 -'!$D45,'- 30 -'!$D45)</f>
        <v>813731</v>
      </c>
      <c r="C45" s="303">
        <v>330000</v>
      </c>
      <c r="D45" s="304">
        <f t="shared" ca="1" si="0"/>
        <v>2.465851515151515</v>
      </c>
      <c r="E45" s="149"/>
    </row>
    <row r="46" spans="1:5" ht="14.1" customHeight="1" x14ac:dyDescent="0.2">
      <c r="A46" s="15" t="s">
        <v>138</v>
      </c>
      <c r="B46" s="139">
        <f>SUM('- 29 -'!$B46,'- 29 -'!$D46,'- 30 -'!$D46)</f>
        <v>6429500</v>
      </c>
      <c r="C46" s="139">
        <v>1076210</v>
      </c>
      <c r="D46" s="145">
        <f t="shared" ca="1" si="0"/>
        <v>5.9742057776827941</v>
      </c>
      <c r="E46" s="149"/>
    </row>
    <row r="47" spans="1:5" ht="5.0999999999999996" customHeight="1" x14ac:dyDescent="0.2">
      <c r="A47"/>
      <c r="B47"/>
      <c r="C47"/>
      <c r="D47"/>
      <c r="E47"/>
    </row>
    <row r="48" spans="1:5" ht="14.1" customHeight="1" x14ac:dyDescent="0.2">
      <c r="A48" s="274" t="s">
        <v>139</v>
      </c>
      <c r="B48" s="305">
        <f>SUM(B11:B46)</f>
        <v>99354638</v>
      </c>
      <c r="C48" s="305">
        <f>SUM(C11:C46)</f>
        <v>34504511</v>
      </c>
      <c r="D48" s="306">
        <f>B48/C48</f>
        <v>2.8794680788259832</v>
      </c>
      <c r="E48" s="149"/>
    </row>
    <row r="49" spans="1:5" ht="5.0999999999999996" customHeight="1" x14ac:dyDescent="0.2">
      <c r="A49" s="17" t="s">
        <v>1</v>
      </c>
      <c r="B49" s="140"/>
      <c r="C49" s="140"/>
      <c r="D49" s="79"/>
    </row>
    <row r="50" spans="1:5" ht="14.1" customHeight="1" x14ac:dyDescent="0.2">
      <c r="A50" s="15" t="s">
        <v>140</v>
      </c>
      <c r="B50" s="139">
        <f>SUM('- 29 -'!$B50,'- 29 -'!$D50,'- 30 -'!$D50)</f>
        <v>41251</v>
      </c>
      <c r="C50" s="361" t="s">
        <v>84</v>
      </c>
      <c r="D50" s="145" t="str">
        <f ca="1">IF(AND(CELL("type",C50)="v",C50&gt;0),B50/C50,"")</f>
        <v/>
      </c>
      <c r="E50" s="149"/>
    </row>
    <row r="51" spans="1:5" ht="14.1" customHeight="1" x14ac:dyDescent="0.2">
      <c r="A51" s="360" t="s">
        <v>516</v>
      </c>
      <c r="B51" s="303">
        <f>SUM('- 29 -'!$B51,'- 29 -'!$D51,'- 30 -'!$D51)</f>
        <v>0</v>
      </c>
      <c r="C51" s="303">
        <v>0</v>
      </c>
      <c r="D51" s="304" t="str">
        <f ca="1">IF(AND(CELL("type",C51)="v",C51&gt;0),B51/C51,"")</f>
        <v/>
      </c>
      <c r="E51" s="149"/>
    </row>
    <row r="52" spans="1:5" ht="50.1" customHeight="1" x14ac:dyDescent="0.2"/>
    <row r="53" spans="1:5" ht="15" customHeight="1" x14ac:dyDescent="0.2"/>
    <row r="54" spans="1:5" ht="14.45" customHeight="1" x14ac:dyDescent="0.2"/>
    <row r="55" spans="1:5" ht="14.45" customHeight="1" x14ac:dyDescent="0.2"/>
    <row r="56" spans="1:5" ht="14.45" customHeight="1" x14ac:dyDescent="0.2"/>
    <row r="57" spans="1:5" ht="14.45" customHeight="1" x14ac:dyDescent="0.2"/>
    <row r="58" spans="1:5" ht="14.45" customHeight="1" x14ac:dyDescent="0.2"/>
    <row r="59" spans="1:5" ht="14.45" customHeight="1" x14ac:dyDescent="0.2"/>
  </sheetData>
  <mergeCells count="4">
    <mergeCell ref="B6:D6"/>
    <mergeCell ref="B7:D7"/>
    <mergeCell ref="C8:C9"/>
    <mergeCell ref="D8:D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BB59"/>
  <sheetViews>
    <sheetView showGridLines="0" showZeros="0" workbookViewId="0"/>
  </sheetViews>
  <sheetFormatPr defaultColWidth="15.83203125" defaultRowHeight="12" x14ac:dyDescent="0.2"/>
  <cols>
    <col min="1" max="1" width="33.83203125" style="1" customWidth="1"/>
    <col min="2" max="2" width="17.83203125" style="1" customWidth="1"/>
    <col min="3" max="3" width="15.83203125" style="1"/>
    <col min="4" max="4" width="15.83203125" style="1" customWidth="1"/>
    <col min="5" max="5" width="15.83203125" style="1"/>
    <col min="6" max="6" width="17.83203125" style="1" customWidth="1"/>
    <col min="7" max="8" width="15.83203125" style="1"/>
    <col min="9" max="9" width="0" style="1" hidden="1" customWidth="1"/>
    <col min="10" max="10" width="2.33203125" style="1" hidden="1" customWidth="1"/>
    <col min="11" max="12" width="0" style="1" hidden="1" customWidth="1"/>
    <col min="13" max="16384" width="15.83203125" style="1"/>
  </cols>
  <sheetData>
    <row r="1" spans="1:54" ht="6.95" customHeight="1" x14ac:dyDescent="0.2">
      <c r="A1" s="3"/>
      <c r="B1" s="4"/>
      <c r="C1" s="4"/>
      <c r="D1" s="4"/>
      <c r="E1" s="4"/>
      <c r="F1" s="4"/>
    </row>
    <row r="2" spans="1:54" ht="15.95" customHeight="1" x14ac:dyDescent="0.2">
      <c r="A2" s="5" t="str">
        <f>IF(Lang=1,BA2,BB2)</f>
        <v xml:space="preserve"> ANALYSIS OF OPERATIONS AND MAINTENANCE EXPENSES FOR SCHOOL BUILDINGS</v>
      </c>
      <c r="B2" s="142"/>
      <c r="C2" s="133"/>
      <c r="D2" s="6"/>
      <c r="E2" s="6"/>
      <c r="F2" s="6"/>
      <c r="G2" s="6"/>
      <c r="BA2" s="456" t="s">
        <v>257</v>
      </c>
      <c r="BB2" s="456" t="s">
        <v>442</v>
      </c>
    </row>
    <row r="3" spans="1:54" ht="15.95" customHeight="1" x14ac:dyDescent="0.2">
      <c r="A3" s="7" t="str">
        <f>OPYEAR</f>
        <v>OPERATING FUND 2017/2018 BUDGET</v>
      </c>
      <c r="B3" s="143"/>
      <c r="C3" s="144"/>
      <c r="D3" s="8"/>
      <c r="E3" s="8"/>
      <c r="F3" s="8"/>
      <c r="G3" s="8"/>
    </row>
    <row r="4" spans="1:54" ht="15.95" customHeight="1" x14ac:dyDescent="0.2">
      <c r="B4" s="4"/>
      <c r="C4" s="4"/>
      <c r="D4" s="84"/>
      <c r="E4" s="4"/>
      <c r="F4" s="4"/>
    </row>
    <row r="5" spans="1:54" ht="15.95" customHeight="1" x14ac:dyDescent="0.2">
      <c r="B5" s="4"/>
      <c r="C5" s="4"/>
      <c r="D5" s="4"/>
      <c r="E5" s="4"/>
      <c r="F5" s="4"/>
      <c r="I5"/>
    </row>
    <row r="6" spans="1:54" ht="15.95" customHeight="1" x14ac:dyDescent="0.2">
      <c r="B6" s="277"/>
      <c r="C6" s="309"/>
      <c r="D6" s="280"/>
      <c r="E6" s="279"/>
      <c r="F6" s="620" t="s">
        <v>438</v>
      </c>
      <c r="G6" s="613"/>
      <c r="I6"/>
    </row>
    <row r="7" spans="1:54" ht="15.95" customHeight="1" x14ac:dyDescent="0.2">
      <c r="B7" s="627" t="s">
        <v>23</v>
      </c>
      <c r="C7" s="629"/>
      <c r="D7" s="629"/>
      <c r="E7" s="615"/>
      <c r="F7" s="627"/>
      <c r="G7" s="615"/>
      <c r="I7" s="375" t="s">
        <v>25</v>
      </c>
    </row>
    <row r="8" spans="1:54" ht="15.95" customHeight="1" x14ac:dyDescent="0.2">
      <c r="A8" s="82"/>
      <c r="B8" s="88" t="s">
        <v>1</v>
      </c>
      <c r="C8" s="538" t="s">
        <v>439</v>
      </c>
      <c r="D8" s="538" t="s">
        <v>440</v>
      </c>
      <c r="E8" s="538" t="s">
        <v>441</v>
      </c>
      <c r="F8" s="88" t="s">
        <v>1</v>
      </c>
      <c r="G8" s="538" t="s">
        <v>440</v>
      </c>
      <c r="I8" s="375" t="s">
        <v>36</v>
      </c>
    </row>
    <row r="9" spans="1:54" ht="15.95" customHeight="1" x14ac:dyDescent="0.2">
      <c r="A9" s="27" t="s">
        <v>37</v>
      </c>
      <c r="B9" s="89" t="s">
        <v>38</v>
      </c>
      <c r="C9" s="540"/>
      <c r="D9" s="578"/>
      <c r="E9" s="578"/>
      <c r="F9" s="89" t="s">
        <v>38</v>
      </c>
      <c r="G9" s="578"/>
      <c r="I9" s="359" t="s">
        <v>582</v>
      </c>
      <c r="J9" s="359"/>
    </row>
    <row r="10" spans="1:54" ht="5.0999999999999996" customHeight="1" x14ac:dyDescent="0.2">
      <c r="A10" s="29"/>
    </row>
    <row r="11" spans="1:54" ht="14.1" customHeight="1" x14ac:dyDescent="0.2">
      <c r="A11" s="271" t="s">
        <v>104</v>
      </c>
      <c r="B11" s="303">
        <f>'- 31 -'!D11</f>
        <v>1577825</v>
      </c>
      <c r="C11" s="303">
        <f>B11/'- 7 -'!E11</f>
        <v>878.521714922049</v>
      </c>
      <c r="D11" s="304">
        <f t="shared" ref="D11:D42" si="0">B11/I11</f>
        <v>5.7671361056182811</v>
      </c>
      <c r="E11" s="303">
        <f>I11/'- 7 -'!E11</f>
        <v>152.33240534521158</v>
      </c>
      <c r="F11" s="303">
        <f>'- 31 -'!F11</f>
        <v>150800</v>
      </c>
      <c r="G11" s="304">
        <f t="shared" ref="G11:G42" si="1">F11/I11</f>
        <v>0.55119175113034513</v>
      </c>
      <c r="I11" s="1">
        <v>273589</v>
      </c>
    </row>
    <row r="12" spans="1:54" ht="14.1" customHeight="1" x14ac:dyDescent="0.2">
      <c r="A12" s="15" t="s">
        <v>105</v>
      </c>
      <c r="B12" s="139">
        <f>'- 31 -'!D12</f>
        <v>2503291</v>
      </c>
      <c r="C12" s="139">
        <f>B12/'- 7 -'!E12</f>
        <v>1164.3213953488373</v>
      </c>
      <c r="D12" s="145">
        <f t="shared" si="0"/>
        <v>6.4110673455171288</v>
      </c>
      <c r="E12" s="139">
        <f>I12/'- 7 -'!E12</f>
        <v>181.61116279069768</v>
      </c>
      <c r="F12" s="139">
        <f>'- 31 -'!F12</f>
        <v>370000</v>
      </c>
      <c r="G12" s="145">
        <f t="shared" si="1"/>
        <v>0.9475905589247664</v>
      </c>
      <c r="I12" s="1">
        <v>390464</v>
      </c>
    </row>
    <row r="13" spans="1:54" ht="14.1" customHeight="1" x14ac:dyDescent="0.2">
      <c r="A13" s="271" t="s">
        <v>106</v>
      </c>
      <c r="B13" s="303">
        <f>'- 31 -'!D13</f>
        <v>6918000</v>
      </c>
      <c r="C13" s="303">
        <f>B13/'- 7 -'!E13</f>
        <v>811.01992966002342</v>
      </c>
      <c r="D13" s="304">
        <f t="shared" si="0"/>
        <v>6.5935636982286585</v>
      </c>
      <c r="E13" s="303">
        <f>I13/'- 7 -'!E13</f>
        <v>123.00175849941384</v>
      </c>
      <c r="F13" s="303">
        <f>'- 31 -'!F13</f>
        <v>674500</v>
      </c>
      <c r="G13" s="304">
        <f t="shared" si="1"/>
        <v>0.64286769506435826</v>
      </c>
      <c r="I13" s="1">
        <v>1049205</v>
      </c>
    </row>
    <row r="14" spans="1:54" ht="14.1" customHeight="1" x14ac:dyDescent="0.2">
      <c r="A14" s="15" t="s">
        <v>315</v>
      </c>
      <c r="B14" s="139">
        <f>'- 31 -'!D14</f>
        <v>7874048</v>
      </c>
      <c r="C14" s="139">
        <f>B14/'- 7 -'!E14</f>
        <v>1413.6531418312388</v>
      </c>
      <c r="D14" s="145">
        <f t="shared" si="0"/>
        <v>8.0224880972636701</v>
      </c>
      <c r="E14" s="139">
        <f>I14/'- 7 -'!E14</f>
        <v>176.2113105924596</v>
      </c>
      <c r="F14" s="139">
        <f>'- 31 -'!F14</f>
        <v>1450000</v>
      </c>
      <c r="G14" s="145">
        <f t="shared" si="1"/>
        <v>1.4773351319464043</v>
      </c>
      <c r="I14" s="1">
        <v>981497</v>
      </c>
    </row>
    <row r="15" spans="1:54" ht="14.1" customHeight="1" x14ac:dyDescent="0.2">
      <c r="A15" s="271" t="s">
        <v>107</v>
      </c>
      <c r="B15" s="303">
        <f>'- 31 -'!D15</f>
        <v>2100950</v>
      </c>
      <c r="C15" s="303">
        <f>B15/'- 7 -'!E15</f>
        <v>1524.6371552975327</v>
      </c>
      <c r="D15" s="304">
        <f t="shared" si="0"/>
        <v>7.2134631627376793</v>
      </c>
      <c r="E15" s="303">
        <f>I15/'- 7 -'!E15</f>
        <v>211.35994194484761</v>
      </c>
      <c r="F15" s="303">
        <f>'- 31 -'!F15</f>
        <v>248000</v>
      </c>
      <c r="G15" s="304">
        <f t="shared" si="1"/>
        <v>0.8514904516332823</v>
      </c>
      <c r="I15" s="1">
        <v>291254</v>
      </c>
    </row>
    <row r="16" spans="1:54" ht="14.1" customHeight="1" x14ac:dyDescent="0.2">
      <c r="A16" s="15" t="s">
        <v>108</v>
      </c>
      <c r="B16" s="139">
        <f>'- 31 -'!D16</f>
        <v>1995821</v>
      </c>
      <c r="C16" s="139">
        <f>B16/'- 7 -'!E16</f>
        <v>2151.8285714285716</v>
      </c>
      <c r="D16" s="145">
        <f t="shared" si="0"/>
        <v>9.5154640158287442</v>
      </c>
      <c r="E16" s="139">
        <f>I16/'- 7 -'!E16</f>
        <v>226.14016172506737</v>
      </c>
      <c r="F16" s="139">
        <f>'- 31 -'!F16</f>
        <v>100000</v>
      </c>
      <c r="G16" s="145">
        <f t="shared" si="1"/>
        <v>0.47676941047462396</v>
      </c>
      <c r="I16" s="1">
        <v>209745</v>
      </c>
    </row>
    <row r="17" spans="1:12" ht="14.1" customHeight="1" x14ac:dyDescent="0.2">
      <c r="A17" s="271" t="s">
        <v>109</v>
      </c>
      <c r="B17" s="303">
        <f>'- 31 -'!D17</f>
        <v>1639750</v>
      </c>
      <c r="C17" s="303">
        <f>B17/'- 7 -'!E17</f>
        <v>1164.1817536386227</v>
      </c>
      <c r="D17" s="304">
        <f t="shared" si="0"/>
        <v>6.2542193811192943</v>
      </c>
      <c r="E17" s="303">
        <f>I17/'- 7 -'!E17</f>
        <v>186.14341498047568</v>
      </c>
      <c r="F17" s="303">
        <f>'- 31 -'!F17</f>
        <v>97200</v>
      </c>
      <c r="G17" s="304">
        <f t="shared" si="1"/>
        <v>0.37073341902411672</v>
      </c>
      <c r="I17" s="1">
        <v>262183</v>
      </c>
    </row>
    <row r="18" spans="1:12" ht="14.1" customHeight="1" x14ac:dyDescent="0.2">
      <c r="A18" s="15" t="s">
        <v>110</v>
      </c>
      <c r="B18" s="139">
        <f>'- 31 -'!D18</f>
        <v>16816385</v>
      </c>
      <c r="C18" s="139">
        <f>B18/'- 7 -'!E18</f>
        <v>2750.1120232877606</v>
      </c>
      <c r="D18" s="145">
        <f t="shared" si="0"/>
        <v>11.715526688509698</v>
      </c>
      <c r="E18" s="139">
        <f>I18/'- 7 -'!E18</f>
        <v>234.74079283050958</v>
      </c>
      <c r="F18" s="139">
        <f>'- 31 -'!F18</f>
        <v>2210457</v>
      </c>
      <c r="G18" s="145">
        <f t="shared" si="1"/>
        <v>1.5399664064127385</v>
      </c>
      <c r="I18" s="1">
        <v>1435393</v>
      </c>
    </row>
    <row r="19" spans="1:12" ht="14.1" customHeight="1" x14ac:dyDescent="0.2">
      <c r="A19" s="271" t="s">
        <v>111</v>
      </c>
      <c r="B19" s="303">
        <f>'- 31 -'!D19</f>
        <v>3925500</v>
      </c>
      <c r="C19" s="303">
        <f>B19/'- 7 -'!E19</f>
        <v>904.80580845914483</v>
      </c>
      <c r="D19" s="304">
        <f t="shared" si="0"/>
        <v>6.0617618718189457</v>
      </c>
      <c r="E19" s="303">
        <f>I19/'- 7 -'!E19</f>
        <v>149.26449233606084</v>
      </c>
      <c r="F19" s="303">
        <f>'- 31 -'!F19</f>
        <v>101000</v>
      </c>
      <c r="G19" s="304">
        <f t="shared" si="1"/>
        <v>0.15596432277511488</v>
      </c>
      <c r="I19" s="1">
        <v>647584</v>
      </c>
    </row>
    <row r="20" spans="1:12" ht="14.1" customHeight="1" x14ac:dyDescent="0.2">
      <c r="A20" s="15" t="s">
        <v>112</v>
      </c>
      <c r="B20" s="139">
        <f>'- 31 -'!D20</f>
        <v>7390700</v>
      </c>
      <c r="C20" s="139">
        <f>B20/'- 7 -'!E20</f>
        <v>954.25435765009684</v>
      </c>
      <c r="D20" s="145">
        <f t="shared" si="0"/>
        <v>7.070011354950787</v>
      </c>
      <c r="E20" s="139">
        <f>I20/'- 7 -'!E20</f>
        <v>134.97211103938025</v>
      </c>
      <c r="F20" s="139">
        <f>'- 31 -'!F20</f>
        <v>1263000</v>
      </c>
      <c r="G20" s="145">
        <f t="shared" si="1"/>
        <v>1.2081973752557733</v>
      </c>
      <c r="I20" s="1">
        <v>1045359</v>
      </c>
    </row>
    <row r="21" spans="1:12" ht="14.1" customHeight="1" x14ac:dyDescent="0.2">
      <c r="A21" s="271" t="s">
        <v>113</v>
      </c>
      <c r="B21" s="303">
        <f>'- 31 -'!D21</f>
        <v>2886000</v>
      </c>
      <c r="C21" s="303">
        <f>B21/'- 7 -'!E21</f>
        <v>1047.3598258029397</v>
      </c>
      <c r="D21" s="304">
        <f t="shared" si="0"/>
        <v>6.2830165881652436</v>
      </c>
      <c r="E21" s="303">
        <f>I21/'- 7 -'!E21</f>
        <v>166.69696969696969</v>
      </c>
      <c r="F21" s="303">
        <f>'- 31 -'!F21</f>
        <v>300000</v>
      </c>
      <c r="G21" s="304">
        <f t="shared" si="1"/>
        <v>0.65312022746000453</v>
      </c>
      <c r="I21" s="1">
        <v>459333.5</v>
      </c>
    </row>
    <row r="22" spans="1:12" ht="14.1" customHeight="1" x14ac:dyDescent="0.2">
      <c r="A22" s="15" t="s">
        <v>114</v>
      </c>
      <c r="B22" s="139">
        <f>'- 31 -'!D22</f>
        <v>2230720</v>
      </c>
      <c r="C22" s="139">
        <f>B22/'- 7 -'!E22</f>
        <v>1468.3517640863613</v>
      </c>
      <c r="D22" s="145">
        <f t="shared" si="0"/>
        <v>6.9945410020600587</v>
      </c>
      <c r="E22" s="139">
        <f>I22/'- 7 -'!E22</f>
        <v>209.92825171142707</v>
      </c>
      <c r="F22" s="139">
        <f>'- 31 -'!F22</f>
        <v>123000</v>
      </c>
      <c r="G22" s="145">
        <f t="shared" si="1"/>
        <v>0.38567303079426696</v>
      </c>
      <c r="I22" s="1">
        <v>318923</v>
      </c>
    </row>
    <row r="23" spans="1:12" ht="14.1" customHeight="1" x14ac:dyDescent="0.2">
      <c r="A23" s="271" t="s">
        <v>115</v>
      </c>
      <c r="B23" s="303">
        <f>'- 31 -'!D23</f>
        <v>1253200</v>
      </c>
      <c r="C23" s="303">
        <f>B23/'- 7 -'!E23</f>
        <v>1134.1176470588234</v>
      </c>
      <c r="D23" s="304">
        <f t="shared" si="0"/>
        <v>5.3726377885241963</v>
      </c>
      <c r="E23" s="303">
        <f>I23/'- 7 -'!E23</f>
        <v>211.09140271493212</v>
      </c>
      <c r="F23" s="303">
        <f>'- 31 -'!F23</f>
        <v>140382</v>
      </c>
      <c r="G23" s="304">
        <f t="shared" si="1"/>
        <v>0.60183660870459921</v>
      </c>
      <c r="I23" s="1">
        <v>233256</v>
      </c>
    </row>
    <row r="24" spans="1:12" ht="14.1" customHeight="1" x14ac:dyDescent="0.2">
      <c r="A24" s="15" t="s">
        <v>116</v>
      </c>
      <c r="B24" s="139">
        <f>'- 31 -'!D24</f>
        <v>5531940</v>
      </c>
      <c r="C24" s="139">
        <f>B24/'- 7 -'!E24</f>
        <v>1420.4493516497625</v>
      </c>
      <c r="D24" s="145">
        <f t="shared" si="0"/>
        <v>7.7725370190058296</v>
      </c>
      <c r="E24" s="139">
        <f>I24/'- 7 -'!E24</f>
        <v>182.75234304788805</v>
      </c>
      <c r="F24" s="139">
        <f>'- 31 -'!F24</f>
        <v>290810</v>
      </c>
      <c r="G24" s="145">
        <f t="shared" si="1"/>
        <v>0.40859653042098887</v>
      </c>
      <c r="I24" s="1">
        <v>711729</v>
      </c>
    </row>
    <row r="25" spans="1:12" ht="14.1" customHeight="1" x14ac:dyDescent="0.2">
      <c r="A25" s="271" t="s">
        <v>117</v>
      </c>
      <c r="B25" s="303">
        <f>'- 31 -'!D25</f>
        <v>16301573</v>
      </c>
      <c r="C25" s="303">
        <f>B25/'- 7 -'!E25</f>
        <v>1126.3826567628259</v>
      </c>
      <c r="D25" s="304">
        <f t="shared" si="0"/>
        <v>7.2595238657197836</v>
      </c>
      <c r="E25" s="303">
        <f>I25/'- 7 -'!E25</f>
        <v>155.15930212471929</v>
      </c>
      <c r="F25" s="303">
        <f>'- 31 -'!F25</f>
        <v>495760</v>
      </c>
      <c r="G25" s="304">
        <f t="shared" si="1"/>
        <v>0.22077510873761935</v>
      </c>
      <c r="I25" s="1">
        <v>2245543</v>
      </c>
    </row>
    <row r="26" spans="1:12" ht="14.1" customHeight="1" x14ac:dyDescent="0.2">
      <c r="A26" s="15" t="s">
        <v>118</v>
      </c>
      <c r="B26" s="139">
        <f>'- 31 -'!D26</f>
        <v>4360014</v>
      </c>
      <c r="C26" s="139">
        <f>B26/'- 7 -'!E26</f>
        <v>1429.512786885246</v>
      </c>
      <c r="D26" s="145">
        <f t="shared" si="0"/>
        <v>5.6638048955382088</v>
      </c>
      <c r="E26" s="139">
        <f>I26/'- 7 -'!E26</f>
        <v>252.39442622950818</v>
      </c>
      <c r="F26" s="139">
        <f>'- 31 -'!F26</f>
        <v>290000</v>
      </c>
      <c r="G26" s="145">
        <f t="shared" si="1"/>
        <v>0.3767197581718959</v>
      </c>
      <c r="I26" s="1">
        <v>769803</v>
      </c>
    </row>
    <row r="27" spans="1:12" ht="14.1" customHeight="1" x14ac:dyDescent="0.2">
      <c r="A27" s="271" t="s">
        <v>119</v>
      </c>
      <c r="B27" s="303">
        <f>'- 31 -'!D27</f>
        <v>4282118</v>
      </c>
      <c r="C27" s="349">
        <f>B27/'- 7 -'!E27</f>
        <v>1431.9275600481533</v>
      </c>
      <c r="D27" s="304">
        <f t="shared" si="0"/>
        <v>9.2066581955705189</v>
      </c>
      <c r="E27" s="349">
        <f>I27/'- 7 -'!E27</f>
        <v>155.5317390556628</v>
      </c>
      <c r="F27" s="307">
        <f>'- 31 -'!F27</f>
        <v>406000</v>
      </c>
      <c r="G27" s="304">
        <f t="shared" si="1"/>
        <v>0.87290990752745046</v>
      </c>
      <c r="I27" s="1">
        <v>465111</v>
      </c>
      <c r="L27" s="375" t="s">
        <v>36</v>
      </c>
    </row>
    <row r="28" spans="1:12" ht="14.1" customHeight="1" x14ac:dyDescent="0.2">
      <c r="A28" s="15" t="s">
        <v>120</v>
      </c>
      <c r="B28" s="139">
        <f>'- 31 -'!D28</f>
        <v>2936157</v>
      </c>
      <c r="C28" s="139">
        <f>B28/'- 7 -'!E28</f>
        <v>1498.8039816232772</v>
      </c>
      <c r="D28" s="145">
        <f t="shared" si="0"/>
        <v>6.664435471240731</v>
      </c>
      <c r="E28" s="139">
        <f>I28/'- 7 -'!E28</f>
        <v>224.895865237366</v>
      </c>
      <c r="F28" s="139">
        <f>'- 31 -'!F28</f>
        <v>289206</v>
      </c>
      <c r="G28" s="145">
        <f t="shared" si="1"/>
        <v>0.6564344906950299</v>
      </c>
      <c r="I28" s="1">
        <f>390571+50000</f>
        <v>440571</v>
      </c>
      <c r="J28" s="204" t="s">
        <v>356</v>
      </c>
      <c r="K28" s="1">
        <v>50000</v>
      </c>
      <c r="L28" s="131" t="s">
        <v>517</v>
      </c>
    </row>
    <row r="29" spans="1:12" ht="14.1" customHeight="1" x14ac:dyDescent="0.2">
      <c r="A29" s="271" t="s">
        <v>121</v>
      </c>
      <c r="B29" s="303">
        <f>'- 31 -'!D29</f>
        <v>14379464</v>
      </c>
      <c r="C29" s="303">
        <f>B29/'- 7 -'!E29</f>
        <v>1100.7022405254174</v>
      </c>
      <c r="D29" s="304">
        <f t="shared" si="0"/>
        <v>8.2977993854321443</v>
      </c>
      <c r="E29" s="303">
        <f>I29/'- 7 -'!E29</f>
        <v>132.64989780999548</v>
      </c>
      <c r="F29" s="303">
        <f>'- 31 -'!F29</f>
        <v>2545350</v>
      </c>
      <c r="G29" s="304">
        <f t="shared" si="1"/>
        <v>1.4688171732763968</v>
      </c>
      <c r="I29" s="1">
        <v>1732925</v>
      </c>
    </row>
    <row r="30" spans="1:12" ht="14.1" customHeight="1" x14ac:dyDescent="0.2">
      <c r="A30" s="15" t="s">
        <v>122</v>
      </c>
      <c r="B30" s="139">
        <f>'- 31 -'!D30</f>
        <v>1414032</v>
      </c>
      <c r="C30" s="139">
        <f>B30/'- 7 -'!E30</f>
        <v>1392.4490398818316</v>
      </c>
      <c r="D30" s="145">
        <f t="shared" si="0"/>
        <v>6.74231493622601</v>
      </c>
      <c r="E30" s="139">
        <f>I30/'- 7 -'!E30</f>
        <v>206.52387986213688</v>
      </c>
      <c r="F30" s="139">
        <f>'- 31 -'!F30</f>
        <v>157250</v>
      </c>
      <c r="G30" s="145">
        <f t="shared" si="1"/>
        <v>0.74979139349147694</v>
      </c>
      <c r="I30" s="1">
        <v>209725</v>
      </c>
    </row>
    <row r="31" spans="1:12" ht="14.1" customHeight="1" x14ac:dyDescent="0.2">
      <c r="A31" s="271" t="s">
        <v>123</v>
      </c>
      <c r="B31" s="303">
        <f>'- 31 -'!D31</f>
        <v>3499798</v>
      </c>
      <c r="C31" s="303">
        <f>B31/'- 7 -'!E31</f>
        <v>1065.5497031511645</v>
      </c>
      <c r="D31" s="304">
        <f t="shared" si="0"/>
        <v>5.7704450424069753</v>
      </c>
      <c r="E31" s="303">
        <f>I31/'- 7 -'!E31</f>
        <v>184.65641650175064</v>
      </c>
      <c r="F31" s="303">
        <f>'- 31 -'!F31</f>
        <v>367840</v>
      </c>
      <c r="G31" s="304">
        <f t="shared" si="1"/>
        <v>0.60649229024046003</v>
      </c>
      <c r="I31" s="1">
        <v>606504</v>
      </c>
    </row>
    <row r="32" spans="1:12" ht="14.1" customHeight="1" x14ac:dyDescent="0.2">
      <c r="A32" s="15" t="s">
        <v>124</v>
      </c>
      <c r="B32" s="139">
        <f>'- 31 -'!D32</f>
        <v>2476266</v>
      </c>
      <c r="C32" s="139">
        <f>B32/'- 7 -'!E32</f>
        <v>1118.9633981021238</v>
      </c>
      <c r="D32" s="145">
        <f t="shared" si="0"/>
        <v>6.4505243744236571</v>
      </c>
      <c r="E32" s="139">
        <f>I32/'- 7 -'!E32</f>
        <v>173.46859466787166</v>
      </c>
      <c r="F32" s="139">
        <f>'- 31 -'!F32</f>
        <v>540500</v>
      </c>
      <c r="G32" s="145">
        <f t="shared" si="1"/>
        <v>1.4079700744491854</v>
      </c>
      <c r="I32" s="1">
        <v>383886</v>
      </c>
    </row>
    <row r="33" spans="1:9" ht="14.1" customHeight="1" x14ac:dyDescent="0.2">
      <c r="A33" s="271" t="s">
        <v>125</v>
      </c>
      <c r="B33" s="303">
        <f>'- 31 -'!D33</f>
        <v>2757100</v>
      </c>
      <c r="C33" s="303">
        <f>B33/'- 7 -'!E33</f>
        <v>1389.6673387096773</v>
      </c>
      <c r="D33" s="304">
        <f t="shared" si="0"/>
        <v>5.6043743838359203</v>
      </c>
      <c r="E33" s="303">
        <f>I33/'- 7 -'!E33</f>
        <v>247.96118951612902</v>
      </c>
      <c r="F33" s="303">
        <f>'- 31 -'!F33</f>
        <v>441400</v>
      </c>
      <c r="G33" s="304">
        <f t="shared" si="1"/>
        <v>0.8972365358620199</v>
      </c>
      <c r="I33" s="1">
        <v>491955</v>
      </c>
    </row>
    <row r="34" spans="1:9" ht="14.1" customHeight="1" x14ac:dyDescent="0.2">
      <c r="A34" s="15" t="s">
        <v>126</v>
      </c>
      <c r="B34" s="139">
        <f>'- 31 -'!D34</f>
        <v>2285274</v>
      </c>
      <c r="C34" s="139">
        <f>B34/'- 7 -'!E34</f>
        <v>1112.0554744525548</v>
      </c>
      <c r="D34" s="145">
        <f t="shared" si="0"/>
        <v>6.3648147322920616</v>
      </c>
      <c r="E34" s="139">
        <f>I34/'- 7 -'!E34</f>
        <v>174.71922141119222</v>
      </c>
      <c r="F34" s="139">
        <f>'- 31 -'!F34</f>
        <v>297052</v>
      </c>
      <c r="G34" s="145">
        <f t="shared" si="1"/>
        <v>0.82733227869254256</v>
      </c>
      <c r="I34" s="1">
        <v>359048</v>
      </c>
    </row>
    <row r="35" spans="1:9" ht="14.1" customHeight="1" x14ac:dyDescent="0.2">
      <c r="A35" s="271" t="s">
        <v>127</v>
      </c>
      <c r="B35" s="303">
        <f>'- 31 -'!D35</f>
        <v>19164125</v>
      </c>
      <c r="C35" s="303">
        <f>B35/'- 7 -'!E35</f>
        <v>1220.4505651966247</v>
      </c>
      <c r="D35" s="304">
        <f t="shared" si="0"/>
        <v>7.8518937796968986</v>
      </c>
      <c r="E35" s="303">
        <f>I35/'- 7 -'!E35</f>
        <v>155.43391179748448</v>
      </c>
      <c r="F35" s="303">
        <f>'- 31 -'!F35</f>
        <v>664000</v>
      </c>
      <c r="G35" s="304">
        <f t="shared" si="1"/>
        <v>0.27205298805548078</v>
      </c>
      <c r="I35" s="1">
        <v>2440701</v>
      </c>
    </row>
    <row r="36" spans="1:9" ht="14.1" customHeight="1" x14ac:dyDescent="0.2">
      <c r="A36" s="15" t="s">
        <v>128</v>
      </c>
      <c r="B36" s="139">
        <f>'- 31 -'!D36</f>
        <v>2404325</v>
      </c>
      <c r="C36" s="139">
        <f>B36/'- 7 -'!E36</f>
        <v>1429.8691644365151</v>
      </c>
      <c r="D36" s="145">
        <f t="shared" si="0"/>
        <v>7.469190646755659</v>
      </c>
      <c r="E36" s="139">
        <f>I36/'- 7 -'!E36</f>
        <v>191.43562295569433</v>
      </c>
      <c r="F36" s="139">
        <f>'- 31 -'!F36</f>
        <v>110000</v>
      </c>
      <c r="G36" s="145">
        <f t="shared" si="1"/>
        <v>0.34172209295462241</v>
      </c>
      <c r="I36" s="1">
        <v>321899</v>
      </c>
    </row>
    <row r="37" spans="1:9" ht="14.1" customHeight="1" x14ac:dyDescent="0.2">
      <c r="A37" s="271" t="s">
        <v>129</v>
      </c>
      <c r="B37" s="303">
        <f>'- 31 -'!D37</f>
        <v>4142700</v>
      </c>
      <c r="C37" s="303">
        <f>B37/'- 7 -'!E37</f>
        <v>973.90507087946969</v>
      </c>
      <c r="D37" s="304">
        <f t="shared" si="0"/>
        <v>7.0917821468617062</v>
      </c>
      <c r="E37" s="303">
        <f>I37/'- 7 -'!E37</f>
        <v>137.32867856219292</v>
      </c>
      <c r="F37" s="303">
        <f>'- 31 -'!F37</f>
        <v>520000</v>
      </c>
      <c r="G37" s="304">
        <f t="shared" si="1"/>
        <v>0.89017469678424388</v>
      </c>
      <c r="I37" s="1">
        <v>584155</v>
      </c>
    </row>
    <row r="38" spans="1:9" ht="14.1" customHeight="1" x14ac:dyDescent="0.2">
      <c r="A38" s="15" t="s">
        <v>130</v>
      </c>
      <c r="B38" s="139">
        <f>'- 31 -'!D38</f>
        <v>11309310</v>
      </c>
      <c r="C38" s="139">
        <f>B38/'- 7 -'!E38</f>
        <v>1001.7103631532329</v>
      </c>
      <c r="D38" s="145">
        <f t="shared" si="0"/>
        <v>8.217470347000404</v>
      </c>
      <c r="E38" s="139">
        <f>I38/'- 7 -'!E38</f>
        <v>121.90008857395925</v>
      </c>
      <c r="F38" s="139">
        <f>'- 31 -'!F38</f>
        <v>832780</v>
      </c>
      <c r="G38" s="145">
        <f t="shared" si="1"/>
        <v>0.60510720420388131</v>
      </c>
      <c r="I38" s="1">
        <v>1376252</v>
      </c>
    </row>
    <row r="39" spans="1:9" ht="14.1" customHeight="1" x14ac:dyDescent="0.2">
      <c r="A39" s="271" t="s">
        <v>131</v>
      </c>
      <c r="B39" s="303">
        <f>'- 31 -'!D39</f>
        <v>2049800</v>
      </c>
      <c r="C39" s="303">
        <f>B39/'- 7 -'!E39</f>
        <v>1359.2838196286473</v>
      </c>
      <c r="D39" s="304">
        <f t="shared" si="0"/>
        <v>6.5206948875945194</v>
      </c>
      <c r="E39" s="303">
        <f>I39/'- 7 -'!E39</f>
        <v>208.45689655172413</v>
      </c>
      <c r="F39" s="303">
        <f>'- 31 -'!F39</f>
        <v>160000</v>
      </c>
      <c r="G39" s="304">
        <f t="shared" si="1"/>
        <v>0.50898194068451708</v>
      </c>
      <c r="I39" s="1">
        <v>314353</v>
      </c>
    </row>
    <row r="40" spans="1:9" ht="14.1" customHeight="1" x14ac:dyDescent="0.2">
      <c r="A40" s="15" t="s">
        <v>132</v>
      </c>
      <c r="B40" s="139">
        <f>'- 31 -'!D40</f>
        <v>8486953</v>
      </c>
      <c r="C40" s="139">
        <f>B40/'- 7 -'!E40</f>
        <v>1032.5262786510291</v>
      </c>
      <c r="D40" s="145">
        <f t="shared" si="0"/>
        <v>5.9645253899592738</v>
      </c>
      <c r="E40" s="139">
        <f>I40/'- 7 -'!E40</f>
        <v>173.11122195727285</v>
      </c>
      <c r="F40" s="139">
        <f>'- 31 -'!F40</f>
        <v>1199157</v>
      </c>
      <c r="G40" s="145">
        <f t="shared" si="1"/>
        <v>0.84275267849926738</v>
      </c>
      <c r="I40" s="1">
        <v>1422905</v>
      </c>
    </row>
    <row r="41" spans="1:9" ht="14.1" customHeight="1" x14ac:dyDescent="0.2">
      <c r="A41" s="271" t="s">
        <v>133</v>
      </c>
      <c r="B41" s="303">
        <f>'- 31 -'!D41</f>
        <v>5171002</v>
      </c>
      <c r="C41" s="303">
        <f>B41/'- 7 -'!E41</f>
        <v>1167.7962962962963</v>
      </c>
      <c r="D41" s="304">
        <f t="shared" si="0"/>
        <v>7.1057772378861044</v>
      </c>
      <c r="E41" s="303">
        <f>I41/'- 7 -'!E41</f>
        <v>164.34462511291778</v>
      </c>
      <c r="F41" s="303">
        <f>'- 31 -'!F41</f>
        <v>525000</v>
      </c>
      <c r="G41" s="304">
        <f t="shared" si="1"/>
        <v>0.72143330246056847</v>
      </c>
      <c r="I41" s="1">
        <v>727718</v>
      </c>
    </row>
    <row r="42" spans="1:9" ht="14.1" customHeight="1" x14ac:dyDescent="0.2">
      <c r="A42" s="15" t="s">
        <v>134</v>
      </c>
      <c r="B42" s="139">
        <f>'- 31 -'!D42</f>
        <v>2082785</v>
      </c>
      <c r="C42" s="139">
        <f>B42/'- 7 -'!E42</f>
        <v>1501.6474405191059</v>
      </c>
      <c r="D42" s="145">
        <f t="shared" si="0"/>
        <v>6.3163122029919911</v>
      </c>
      <c r="E42" s="139">
        <f>I42/'- 7 -'!E42</f>
        <v>237.7411679884643</v>
      </c>
      <c r="F42" s="139">
        <f>'- 31 -'!F42</f>
        <v>154300</v>
      </c>
      <c r="G42" s="145">
        <f t="shared" si="1"/>
        <v>0.46793450736473718</v>
      </c>
      <c r="I42" s="1">
        <v>329747</v>
      </c>
    </row>
    <row r="43" spans="1:9" ht="14.1" customHeight="1" x14ac:dyDescent="0.2">
      <c r="A43" s="271" t="s">
        <v>135</v>
      </c>
      <c r="B43" s="303">
        <f>'- 31 -'!D43</f>
        <v>799282</v>
      </c>
      <c r="C43" s="303">
        <f>B43/'- 7 -'!E43</f>
        <v>839.14120734908136</v>
      </c>
      <c r="D43" s="304">
        <f>B43/I43</f>
        <v>4.3772768595493927</v>
      </c>
      <c r="E43" s="303">
        <f>I43/'- 7 -'!E43</f>
        <v>191.703937007874</v>
      </c>
      <c r="F43" s="303">
        <f>'- 31 -'!F43</f>
        <v>128783</v>
      </c>
      <c r="G43" s="304">
        <f>F43/I43</f>
        <v>0.70528154744301685</v>
      </c>
      <c r="I43" s="1">
        <v>182598</v>
      </c>
    </row>
    <row r="44" spans="1:9" ht="14.1" customHeight="1" x14ac:dyDescent="0.2">
      <c r="A44" s="15" t="s">
        <v>136</v>
      </c>
      <c r="B44" s="139">
        <f>'- 31 -'!D44</f>
        <v>1082009</v>
      </c>
      <c r="C44" s="139">
        <f>B44/'- 7 -'!E44</f>
        <v>1511.1857541899442</v>
      </c>
      <c r="D44" s="145">
        <f>B44/I44</f>
        <v>5.9876429800727147</v>
      </c>
      <c r="E44" s="139">
        <f>I44/'- 7 -'!E44</f>
        <v>252.38407821229049</v>
      </c>
      <c r="F44" s="139">
        <f>'- 31 -'!F44</f>
        <v>57000</v>
      </c>
      <c r="G44" s="145">
        <f>F44/I44</f>
        <v>0.31542773661230611</v>
      </c>
      <c r="I44" s="1">
        <v>180707</v>
      </c>
    </row>
    <row r="45" spans="1:9" ht="14.1" customHeight="1" x14ac:dyDescent="0.2">
      <c r="A45" s="271" t="s">
        <v>137</v>
      </c>
      <c r="B45" s="303">
        <f>'- 31 -'!D45</f>
        <v>1576179</v>
      </c>
      <c r="C45" s="303">
        <f>B45/'- 7 -'!E45</f>
        <v>910.03406466512706</v>
      </c>
      <c r="D45" s="304">
        <f>B45/I45</f>
        <v>7.3977827945987302</v>
      </c>
      <c r="E45" s="303">
        <f>I45/'- 7 -'!E45</f>
        <v>123.01443418013857</v>
      </c>
      <c r="F45" s="303">
        <f>'- 31 -'!F45</f>
        <v>138820</v>
      </c>
      <c r="G45" s="304">
        <f>F45/I45</f>
        <v>0.65155049492868244</v>
      </c>
      <c r="I45" s="1">
        <v>213061</v>
      </c>
    </row>
    <row r="46" spans="1:9" ht="14.1" customHeight="1" x14ac:dyDescent="0.2">
      <c r="A46" s="15" t="s">
        <v>138</v>
      </c>
      <c r="B46" s="139">
        <f>'- 31 -'!D46</f>
        <v>40683100</v>
      </c>
      <c r="C46" s="139">
        <f>B46/'- 7 -'!E46</f>
        <v>1344.4292063911701</v>
      </c>
      <c r="D46" s="145">
        <f>B46/I46</f>
        <v>8.0742031797393423</v>
      </c>
      <c r="E46" s="139">
        <f>I46/'- 7 -'!E46</f>
        <v>166.5092116785909</v>
      </c>
      <c r="F46" s="139">
        <f>'- 31 -'!F46</f>
        <v>5835100</v>
      </c>
      <c r="G46" s="145">
        <f>F46/I46</f>
        <v>1.1580676736555731</v>
      </c>
      <c r="I46" s="1">
        <v>5038652</v>
      </c>
    </row>
    <row r="47" spans="1:9" ht="5.0999999999999996" customHeight="1" x14ac:dyDescent="0.2">
      <c r="A47"/>
      <c r="B47"/>
      <c r="C47"/>
      <c r="D47"/>
      <c r="E47"/>
      <c r="F47"/>
      <c r="G47"/>
      <c r="H47"/>
      <c r="I47"/>
    </row>
    <row r="48" spans="1:9" ht="14.1" customHeight="1" x14ac:dyDescent="0.2">
      <c r="A48" s="274" t="s">
        <v>139</v>
      </c>
      <c r="B48" s="305">
        <f>SUM(B11:B46)</f>
        <v>218287496</v>
      </c>
      <c r="C48" s="305">
        <f>B48/'- 7 -'!E48</f>
        <v>1230.1237391334591</v>
      </c>
      <c r="D48" s="306">
        <f>B48/I48</f>
        <v>7.4891068851975771</v>
      </c>
      <c r="E48" s="305">
        <f>I48/'- 7 -'!E48</f>
        <v>164.25506512196162</v>
      </c>
      <c r="F48" s="305">
        <f>SUM(F11:F46)</f>
        <v>23674447</v>
      </c>
      <c r="G48" s="306">
        <f>F48/I48</f>
        <v>0.81223371599326577</v>
      </c>
      <c r="I48" s="1">
        <f>SUM(I11:I46)</f>
        <v>29147333.5</v>
      </c>
    </row>
    <row r="49" spans="1:9" ht="5.0999999999999996" customHeight="1" x14ac:dyDescent="0.2">
      <c r="A49" s="17" t="s">
        <v>1</v>
      </c>
      <c r="B49" s="140"/>
      <c r="C49" s="140"/>
      <c r="D49" s="79"/>
      <c r="E49" s="140"/>
      <c r="F49" s="140"/>
      <c r="G49" s="79"/>
    </row>
    <row r="50" spans="1:9" ht="14.1" customHeight="1" x14ac:dyDescent="0.2">
      <c r="A50" s="15" t="s">
        <v>140</v>
      </c>
      <c r="B50" s="139">
        <f>'- 31 -'!D50</f>
        <v>421818</v>
      </c>
      <c r="C50" s="139">
        <f>B50/'- 7 -'!E50</f>
        <v>2603.8148148148148</v>
      </c>
      <c r="D50" s="145">
        <f>B50/I50</f>
        <v>5.7738994743758214</v>
      </c>
      <c r="E50" s="139">
        <f>I50/'- 7 -'!E50</f>
        <v>450.96296296296299</v>
      </c>
      <c r="F50" s="139">
        <f>'- 31 -'!F50</f>
        <v>40000</v>
      </c>
      <c r="G50" s="248" t="s">
        <v>84</v>
      </c>
      <c r="I50" s="129">
        <v>73056</v>
      </c>
    </row>
    <row r="51" spans="1:9" ht="14.1" customHeight="1" x14ac:dyDescent="0.2">
      <c r="A51" s="360" t="s">
        <v>516</v>
      </c>
      <c r="B51" s="303">
        <f>'- 31 -'!D51</f>
        <v>3346787</v>
      </c>
      <c r="C51" s="303">
        <f>B51/'- 7 -'!E51</f>
        <v>3139.5750469043151</v>
      </c>
      <c r="D51" s="308" t="s">
        <v>84</v>
      </c>
      <c r="E51" s="307" t="s">
        <v>84</v>
      </c>
      <c r="F51" s="303">
        <f>'- 31 -'!F51</f>
        <v>0</v>
      </c>
      <c r="G51" s="308" t="s">
        <v>84</v>
      </c>
    </row>
    <row r="52" spans="1:9" ht="50.1" customHeight="1" x14ac:dyDescent="0.2">
      <c r="A52" s="19"/>
      <c r="B52" s="19"/>
      <c r="C52" s="19"/>
      <c r="D52" s="19"/>
      <c r="E52" s="19"/>
      <c r="F52" s="19"/>
      <c r="G52" s="19"/>
    </row>
    <row r="53" spans="1:9" ht="15" customHeight="1" x14ac:dyDescent="0.2">
      <c r="A53" s="131" t="s">
        <v>598</v>
      </c>
    </row>
    <row r="54" spans="1:9" ht="12" customHeight="1" x14ac:dyDescent="0.2">
      <c r="A54" s="1" t="s">
        <v>333</v>
      </c>
    </row>
    <row r="55" spans="1:9" ht="14.45" customHeight="1" x14ac:dyDescent="0.2"/>
    <row r="56" spans="1:9" ht="14.45" customHeight="1" x14ac:dyDescent="0.2"/>
    <row r="57" spans="1:9" ht="14.45" customHeight="1" x14ac:dyDescent="0.2"/>
    <row r="58" spans="1:9" ht="14.45" customHeight="1" x14ac:dyDescent="0.2"/>
    <row r="59" spans="1:9" ht="14.45" customHeight="1" x14ac:dyDescent="0.2"/>
  </sheetData>
  <mergeCells count="6">
    <mergeCell ref="B7:E7"/>
    <mergeCell ref="F6:G7"/>
    <mergeCell ref="C8:C9"/>
    <mergeCell ref="D8:D9"/>
    <mergeCell ref="G8:G9"/>
    <mergeCell ref="E8:E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BB59"/>
  <sheetViews>
    <sheetView showGridLines="0" showZeros="0" workbookViewId="0"/>
  </sheetViews>
  <sheetFormatPr defaultColWidth="15.83203125" defaultRowHeight="12" x14ac:dyDescent="0.2"/>
  <cols>
    <col min="1" max="1" width="29.83203125" style="1" customWidth="1"/>
    <col min="2" max="2" width="15.83203125" style="1"/>
    <col min="3" max="3" width="8.83203125" style="1" customWidth="1"/>
    <col min="4" max="4" width="9.83203125" style="1" customWidth="1"/>
    <col min="5" max="5" width="15.83203125" style="1"/>
    <col min="6" max="6" width="8.83203125" style="1" customWidth="1"/>
    <col min="7" max="7" width="9.83203125" style="1" customWidth="1"/>
    <col min="8" max="8" width="15.83203125" style="1"/>
    <col min="9" max="9" width="8.83203125" style="1" customWidth="1"/>
    <col min="10" max="10" width="9.83203125" style="1" customWidth="1"/>
    <col min="11" max="16384" width="15.83203125" style="1"/>
  </cols>
  <sheetData>
    <row r="1" spans="1:54" ht="6.95" customHeight="1" x14ac:dyDescent="0.2">
      <c r="A1" s="3"/>
      <c r="B1" s="4"/>
      <c r="C1" s="4"/>
      <c r="D1" s="4"/>
      <c r="E1" s="4"/>
      <c r="F1" s="4"/>
      <c r="G1" s="4"/>
      <c r="H1" s="4"/>
      <c r="I1" s="4"/>
      <c r="J1" s="4"/>
    </row>
    <row r="2" spans="1:54" ht="15.95" customHeight="1" x14ac:dyDescent="0.2">
      <c r="A2" s="132"/>
      <c r="B2" s="5" t="str">
        <f>IF(Lang=1,BA2,BB2)</f>
        <v>ANALYSIS OF INFORMATION TECHNOLOGY EXPENSES</v>
      </c>
      <c r="C2" s="6"/>
      <c r="D2" s="6"/>
      <c r="E2" s="6"/>
      <c r="F2" s="6"/>
      <c r="G2" s="6"/>
      <c r="H2" s="85"/>
      <c r="I2" s="141"/>
      <c r="J2" s="92"/>
      <c r="BA2" s="456" t="s">
        <v>301</v>
      </c>
      <c r="BB2" s="456" t="s">
        <v>443</v>
      </c>
    </row>
    <row r="3" spans="1:54" ht="15.95" customHeight="1" x14ac:dyDescent="0.2">
      <c r="A3" s="135"/>
      <c r="B3" s="7" t="str">
        <f>OPYEAR</f>
        <v>OPERATING FUND 2017/2018 BUDGET</v>
      </c>
      <c r="C3" s="8"/>
      <c r="D3" s="8"/>
      <c r="E3" s="8"/>
      <c r="F3" s="8"/>
      <c r="G3" s="8"/>
      <c r="H3" s="87"/>
      <c r="I3" s="87"/>
      <c r="J3" s="81"/>
    </row>
    <row r="4" spans="1:54" ht="15.95" customHeight="1" x14ac:dyDescent="0.2">
      <c r="B4" s="4"/>
      <c r="C4" s="4"/>
      <c r="D4" s="4"/>
      <c r="E4" s="4"/>
      <c r="F4" s="4"/>
      <c r="G4" s="4"/>
      <c r="H4" s="4"/>
      <c r="I4" s="4"/>
      <c r="J4" s="4"/>
    </row>
    <row r="5" spans="1:54" ht="14.1" customHeight="1" x14ac:dyDescent="0.2"/>
    <row r="6" spans="1:54" ht="18" customHeight="1" x14ac:dyDescent="0.2">
      <c r="B6" s="668" t="s">
        <v>253</v>
      </c>
      <c r="C6" s="669"/>
      <c r="D6" s="669"/>
      <c r="E6" s="669"/>
      <c r="F6" s="669"/>
      <c r="G6" s="669"/>
      <c r="H6" s="669"/>
      <c r="I6" s="669"/>
      <c r="J6" s="670"/>
    </row>
    <row r="7" spans="1:54" ht="15.95" customHeight="1" x14ac:dyDescent="0.2">
      <c r="B7" s="601" t="s">
        <v>61</v>
      </c>
      <c r="C7" s="602"/>
      <c r="D7" s="603"/>
      <c r="E7" s="601" t="s">
        <v>56</v>
      </c>
      <c r="F7" s="602"/>
      <c r="G7" s="603"/>
      <c r="H7" s="601" t="s">
        <v>57</v>
      </c>
      <c r="I7" s="602"/>
      <c r="J7" s="603"/>
    </row>
    <row r="8" spans="1:54" ht="15.95" customHeight="1" x14ac:dyDescent="0.2">
      <c r="A8" s="82"/>
      <c r="B8" s="137"/>
      <c r="C8" s="83"/>
      <c r="D8" s="538" t="s">
        <v>396</v>
      </c>
      <c r="E8" s="137"/>
      <c r="F8" s="138"/>
      <c r="G8" s="538" t="s">
        <v>396</v>
      </c>
      <c r="H8" s="137"/>
      <c r="I8" s="138"/>
      <c r="J8" s="538" t="s">
        <v>396</v>
      </c>
    </row>
    <row r="9" spans="1:54" ht="15.95" customHeight="1" x14ac:dyDescent="0.2">
      <c r="A9" s="27" t="s">
        <v>37</v>
      </c>
      <c r="B9" s="89" t="s">
        <v>38</v>
      </c>
      <c r="C9" s="89" t="s">
        <v>39</v>
      </c>
      <c r="D9" s="578"/>
      <c r="E9" s="89" t="s">
        <v>38</v>
      </c>
      <c r="F9" s="89" t="s">
        <v>39</v>
      </c>
      <c r="G9" s="578"/>
      <c r="H9" s="89" t="s">
        <v>38</v>
      </c>
      <c r="I9" s="89" t="s">
        <v>39</v>
      </c>
      <c r="J9" s="578"/>
    </row>
    <row r="10" spans="1:54" ht="5.0999999999999996" customHeight="1" x14ac:dyDescent="0.2">
      <c r="A10" s="29"/>
    </row>
    <row r="11" spans="1:54" ht="14.1" customHeight="1" x14ac:dyDescent="0.2">
      <c r="A11" s="271" t="s">
        <v>104</v>
      </c>
      <c r="B11" s="272">
        <v>154900</v>
      </c>
      <c r="C11" s="273">
        <f>B11/'- 3 -'!$D11*100</f>
        <v>0.76787272090766223</v>
      </c>
      <c r="D11" s="272">
        <f>B11/'- 7 -'!$E11</f>
        <v>86.24721603563475</v>
      </c>
      <c r="E11" s="272">
        <v>184851</v>
      </c>
      <c r="F11" s="273">
        <f>E11/'- 3 -'!$D11*100</f>
        <v>0.91634629007425605</v>
      </c>
      <c r="G11" s="272">
        <f>E11/'- 7 -'!$E11</f>
        <v>102.92371937639199</v>
      </c>
      <c r="H11" s="272">
        <v>211758</v>
      </c>
      <c r="I11" s="273">
        <f>H11/'- 3 -'!$D11*100</f>
        <v>1.0497300944736265</v>
      </c>
      <c r="J11" s="272">
        <f>H11/'- 7 -'!$E11</f>
        <v>117.90534521158129</v>
      </c>
    </row>
    <row r="12" spans="1:54" ht="14.1" customHeight="1" x14ac:dyDescent="0.2">
      <c r="A12" s="15" t="s">
        <v>105</v>
      </c>
      <c r="B12" s="16">
        <v>358051</v>
      </c>
      <c r="C12" s="267">
        <f>B12/'- 3 -'!$D12*100</f>
        <v>1.0220787519398533</v>
      </c>
      <c r="D12" s="16">
        <f>B12/'- 7 -'!$E12</f>
        <v>166.53534883720931</v>
      </c>
      <c r="E12" s="16">
        <v>249217</v>
      </c>
      <c r="F12" s="267">
        <f>E12/'- 3 -'!$D12*100</f>
        <v>0.7114053593543781</v>
      </c>
      <c r="G12" s="16">
        <f>E12/'- 7 -'!$E12</f>
        <v>115.91488372093023</v>
      </c>
      <c r="H12" s="16">
        <v>447796</v>
      </c>
      <c r="I12" s="267">
        <f>H12/'- 3 -'!$D12*100</f>
        <v>1.2782614119319833</v>
      </c>
      <c r="J12" s="16">
        <f>H12/'- 7 -'!$E12</f>
        <v>208.27720930232559</v>
      </c>
    </row>
    <row r="13" spans="1:54" ht="14.1" customHeight="1" x14ac:dyDescent="0.2">
      <c r="A13" s="271" t="s">
        <v>106</v>
      </c>
      <c r="B13" s="272">
        <v>540000</v>
      </c>
      <c r="C13" s="273">
        <f>B13/'- 3 -'!$D13*100</f>
        <v>0.53023310618408903</v>
      </c>
      <c r="D13" s="272">
        <f>B13/'- 7 -'!$E13</f>
        <v>63.305978898007034</v>
      </c>
      <c r="E13" s="272">
        <v>311400</v>
      </c>
      <c r="F13" s="273">
        <f>E13/'- 3 -'!$D13*100</f>
        <v>0.30576775789949134</v>
      </c>
      <c r="G13" s="272">
        <f>E13/'- 7 -'!$E13</f>
        <v>36.506447831184055</v>
      </c>
      <c r="H13" s="272">
        <v>998600</v>
      </c>
      <c r="I13" s="273">
        <f>H13/'- 3 -'!$D13*100</f>
        <v>0.98053848117672471</v>
      </c>
      <c r="J13" s="272">
        <f>H13/'- 7 -'!$E13</f>
        <v>117.06916764361078</v>
      </c>
    </row>
    <row r="14" spans="1:54" ht="14.1" customHeight="1" x14ac:dyDescent="0.2">
      <c r="A14" s="15" t="s">
        <v>315</v>
      </c>
      <c r="B14" s="16">
        <v>519200</v>
      </c>
      <c r="C14" s="267">
        <f>B14/'- 3 -'!$D14*100</f>
        <v>0.57512868836718489</v>
      </c>
      <c r="D14" s="16">
        <f>B14/'- 7 -'!$E14</f>
        <v>93.213644524236983</v>
      </c>
      <c r="E14" s="16">
        <v>389258</v>
      </c>
      <c r="F14" s="267">
        <f>E14/'- 3 -'!$D14*100</f>
        <v>0.43118921990838532</v>
      </c>
      <c r="G14" s="16">
        <f>E14/'- 7 -'!$E14</f>
        <v>69.884739676840212</v>
      </c>
      <c r="H14" s="16">
        <v>757067</v>
      </c>
      <c r="I14" s="267">
        <f>H14/'- 3 -'!$D14*100</f>
        <v>0.83861893435300361</v>
      </c>
      <c r="J14" s="16">
        <f>H14/'- 7 -'!$E14</f>
        <v>135.91867145421904</v>
      </c>
    </row>
    <row r="15" spans="1:54" ht="14.1" customHeight="1" x14ac:dyDescent="0.2">
      <c r="A15" s="271" t="s">
        <v>107</v>
      </c>
      <c r="B15" s="272">
        <v>135000</v>
      </c>
      <c r="C15" s="273">
        <f>B15/'- 3 -'!$D15*100</f>
        <v>0.6517319946725979</v>
      </c>
      <c r="D15" s="272">
        <f>B15/'- 7 -'!$E15</f>
        <v>97.96806966618287</v>
      </c>
      <c r="E15" s="272">
        <v>155500</v>
      </c>
      <c r="F15" s="273">
        <f>E15/'- 3 -'!$D15*100</f>
        <v>0.75069870497473312</v>
      </c>
      <c r="G15" s="272">
        <f>E15/'- 7 -'!$E15</f>
        <v>112.84470246734398</v>
      </c>
      <c r="H15" s="272">
        <v>186500</v>
      </c>
      <c r="I15" s="273">
        <f>H15/'- 3 -'!$D15*100</f>
        <v>0.90035568152918144</v>
      </c>
      <c r="J15" s="272">
        <f>H15/'- 7 -'!$E15</f>
        <v>135.3410740203193</v>
      </c>
    </row>
    <row r="16" spans="1:54" ht="14.1" customHeight="1" x14ac:dyDescent="0.2">
      <c r="A16" s="15" t="s">
        <v>108</v>
      </c>
      <c r="B16" s="16">
        <v>43517</v>
      </c>
      <c r="C16" s="267">
        <f>B16/'- 3 -'!$D16*100</f>
        <v>0.29421675479805148</v>
      </c>
      <c r="D16" s="16">
        <f>B16/'- 7 -'!$E16</f>
        <v>46.918598382749323</v>
      </c>
      <c r="E16" s="16">
        <v>102797</v>
      </c>
      <c r="F16" s="267">
        <f>E16/'- 3 -'!$D16*100</f>
        <v>0.69500654325838851</v>
      </c>
      <c r="G16" s="16">
        <f>E16/'- 7 -'!$E16</f>
        <v>110.8323450134771</v>
      </c>
      <c r="H16" s="16">
        <v>244089</v>
      </c>
      <c r="I16" s="267">
        <f>H16/'- 3 -'!$D16*100</f>
        <v>1.6502762934462758</v>
      </c>
      <c r="J16" s="16">
        <f>H16/'- 7 -'!$E16</f>
        <v>263.16873315363881</v>
      </c>
    </row>
    <row r="17" spans="1:10" ht="14.1" customHeight="1" x14ac:dyDescent="0.2">
      <c r="A17" s="271" t="s">
        <v>109</v>
      </c>
      <c r="B17" s="272">
        <v>115100</v>
      </c>
      <c r="C17" s="273">
        <f>B17/'- 3 -'!$D17*100</f>
        <v>0.61549597478466467</v>
      </c>
      <c r="D17" s="272">
        <f>B17/'- 7 -'!$E17</f>
        <v>81.718139865104718</v>
      </c>
      <c r="E17" s="272">
        <v>143019</v>
      </c>
      <c r="F17" s="273">
        <f>E17/'- 3 -'!$D17*100</f>
        <v>0.76479251796462167</v>
      </c>
      <c r="G17" s="272">
        <f>E17/'- 7 -'!$E17</f>
        <v>101.53993610223642</v>
      </c>
      <c r="H17" s="272">
        <v>166410</v>
      </c>
      <c r="I17" s="273">
        <f>H17/'- 3 -'!$D17*100</f>
        <v>0.88987563131117331</v>
      </c>
      <c r="J17" s="272">
        <f>H17/'- 7 -'!$E17</f>
        <v>118.14696485623003</v>
      </c>
    </row>
    <row r="18" spans="1:10" ht="14.1" customHeight="1" x14ac:dyDescent="0.2">
      <c r="A18" s="15" t="s">
        <v>110</v>
      </c>
      <c r="B18" s="16">
        <v>371696</v>
      </c>
      <c r="C18" s="267">
        <f>B18/'- 3 -'!$D18*100</f>
        <v>0.28211908765727928</v>
      </c>
      <c r="D18" s="16">
        <f>B18/'- 7 -'!$E18</f>
        <v>60.786289003728655</v>
      </c>
      <c r="E18" s="16">
        <v>0</v>
      </c>
      <c r="F18" s="267">
        <f>E18/'- 3 -'!$D18*100</f>
        <v>0</v>
      </c>
      <c r="G18" s="16">
        <f>E18/'- 7 -'!$E18</f>
        <v>0</v>
      </c>
      <c r="H18" s="16">
        <v>1429664</v>
      </c>
      <c r="I18" s="267">
        <f>H18/'- 3 -'!$D18*100</f>
        <v>1.085121990380463</v>
      </c>
      <c r="J18" s="16">
        <f>H18/'- 7 -'!$E18</f>
        <v>233.80388565447765</v>
      </c>
    </row>
    <row r="19" spans="1:10" ht="14.1" customHeight="1" x14ac:dyDescent="0.2">
      <c r="A19" s="271" t="s">
        <v>111</v>
      </c>
      <c r="B19" s="272">
        <v>480000</v>
      </c>
      <c r="C19" s="273">
        <f>B19/'- 3 -'!$D19*100</f>
        <v>0.98496457728798492</v>
      </c>
      <c r="D19" s="272">
        <f>B19/'- 7 -'!$E19</f>
        <v>110.63731704506166</v>
      </c>
      <c r="E19" s="272">
        <v>207275</v>
      </c>
      <c r="F19" s="273">
        <f>E19/'- 3 -'!$D19*100</f>
        <v>0.42533027657784811</v>
      </c>
      <c r="G19" s="272">
        <f>E19/'- 7 -'!$E19</f>
        <v>47.775728938573238</v>
      </c>
      <c r="H19" s="272">
        <v>804783</v>
      </c>
      <c r="I19" s="273">
        <f>H19/'- 3 -'!$D19*100</f>
        <v>1.6514223904240759</v>
      </c>
      <c r="J19" s="272">
        <f>H19/'- 7 -'!$E19</f>
        <v>185.49798317390804</v>
      </c>
    </row>
    <row r="20" spans="1:10" ht="14.1" customHeight="1" x14ac:dyDescent="0.2">
      <c r="A20" s="15" t="s">
        <v>112</v>
      </c>
      <c r="B20" s="16">
        <v>739500</v>
      </c>
      <c r="C20" s="267">
        <f>B20/'- 3 -'!$D20*100</f>
        <v>0.87103704646002056</v>
      </c>
      <c r="D20" s="16">
        <f>B20/'- 7 -'!$E20</f>
        <v>95.480955455132346</v>
      </c>
      <c r="E20" s="16">
        <v>358200</v>
      </c>
      <c r="F20" s="267">
        <f>E20/'- 3 -'!$D20*100</f>
        <v>0.4219140906585252</v>
      </c>
      <c r="G20" s="16">
        <f>E20/'- 7 -'!$E20</f>
        <v>46.249193027759844</v>
      </c>
      <c r="H20" s="16">
        <v>1586100</v>
      </c>
      <c r="I20" s="267">
        <f>H20/'- 3 -'!$D20*100</f>
        <v>1.8682242858556304</v>
      </c>
      <c r="J20" s="16">
        <f>H20/'- 7 -'!$E20</f>
        <v>204.79018721755972</v>
      </c>
    </row>
    <row r="21" spans="1:10" ht="14.1" customHeight="1" x14ac:dyDescent="0.2">
      <c r="A21" s="271" t="s">
        <v>113</v>
      </c>
      <c r="B21" s="272">
        <v>388000</v>
      </c>
      <c r="C21" s="273">
        <f>B21/'- 3 -'!$D21*100</f>
        <v>1.0447126232518564</v>
      </c>
      <c r="D21" s="272">
        <f>B21/'- 7 -'!$E21</f>
        <v>140.80929050988931</v>
      </c>
      <c r="E21" s="272">
        <v>152575</v>
      </c>
      <c r="F21" s="273">
        <f>E21/'- 3 -'!$D21*100</f>
        <v>0.41081708374394843</v>
      </c>
      <c r="G21" s="272">
        <f>E21/'- 7 -'!$E21</f>
        <v>55.371076029758662</v>
      </c>
      <c r="H21" s="272">
        <v>334472</v>
      </c>
      <c r="I21" s="273">
        <f>H21/'- 3 -'!$D21*100</f>
        <v>0.90058536217601792</v>
      </c>
      <c r="J21" s="272">
        <f>H21/'- 7 -'!$E21</f>
        <v>121.3834149882054</v>
      </c>
    </row>
    <row r="22" spans="1:10" ht="14.1" customHeight="1" x14ac:dyDescent="0.2">
      <c r="A22" s="15" t="s">
        <v>114</v>
      </c>
      <c r="B22" s="16">
        <v>173000</v>
      </c>
      <c r="C22" s="267">
        <f>B22/'- 3 -'!$D22*100</f>
        <v>0.81142980967984168</v>
      </c>
      <c r="D22" s="16">
        <f>B22/'- 7 -'!$E22</f>
        <v>113.87572406529752</v>
      </c>
      <c r="E22" s="16">
        <v>16940</v>
      </c>
      <c r="F22" s="267">
        <f>E22/'- 3 -'!$D22*100</f>
        <v>7.945445650853479E-2</v>
      </c>
      <c r="G22" s="16">
        <f>E22/'- 7 -'!$E22</f>
        <v>11.150605581885202</v>
      </c>
      <c r="H22" s="16">
        <v>170190</v>
      </c>
      <c r="I22" s="267">
        <f>H22/'- 3 -'!$D22*100</f>
        <v>0.79824993820469514</v>
      </c>
      <c r="J22" s="16">
        <f>H22/'- 7 -'!$E22</f>
        <v>112.02606635071089</v>
      </c>
    </row>
    <row r="23" spans="1:10" ht="14.1" customHeight="1" x14ac:dyDescent="0.2">
      <c r="A23" s="271" t="s">
        <v>115</v>
      </c>
      <c r="B23" s="272">
        <v>104000</v>
      </c>
      <c r="C23" s="273">
        <f>B23/'- 3 -'!$D23*100</f>
        <v>0.61777342458718032</v>
      </c>
      <c r="D23" s="272">
        <f>B23/'- 7 -'!$E23</f>
        <v>94.117647058823536</v>
      </c>
      <c r="E23" s="272">
        <v>65000</v>
      </c>
      <c r="F23" s="273">
        <f>E23/'- 3 -'!$D23*100</f>
        <v>0.38610839036698774</v>
      </c>
      <c r="G23" s="272">
        <f>E23/'- 7 -'!$E23</f>
        <v>58.823529411764703</v>
      </c>
      <c r="H23" s="272">
        <v>90000</v>
      </c>
      <c r="I23" s="273">
        <f>H23/'- 3 -'!$D23*100</f>
        <v>0.53461161743121377</v>
      </c>
      <c r="J23" s="272">
        <f>H23/'- 7 -'!$E23</f>
        <v>81.447963800904972</v>
      </c>
    </row>
    <row r="24" spans="1:10" ht="14.1" customHeight="1" x14ac:dyDescent="0.2">
      <c r="A24" s="15" t="s">
        <v>116</v>
      </c>
      <c r="B24" s="16">
        <v>474780</v>
      </c>
      <c r="C24" s="267">
        <f>B24/'- 3 -'!$D24*100</f>
        <v>0.81270992181907886</v>
      </c>
      <c r="D24" s="16">
        <f>B24/'- 7 -'!$E24</f>
        <v>121.9103864424188</v>
      </c>
      <c r="E24" s="16">
        <v>394115</v>
      </c>
      <c r="F24" s="267">
        <f>E24/'- 3 -'!$D24*100</f>
        <v>0.67463071493686821</v>
      </c>
      <c r="G24" s="16">
        <f>E24/'- 7 -'!$E24</f>
        <v>101.19784311208115</v>
      </c>
      <c r="H24" s="16">
        <v>967300</v>
      </c>
      <c r="I24" s="267">
        <f>H24/'- 3 -'!$D24*100</f>
        <v>1.6557864850574897</v>
      </c>
      <c r="J24" s="16">
        <f>H24/'- 7 -'!$E24</f>
        <v>248.37591475157274</v>
      </c>
    </row>
    <row r="25" spans="1:10" ht="14.1" customHeight="1" x14ac:dyDescent="0.2">
      <c r="A25" s="271" t="s">
        <v>117</v>
      </c>
      <c r="B25" s="272">
        <v>943608</v>
      </c>
      <c r="C25" s="273">
        <f>B25/'- 3 -'!$D25*100</f>
        <v>0.51837458621028054</v>
      </c>
      <c r="D25" s="272">
        <f>B25/'- 7 -'!$E25</f>
        <v>65.200069096562444</v>
      </c>
      <c r="E25" s="272">
        <v>1035300</v>
      </c>
      <c r="F25" s="273">
        <f>E25/'- 3 -'!$D25*100</f>
        <v>0.56874592956344527</v>
      </c>
      <c r="G25" s="272">
        <f>E25/'- 7 -'!$E25</f>
        <v>71.535671100362762</v>
      </c>
      <c r="H25" s="272">
        <v>1967282</v>
      </c>
      <c r="I25" s="273">
        <f>H25/'- 3 -'!$D25*100</f>
        <v>1.0807337291639465</v>
      </c>
      <c r="J25" s="272">
        <f>H25/'- 7 -'!$E25</f>
        <v>135.93242356192781</v>
      </c>
    </row>
    <row r="26" spans="1:10" ht="14.1" customHeight="1" x14ac:dyDescent="0.2">
      <c r="A26" s="15" t="s">
        <v>118</v>
      </c>
      <c r="B26" s="16">
        <v>389327</v>
      </c>
      <c r="C26" s="267">
        <f>B26/'- 3 -'!$D26*100</f>
        <v>0.94566950445812292</v>
      </c>
      <c r="D26" s="16">
        <f>B26/'- 7 -'!$E26</f>
        <v>127.64819672131148</v>
      </c>
      <c r="E26" s="16">
        <v>419525</v>
      </c>
      <c r="F26" s="267">
        <f>E26/'- 3 -'!$D26*100</f>
        <v>1.0190199982477302</v>
      </c>
      <c r="G26" s="16">
        <f>E26/'- 7 -'!$E26</f>
        <v>137.54918032786884</v>
      </c>
      <c r="H26" s="16">
        <v>388650</v>
      </c>
      <c r="I26" s="267">
        <f>H26/'- 3 -'!$D26*100</f>
        <v>0.94402508150641873</v>
      </c>
      <c r="J26" s="16">
        <f>H26/'- 7 -'!$E26</f>
        <v>127.42622950819673</v>
      </c>
    </row>
    <row r="27" spans="1:10" ht="14.1" customHeight="1" x14ac:dyDescent="0.2">
      <c r="A27" s="271" t="s">
        <v>119</v>
      </c>
      <c r="B27" s="272">
        <v>169497</v>
      </c>
      <c r="C27" s="273">
        <f>B27/'- 3 -'!$D27*100</f>
        <v>0.38482317709099589</v>
      </c>
      <c r="D27" s="272">
        <f>B27/'- 7 -'!$E27</f>
        <v>56.679294135631444</v>
      </c>
      <c r="E27" s="272">
        <v>193600</v>
      </c>
      <c r="F27" s="273">
        <f>E27/'- 3 -'!$D27*100</f>
        <v>0.43954622845723995</v>
      </c>
      <c r="G27" s="272">
        <f>E27/'- 7 -'!$E27</f>
        <v>64.739265855196535</v>
      </c>
      <c r="H27" s="272">
        <v>186950</v>
      </c>
      <c r="I27" s="273">
        <f>H27/'- 3 -'!$D27*100</f>
        <v>0.42444817877107965</v>
      </c>
      <c r="J27" s="272">
        <f>H27/'- 7 -'!$E27</f>
        <v>62.515525576596033</v>
      </c>
    </row>
    <row r="28" spans="1:10" ht="14.1" customHeight="1" x14ac:dyDescent="0.2">
      <c r="A28" s="15" t="s">
        <v>120</v>
      </c>
      <c r="B28" s="16">
        <v>235174</v>
      </c>
      <c r="C28" s="267">
        <f>B28/'- 3 -'!$D28*100</f>
        <v>0.81386404566088277</v>
      </c>
      <c r="D28" s="16">
        <f>B28/'- 7 -'!$E28</f>
        <v>120.04798366513528</v>
      </c>
      <c r="E28" s="16">
        <v>191200</v>
      </c>
      <c r="F28" s="267">
        <f>E28/'- 3 -'!$D28*100</f>
        <v>0.66168371303953999</v>
      </c>
      <c r="G28" s="16">
        <f>E28/'- 7 -'!$E28</f>
        <v>97.600816743236351</v>
      </c>
      <c r="H28" s="16">
        <v>312400</v>
      </c>
      <c r="I28" s="267">
        <f>H28/'- 3 -'!$D28*100</f>
        <v>1.0811192047779932</v>
      </c>
      <c r="J28" s="16">
        <f>H28/'- 7 -'!$E28</f>
        <v>159.46911689637571</v>
      </c>
    </row>
    <row r="29" spans="1:10" ht="14.1" customHeight="1" x14ac:dyDescent="0.2">
      <c r="A29" s="271" t="s">
        <v>121</v>
      </c>
      <c r="B29" s="272">
        <v>1049929</v>
      </c>
      <c r="C29" s="273">
        <f>B29/'- 3 -'!$D29*100</f>
        <v>0.63873051305981665</v>
      </c>
      <c r="D29" s="272">
        <f>B29/'- 7 -'!$E29</f>
        <v>80.368726031277035</v>
      </c>
      <c r="E29" s="272">
        <v>742300</v>
      </c>
      <c r="F29" s="273">
        <f>E29/'- 3 -'!$D29*100</f>
        <v>0.45158259257940475</v>
      </c>
      <c r="G29" s="272">
        <f>E29/'- 7 -'!$E29</f>
        <v>56.820704383836372</v>
      </c>
      <c r="H29" s="272">
        <v>1847500</v>
      </c>
      <c r="I29" s="273">
        <f>H29/'- 3 -'!$D29*100</f>
        <v>1.1239375451844946</v>
      </c>
      <c r="J29" s="272">
        <f>H29/'- 7 -'!$E29</f>
        <v>141.4202496957264</v>
      </c>
    </row>
    <row r="30" spans="1:10" ht="14.1" customHeight="1" x14ac:dyDescent="0.2">
      <c r="A30" s="15" t="s">
        <v>122</v>
      </c>
      <c r="B30" s="16">
        <v>113858</v>
      </c>
      <c r="C30" s="267">
        <f>B30/'- 3 -'!$D30*100</f>
        <v>0.75167881294719197</v>
      </c>
      <c r="D30" s="16">
        <f>B30/'- 7 -'!$E30</f>
        <v>112.12013786312161</v>
      </c>
      <c r="E30" s="16">
        <v>122090</v>
      </c>
      <c r="F30" s="267">
        <f>E30/'- 3 -'!$D30*100</f>
        <v>0.8060256308096283</v>
      </c>
      <c r="G30" s="16">
        <f>E30/'- 7 -'!$E30</f>
        <v>120.22648941408173</v>
      </c>
      <c r="H30" s="16">
        <v>124992</v>
      </c>
      <c r="I30" s="267">
        <f>H30/'- 3 -'!$D30*100</f>
        <v>0.82518433652352419</v>
      </c>
      <c r="J30" s="16">
        <f>H30/'- 7 -'!$E30</f>
        <v>123.08419497784342</v>
      </c>
    </row>
    <row r="31" spans="1:10" ht="14.1" customHeight="1" x14ac:dyDescent="0.2">
      <c r="A31" s="271" t="s">
        <v>123</v>
      </c>
      <c r="B31" s="272">
        <v>282221</v>
      </c>
      <c r="C31" s="273">
        <f>B31/'- 3 -'!$D31*100</f>
        <v>0.73711964896701232</v>
      </c>
      <c r="D31" s="272">
        <f>B31/'- 7 -'!$E31</f>
        <v>85.925102755366112</v>
      </c>
      <c r="E31" s="272">
        <v>140200</v>
      </c>
      <c r="F31" s="273">
        <f>E31/'- 3 -'!$D31*100</f>
        <v>0.36618173270300625</v>
      </c>
      <c r="G31" s="272">
        <f>E31/'- 7 -'!$E31</f>
        <v>42.685340234434463</v>
      </c>
      <c r="H31" s="272">
        <v>273985</v>
      </c>
      <c r="I31" s="273">
        <f>H31/'- 3 -'!$D31*100</f>
        <v>0.71560843106015093</v>
      </c>
      <c r="J31" s="272">
        <f>H31/'- 7 -'!$E31</f>
        <v>83.417567361851113</v>
      </c>
    </row>
    <row r="32" spans="1:10" ht="14.1" customHeight="1" x14ac:dyDescent="0.2">
      <c r="A32" s="15" t="s">
        <v>124</v>
      </c>
      <c r="B32" s="16">
        <v>275321</v>
      </c>
      <c r="C32" s="267">
        <f>B32/'- 3 -'!$D32*100</f>
        <v>0.87924793980105154</v>
      </c>
      <c r="D32" s="16">
        <f>B32/'- 7 -'!$E32</f>
        <v>124.41075463172164</v>
      </c>
      <c r="E32" s="16">
        <v>160200</v>
      </c>
      <c r="F32" s="267">
        <f>E32/'- 3 -'!$D32*100</f>
        <v>0.51160470852615114</v>
      </c>
      <c r="G32" s="16">
        <f>E32/'- 7 -'!$E32</f>
        <v>72.390420244012645</v>
      </c>
      <c r="H32" s="16">
        <v>400117</v>
      </c>
      <c r="I32" s="267">
        <f>H32/'- 3 -'!$D32*100</f>
        <v>1.2777886464504247</v>
      </c>
      <c r="J32" s="16">
        <f>H32/'- 7 -'!$E32</f>
        <v>180.80298237686398</v>
      </c>
    </row>
    <row r="33" spans="1:10" ht="14.1" customHeight="1" x14ac:dyDescent="0.2">
      <c r="A33" s="271" t="s">
        <v>125</v>
      </c>
      <c r="B33" s="272">
        <v>371600</v>
      </c>
      <c r="C33" s="273">
        <f>B33/'- 3 -'!$D33*100</f>
        <v>1.3096219858605935</v>
      </c>
      <c r="D33" s="272">
        <f>B33/'- 7 -'!$E33</f>
        <v>187.29838709677421</v>
      </c>
      <c r="E33" s="272">
        <v>253500</v>
      </c>
      <c r="F33" s="273">
        <f>E33/'- 3 -'!$D33*100</f>
        <v>0.89340466473536195</v>
      </c>
      <c r="G33" s="272">
        <f>E33/'- 7 -'!$E33</f>
        <v>127.77217741935483</v>
      </c>
      <c r="H33" s="272">
        <v>289500</v>
      </c>
      <c r="I33" s="273">
        <f>H33/'- 3 -'!$D33*100</f>
        <v>1.0202786999640523</v>
      </c>
      <c r="J33" s="272">
        <f>H33/'- 7 -'!$E33</f>
        <v>145.91733870967741</v>
      </c>
    </row>
    <row r="34" spans="1:10" ht="14.1" customHeight="1" x14ac:dyDescent="0.2">
      <c r="A34" s="15" t="s">
        <v>126</v>
      </c>
      <c r="B34" s="16">
        <v>386073</v>
      </c>
      <c r="C34" s="267">
        <f>B34/'- 3 -'!$D34*100</f>
        <v>1.2557291567395543</v>
      </c>
      <c r="D34" s="16">
        <f>B34/'- 7 -'!$E34</f>
        <v>187.87007299270073</v>
      </c>
      <c r="E34" s="16">
        <v>150040</v>
      </c>
      <c r="F34" s="267">
        <f>E34/'- 3 -'!$D34*100</f>
        <v>0.48801548587236798</v>
      </c>
      <c r="G34" s="16">
        <f>E34/'- 7 -'!$E34</f>
        <v>73.012165450121657</v>
      </c>
      <c r="H34" s="16">
        <v>515469</v>
      </c>
      <c r="I34" s="267">
        <f>H34/'- 3 -'!$D34*100</f>
        <v>1.6765986036199925</v>
      </c>
      <c r="J34" s="16">
        <f>H34/'- 7 -'!$E34</f>
        <v>250.83649635036497</v>
      </c>
    </row>
    <row r="35" spans="1:10" ht="14.1" customHeight="1" x14ac:dyDescent="0.2">
      <c r="A35" s="271" t="s">
        <v>127</v>
      </c>
      <c r="B35" s="272">
        <v>787000</v>
      </c>
      <c r="C35" s="273">
        <f>B35/'- 3 -'!$D35*100</f>
        <v>0.42490571857714637</v>
      </c>
      <c r="D35" s="272">
        <f>B35/'- 7 -'!$E35</f>
        <v>50.119407737621401</v>
      </c>
      <c r="E35" s="272">
        <v>611300</v>
      </c>
      <c r="F35" s="273">
        <f>E35/'- 3 -'!$D35*100</f>
        <v>0.3300443021171659</v>
      </c>
      <c r="G35" s="272">
        <f>E35/'- 7 -'!$E35</f>
        <v>38.930106670912274</v>
      </c>
      <c r="H35" s="272">
        <v>1218450</v>
      </c>
      <c r="I35" s="273">
        <f>H35/'- 3 -'!$D35*100</f>
        <v>0.65784799593433796</v>
      </c>
      <c r="J35" s="272">
        <f>H35/'- 7 -'!$E35</f>
        <v>77.595924215889184</v>
      </c>
    </row>
    <row r="36" spans="1:10" ht="14.1" customHeight="1" x14ac:dyDescent="0.2">
      <c r="A36" s="15" t="s">
        <v>128</v>
      </c>
      <c r="B36" s="16">
        <v>185600</v>
      </c>
      <c r="C36" s="267">
        <f>B36/'- 3 -'!$D36*100</f>
        <v>0.77416378527716501</v>
      </c>
      <c r="D36" s="16">
        <f>B36/'- 7 -'!$E36</f>
        <v>110.3776390127862</v>
      </c>
      <c r="E36" s="16">
        <v>311375</v>
      </c>
      <c r="F36" s="267">
        <f>E36/'- 3 -'!$D36*100</f>
        <v>1.2987890551760628</v>
      </c>
      <c r="G36" s="16">
        <f>E36/'- 7 -'!$E36</f>
        <v>185.1769253642581</v>
      </c>
      <c r="H36" s="16">
        <v>269000</v>
      </c>
      <c r="I36" s="267">
        <f>H36/'- 3 -'!$D36*100</f>
        <v>1.1220369517217532</v>
      </c>
      <c r="J36" s="16">
        <f>H36/'- 7 -'!$E36</f>
        <v>159.97621171573002</v>
      </c>
    </row>
    <row r="37" spans="1:10" ht="14.1" customHeight="1" x14ac:dyDescent="0.2">
      <c r="A37" s="271" t="s">
        <v>129</v>
      </c>
      <c r="B37" s="272">
        <v>311000</v>
      </c>
      <c r="C37" s="273">
        <f>B37/'- 3 -'!$D37*100</f>
        <v>0.59657401546105004</v>
      </c>
      <c r="D37" s="272">
        <f>B37/'- 7 -'!$E37</f>
        <v>73.112819427792274</v>
      </c>
      <c r="E37" s="272">
        <v>526200</v>
      </c>
      <c r="F37" s="273">
        <f>E37/'- 3 -'!$D37*100</f>
        <v>1.0093802152270241</v>
      </c>
      <c r="G37" s="272">
        <f>E37/'- 7 -'!$E37</f>
        <v>123.70406939840611</v>
      </c>
      <c r="H37" s="272">
        <v>560400</v>
      </c>
      <c r="I37" s="273">
        <f>H37/'- 3 -'!$D37*100</f>
        <v>1.0749841744835127</v>
      </c>
      <c r="J37" s="272">
        <f>H37/'- 7 -'!$E37</f>
        <v>131.74412864094788</v>
      </c>
    </row>
    <row r="38" spans="1:10" ht="14.1" customHeight="1" x14ac:dyDescent="0.2">
      <c r="A38" s="15" t="s">
        <v>130</v>
      </c>
      <c r="B38" s="16">
        <v>349380</v>
      </c>
      <c r="C38" s="267">
        <f>B38/'- 3 -'!$D38*100</f>
        <v>0.24741127418718192</v>
      </c>
      <c r="D38" s="16">
        <f>B38/'- 7 -'!$E38</f>
        <v>30.945969884853852</v>
      </c>
      <c r="E38" s="16">
        <v>843920</v>
      </c>
      <c r="F38" s="267">
        <f>E38/'- 3 -'!$D38*100</f>
        <v>0.5976166996165968</v>
      </c>
      <c r="G38" s="16">
        <f>E38/'- 7 -'!$E38</f>
        <v>74.749335695305575</v>
      </c>
      <c r="H38" s="16">
        <v>1166165</v>
      </c>
      <c r="I38" s="267">
        <f>H38/'- 3 -'!$D38*100</f>
        <v>0.82581249230778819</v>
      </c>
      <c r="J38" s="16">
        <f>H38/'- 7 -'!$E38</f>
        <v>103.29185119574845</v>
      </c>
    </row>
    <row r="39" spans="1:10" ht="14.1" customHeight="1" x14ac:dyDescent="0.2">
      <c r="A39" s="271" t="s">
        <v>131</v>
      </c>
      <c r="B39" s="272">
        <v>227400</v>
      </c>
      <c r="C39" s="273">
        <f>B39/'- 3 -'!$D39*100</f>
        <v>0.97720079671516147</v>
      </c>
      <c r="D39" s="272">
        <f>B39/'- 7 -'!$E39</f>
        <v>150.79575596816977</v>
      </c>
      <c r="E39" s="272">
        <v>136000</v>
      </c>
      <c r="F39" s="273">
        <f>E39/'- 3 -'!$D39*100</f>
        <v>0.58442967613571661</v>
      </c>
      <c r="G39" s="272">
        <f>E39/'- 7 -'!$E39</f>
        <v>90.185676392572944</v>
      </c>
      <c r="H39" s="272">
        <v>89400</v>
      </c>
      <c r="I39" s="273">
        <f>H39/'- 3 -'!$D39*100</f>
        <v>0.38417656651862547</v>
      </c>
      <c r="J39" s="272">
        <f>H39/'- 7 -'!$E39</f>
        <v>59.283819628647215</v>
      </c>
    </row>
    <row r="40" spans="1:10" ht="14.1" customHeight="1" x14ac:dyDescent="0.2">
      <c r="A40" s="15" t="s">
        <v>132</v>
      </c>
      <c r="B40" s="16">
        <v>721272</v>
      </c>
      <c r="C40" s="267">
        <f>B40/'- 3 -'!$D40*100</f>
        <v>0.66907795159988104</v>
      </c>
      <c r="D40" s="16">
        <f>B40/'- 7 -'!$E40</f>
        <v>87.75025548688501</v>
      </c>
      <c r="E40" s="16">
        <v>676379</v>
      </c>
      <c r="F40" s="267">
        <f>E40/'- 3 -'!$D40*100</f>
        <v>0.6274335837592141</v>
      </c>
      <c r="G40" s="16">
        <f>E40/'- 7 -'!$E40</f>
        <v>82.288554187551696</v>
      </c>
      <c r="H40" s="16">
        <v>915916</v>
      </c>
      <c r="I40" s="267">
        <f>H40/'- 3 -'!$D40*100</f>
        <v>0.84963675439717146</v>
      </c>
      <c r="J40" s="16">
        <f>H40/'- 7 -'!$E40</f>
        <v>111.43072655603679</v>
      </c>
    </row>
    <row r="41" spans="1:10" ht="14.1" customHeight="1" x14ac:dyDescent="0.2">
      <c r="A41" s="271" t="s">
        <v>133</v>
      </c>
      <c r="B41" s="272">
        <v>395786</v>
      </c>
      <c r="C41" s="273">
        <f>B41/'- 3 -'!$D41*100</f>
        <v>0.6128132195206959</v>
      </c>
      <c r="D41" s="272">
        <f>B41/'- 7 -'!$E41</f>
        <v>89.382565492321589</v>
      </c>
      <c r="E41" s="272">
        <v>625080</v>
      </c>
      <c r="F41" s="273">
        <f>E41/'- 3 -'!$D41*100</f>
        <v>0.96783940629025944</v>
      </c>
      <c r="G41" s="272">
        <f>E41/'- 7 -'!$E41</f>
        <v>141.16531165311653</v>
      </c>
      <c r="H41" s="272">
        <v>369355</v>
      </c>
      <c r="I41" s="273">
        <f>H41/'- 3 -'!$D41*100</f>
        <v>0.57188891647523321</v>
      </c>
      <c r="J41" s="272">
        <f>H41/'- 7 -'!$E41</f>
        <v>83.413504968383023</v>
      </c>
    </row>
    <row r="42" spans="1:10" ht="14.1" customHeight="1" x14ac:dyDescent="0.2">
      <c r="A42" s="15" t="s">
        <v>134</v>
      </c>
      <c r="B42" s="16">
        <v>236150</v>
      </c>
      <c r="C42" s="267">
        <f>B42/'- 3 -'!$D42*100</f>
        <v>1.1007827560598289</v>
      </c>
      <c r="D42" s="16">
        <f>B42/'- 7 -'!$E42</f>
        <v>170.25955299206922</v>
      </c>
      <c r="E42" s="16">
        <v>215466</v>
      </c>
      <c r="F42" s="267">
        <f>E42/'- 3 -'!$D42*100</f>
        <v>1.0043669587854629</v>
      </c>
      <c r="G42" s="16">
        <f>E42/'- 7 -'!$E42</f>
        <v>155.34679163662582</v>
      </c>
      <c r="H42" s="16">
        <v>116601</v>
      </c>
      <c r="I42" s="267">
        <f>H42/'- 3 -'!$D42*100</f>
        <v>0.54352051721080707</v>
      </c>
      <c r="J42" s="16">
        <f>H42/'- 7 -'!$E42</f>
        <v>84.067051189617885</v>
      </c>
    </row>
    <row r="43" spans="1:10" ht="14.1" customHeight="1" x14ac:dyDescent="0.2">
      <c r="A43" s="271" t="s">
        <v>135</v>
      </c>
      <c r="B43" s="272">
        <v>59526</v>
      </c>
      <c r="C43" s="273">
        <f>B43/'- 3 -'!$D43*100</f>
        <v>0.43547518414749181</v>
      </c>
      <c r="D43" s="272">
        <f>B43/'- 7 -'!$E43</f>
        <v>62.494488188976376</v>
      </c>
      <c r="E43" s="272">
        <v>93010</v>
      </c>
      <c r="F43" s="273">
        <f>E43/'- 3 -'!$D43*100</f>
        <v>0.68043454755162802</v>
      </c>
      <c r="G43" s="272">
        <f>E43/'- 7 -'!$E43</f>
        <v>97.648293963254588</v>
      </c>
      <c r="H43" s="272">
        <v>195816</v>
      </c>
      <c r="I43" s="273">
        <f>H43/'- 3 -'!$D43*100</f>
        <v>1.4325338282267457</v>
      </c>
      <c r="J43" s="272">
        <f>H43/'- 7 -'!$E43</f>
        <v>205.58110236220472</v>
      </c>
    </row>
    <row r="44" spans="1:10" ht="14.1" customHeight="1" x14ac:dyDescent="0.2">
      <c r="A44" s="15" t="s">
        <v>136</v>
      </c>
      <c r="B44" s="16">
        <v>121514</v>
      </c>
      <c r="C44" s="267">
        <f>B44/'- 3 -'!$D44*100</f>
        <v>1.077249481029473</v>
      </c>
      <c r="D44" s="16">
        <f>B44/'- 7 -'!$E44</f>
        <v>169.71229050279331</v>
      </c>
      <c r="E44" s="16">
        <v>88200</v>
      </c>
      <c r="F44" s="267">
        <f>E44/'- 3 -'!$D44*100</f>
        <v>0.7819132299718512</v>
      </c>
      <c r="G44" s="16">
        <f>E44/'- 7 -'!$E44</f>
        <v>123.18435754189944</v>
      </c>
      <c r="H44" s="16">
        <v>176125</v>
      </c>
      <c r="I44" s="267">
        <f>H44/'- 3 -'!$D44*100</f>
        <v>1.5613885218683932</v>
      </c>
      <c r="J44" s="16">
        <f>H44/'- 7 -'!$E44</f>
        <v>245.98463687150837</v>
      </c>
    </row>
    <row r="45" spans="1:10" ht="14.1" customHeight="1" x14ac:dyDescent="0.2">
      <c r="A45" s="271" t="s">
        <v>137</v>
      </c>
      <c r="B45" s="272">
        <v>223559</v>
      </c>
      <c r="C45" s="273">
        <f>B45/'- 3 -'!$D45*100</f>
        <v>1.1052729756137307</v>
      </c>
      <c r="D45" s="272">
        <f>B45/'- 7 -'!$E45</f>
        <v>129.07563510392609</v>
      </c>
      <c r="E45" s="272">
        <v>69200</v>
      </c>
      <c r="F45" s="273">
        <f>E45/'- 3 -'!$D45*100</f>
        <v>0.34212395793714478</v>
      </c>
      <c r="G45" s="272">
        <f>E45/'- 7 -'!$E45</f>
        <v>39.953810623556585</v>
      </c>
      <c r="H45" s="272">
        <v>87800</v>
      </c>
      <c r="I45" s="273">
        <f>H45/'- 3 -'!$D45*100</f>
        <v>0.43408213160233117</v>
      </c>
      <c r="J45" s="272">
        <f>H45/'- 7 -'!$E45</f>
        <v>50.69284064665127</v>
      </c>
    </row>
    <row r="46" spans="1:10" ht="14.1" customHeight="1" x14ac:dyDescent="0.2">
      <c r="A46" s="15" t="s">
        <v>138</v>
      </c>
      <c r="B46" s="16">
        <v>1073500</v>
      </c>
      <c r="C46" s="267">
        <f>B46/'- 3 -'!$D46*100</f>
        <v>0.26673213012751212</v>
      </c>
      <c r="D46" s="16">
        <f>B46/'- 7 -'!$E46</f>
        <v>35.475289568909965</v>
      </c>
      <c r="E46" s="16">
        <v>1416100</v>
      </c>
      <c r="F46" s="267">
        <f>E46/'- 3 -'!$D46*100</f>
        <v>0.35185781972386576</v>
      </c>
      <c r="G46" s="16">
        <f>E46/'- 7 -'!$E46</f>
        <v>46.796979560813604</v>
      </c>
      <c r="H46" s="16">
        <v>2695400</v>
      </c>
      <c r="I46" s="267">
        <f>H46/'- 3 -'!$D46*100</f>
        <v>0.669724996316438</v>
      </c>
      <c r="J46" s="16">
        <f>H46/'- 7 -'!$E46</f>
        <v>89.073214256208587</v>
      </c>
    </row>
    <row r="47" spans="1:10" ht="5.0999999999999996" customHeight="1" x14ac:dyDescent="0.2">
      <c r="A47"/>
      <c r="B47"/>
      <c r="C47"/>
      <c r="D47"/>
      <c r="E47"/>
      <c r="F47"/>
      <c r="G47"/>
      <c r="H47"/>
      <c r="I47"/>
      <c r="J47"/>
    </row>
    <row r="48" spans="1:10" ht="14.1" customHeight="1" x14ac:dyDescent="0.2">
      <c r="A48" s="274" t="s">
        <v>139</v>
      </c>
      <c r="B48" s="275">
        <f>SUM(B11:B46)</f>
        <v>13505039</v>
      </c>
      <c r="C48" s="276">
        <f>B48/'- 3 -'!$D48*100</f>
        <v>0.5692811111362639</v>
      </c>
      <c r="D48" s="275">
        <f>B48/'- 7 -'!$E48</f>
        <v>76.105454394983724</v>
      </c>
      <c r="E48" s="275">
        <f>SUM(E11:E46)</f>
        <v>11750332</v>
      </c>
      <c r="F48" s="276">
        <f>E48/'- 3 -'!$D48*100</f>
        <v>0.49531453090805577</v>
      </c>
      <c r="G48" s="275">
        <f>E48/'- 7 -'!$E48</f>
        <v>66.21708801817735</v>
      </c>
      <c r="H48" s="275">
        <f>SUM(H11:H46)</f>
        <v>22562002</v>
      </c>
      <c r="I48" s="276">
        <f>H48/'- 3 -'!$D48*100</f>
        <v>0.95106141996469684</v>
      </c>
      <c r="J48" s="275">
        <f>H48/'- 7 -'!$E48</f>
        <v>127.1444987512092</v>
      </c>
    </row>
    <row r="49" spans="1:10" ht="5.0999999999999996" customHeight="1" x14ac:dyDescent="0.2">
      <c r="A49" s="17" t="s">
        <v>1</v>
      </c>
      <c r="B49" s="18"/>
      <c r="C49" s="266"/>
      <c r="D49" s="18"/>
      <c r="E49" s="18"/>
      <c r="F49" s="266"/>
      <c r="H49" s="18"/>
      <c r="I49" s="266"/>
      <c r="J49" s="18"/>
    </row>
    <row r="50" spans="1:10" ht="14.1" customHeight="1" x14ac:dyDescent="0.2">
      <c r="A50" s="15" t="s">
        <v>140</v>
      </c>
      <c r="B50" s="16">
        <v>0</v>
      </c>
      <c r="C50" s="267">
        <f>B50/'- 3 -'!$D50*100</f>
        <v>0</v>
      </c>
      <c r="D50" s="16">
        <f>B50/'- 7 -'!$E50</f>
        <v>0</v>
      </c>
      <c r="E50" s="16">
        <v>38760</v>
      </c>
      <c r="F50" s="267">
        <f>E50/'- 3 -'!$D50*100</f>
        <v>1.0888374497157112</v>
      </c>
      <c r="G50" s="16">
        <f>E50/'- 7 -'!$E50</f>
        <v>239.25925925925927</v>
      </c>
      <c r="H50" s="16">
        <v>87363</v>
      </c>
      <c r="I50" s="267">
        <f>H50/'- 3 -'!$D50*100</f>
        <v>2.4541823044250175</v>
      </c>
      <c r="J50" s="16">
        <f>H50/'- 7 -'!$E50</f>
        <v>539.27777777777783</v>
      </c>
    </row>
    <row r="51" spans="1:10" ht="14.1" customHeight="1" x14ac:dyDescent="0.2">
      <c r="A51" s="360" t="s">
        <v>516</v>
      </c>
      <c r="B51" s="272">
        <v>0</v>
      </c>
      <c r="C51" s="273">
        <f>B51/'- 3 -'!$D51*100</f>
        <v>0</v>
      </c>
      <c r="D51" s="272">
        <f>B51/'- 7 -'!$E51</f>
        <v>0</v>
      </c>
      <c r="E51" s="272">
        <v>240596</v>
      </c>
      <c r="F51" s="273">
        <f>E51/'- 3 -'!$D51*100</f>
        <v>0.78605405835251374</v>
      </c>
      <c r="G51" s="272">
        <f>E51/'- 7 -'!$E51</f>
        <v>225.69981238273922</v>
      </c>
      <c r="H51" s="272">
        <v>107304</v>
      </c>
      <c r="I51" s="273">
        <f>H51/'- 3 -'!$D51*100</f>
        <v>0.35057417694998305</v>
      </c>
      <c r="J51" s="272">
        <f>H51/'- 7 -'!$E51</f>
        <v>100.66041275797373</v>
      </c>
    </row>
    <row r="52" spans="1:10" ht="50.1" customHeight="1" x14ac:dyDescent="0.2">
      <c r="A52" s="19"/>
      <c r="B52" s="19"/>
      <c r="C52" s="19"/>
      <c r="D52" s="19"/>
      <c r="E52" s="19"/>
      <c r="F52" s="19"/>
      <c r="G52" s="19"/>
      <c r="H52" s="19"/>
      <c r="I52" s="19"/>
      <c r="J52" s="19"/>
    </row>
    <row r="53" spans="1:10" ht="15" customHeight="1" x14ac:dyDescent="0.2">
      <c r="A53" s="566" t="s">
        <v>541</v>
      </c>
      <c r="B53" s="566"/>
      <c r="C53" s="566"/>
      <c r="D53" s="566"/>
      <c r="E53" s="566"/>
      <c r="F53" s="566"/>
      <c r="G53" s="566"/>
      <c r="H53" s="566"/>
      <c r="I53" s="566"/>
      <c r="J53" s="566"/>
    </row>
    <row r="54" spans="1:10" ht="12" customHeight="1" x14ac:dyDescent="0.2">
      <c r="A54" s="567"/>
      <c r="B54" s="567"/>
      <c r="C54" s="567"/>
      <c r="D54" s="567"/>
      <c r="E54" s="567"/>
      <c r="F54" s="567"/>
      <c r="G54" s="567"/>
      <c r="H54" s="567"/>
      <c r="I54" s="567"/>
      <c r="J54" s="567"/>
    </row>
    <row r="55" spans="1:10" x14ac:dyDescent="0.2">
      <c r="A55" s="567"/>
      <c r="B55" s="567"/>
      <c r="C55" s="567"/>
      <c r="D55" s="567"/>
      <c r="E55" s="567"/>
      <c r="F55" s="567"/>
      <c r="G55" s="567"/>
      <c r="H55" s="567"/>
      <c r="I55" s="567"/>
      <c r="J55" s="567"/>
    </row>
    <row r="56" spans="1:10" ht="14.45" customHeight="1" x14ac:dyDescent="0.2"/>
    <row r="57" spans="1:10" ht="14.45" customHeight="1" x14ac:dyDescent="0.2"/>
    <row r="58" spans="1:10" ht="14.45" customHeight="1" x14ac:dyDescent="0.2"/>
    <row r="59" spans="1:10" ht="14.45" customHeight="1" x14ac:dyDescent="0.2"/>
  </sheetData>
  <mergeCells count="8">
    <mergeCell ref="A53:J55"/>
    <mergeCell ref="B6:J6"/>
    <mergeCell ref="B7:D7"/>
    <mergeCell ref="E7:G7"/>
    <mergeCell ref="D8:D9"/>
    <mergeCell ref="G8:G9"/>
    <mergeCell ref="J8:J9"/>
    <mergeCell ref="H7:J7"/>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H54"/>
  <sheetViews>
    <sheetView showGridLines="0" showZeros="0" workbookViewId="0"/>
  </sheetViews>
  <sheetFormatPr defaultColWidth="15.83203125" defaultRowHeight="12" x14ac:dyDescent="0.2"/>
  <cols>
    <col min="1" max="1" width="32.83203125" style="1" customWidth="1"/>
    <col min="2" max="2" width="18.83203125" style="1" customWidth="1"/>
    <col min="3" max="3" width="9.83203125" style="1" customWidth="1"/>
    <col min="4" max="4" width="10.83203125" style="1" customWidth="1"/>
    <col min="5" max="5" width="18.83203125" style="1" customWidth="1"/>
    <col min="6" max="6" width="9.83203125" style="1" customWidth="1"/>
    <col min="7" max="7" width="10.83203125" style="1" customWidth="1"/>
    <col min="8" max="8" width="21.83203125" style="1" customWidth="1"/>
    <col min="9" max="16384" width="15.83203125" style="1"/>
  </cols>
  <sheetData>
    <row r="1" spans="1:8" ht="6.95" customHeight="1" x14ac:dyDescent="0.2">
      <c r="A1" s="3"/>
      <c r="B1" s="3"/>
      <c r="C1" s="3"/>
      <c r="D1" s="3"/>
      <c r="E1" s="4"/>
      <c r="F1" s="4"/>
      <c r="G1" s="4"/>
    </row>
    <row r="2" spans="1:8" ht="15.95" customHeight="1" x14ac:dyDescent="0.2">
      <c r="A2" s="132"/>
      <c r="B2" s="5" t="str">
        <f>+'- 37 -'!B2</f>
        <v>ANALYSIS OF INFORMATION TECHNOLOGY EXPENSES</v>
      </c>
      <c r="C2" s="177"/>
      <c r="D2" s="177"/>
      <c r="E2" s="5"/>
      <c r="F2" s="178"/>
      <c r="G2" s="142"/>
      <c r="H2" s="134"/>
    </row>
    <row r="3" spans="1:8" ht="15.95" customHeight="1" x14ac:dyDescent="0.2">
      <c r="A3" s="135"/>
      <c r="B3" s="7" t="str">
        <f>OPYEAR</f>
        <v>OPERATING FUND 2017/2018 BUDGET</v>
      </c>
      <c r="C3" s="179"/>
      <c r="D3" s="179"/>
      <c r="E3" s="7"/>
      <c r="F3" s="143"/>
      <c r="G3" s="143"/>
      <c r="H3" s="136"/>
    </row>
    <row r="4" spans="1:8" ht="15.95" customHeight="1" x14ac:dyDescent="0.2">
      <c r="E4" s="4"/>
      <c r="F4" s="4"/>
      <c r="G4" s="4"/>
    </row>
    <row r="5" spans="1:8" ht="18" customHeight="1" x14ac:dyDescent="0.2">
      <c r="B5" s="704" t="s">
        <v>253</v>
      </c>
      <c r="C5" s="705"/>
      <c r="D5" s="705"/>
      <c r="E5" s="705"/>
      <c r="F5" s="705"/>
      <c r="G5" s="706"/>
    </row>
    <row r="6" spans="1:8" ht="15.95" customHeight="1" x14ac:dyDescent="0.2">
      <c r="B6" s="691" t="s">
        <v>444</v>
      </c>
      <c r="C6" s="708"/>
      <c r="D6" s="709"/>
      <c r="E6" s="310"/>
      <c r="F6" s="311"/>
      <c r="G6" s="312"/>
    </row>
    <row r="7" spans="1:8" ht="15.95" customHeight="1" x14ac:dyDescent="0.2">
      <c r="B7" s="683"/>
      <c r="C7" s="710"/>
      <c r="D7" s="684"/>
      <c r="E7" s="693" t="s">
        <v>25</v>
      </c>
      <c r="F7" s="707"/>
      <c r="G7" s="694"/>
    </row>
    <row r="8" spans="1:8" ht="15.95" customHeight="1" x14ac:dyDescent="0.2">
      <c r="A8" s="82"/>
      <c r="B8" s="137"/>
      <c r="C8" s="83"/>
      <c r="D8" s="539" t="s">
        <v>396</v>
      </c>
      <c r="E8" s="137"/>
      <c r="F8" s="138"/>
      <c r="G8" s="538" t="s">
        <v>396</v>
      </c>
    </row>
    <row r="9" spans="1:8" ht="15.95" customHeight="1" x14ac:dyDescent="0.2">
      <c r="A9" s="27" t="s">
        <v>37</v>
      </c>
      <c r="B9" s="89" t="s">
        <v>38</v>
      </c>
      <c r="C9" s="89" t="s">
        <v>39</v>
      </c>
      <c r="D9" s="578"/>
      <c r="E9" s="89" t="s">
        <v>38</v>
      </c>
      <c r="F9" s="89" t="s">
        <v>39</v>
      </c>
      <c r="G9" s="578"/>
    </row>
    <row r="10" spans="1:8" ht="5.0999999999999996" customHeight="1" x14ac:dyDescent="0.2">
      <c r="A10" s="29"/>
      <c r="B10" s="29"/>
      <c r="C10" s="29"/>
      <c r="D10" s="29"/>
    </row>
    <row r="11" spans="1:8" ht="14.1" customHeight="1" x14ac:dyDescent="0.2">
      <c r="A11" s="271" t="s">
        <v>104</v>
      </c>
      <c r="B11" s="272">
        <f>'- 26 -'!B11</f>
        <v>8000</v>
      </c>
      <c r="C11" s="273">
        <f>'- 26 -'!C11</f>
        <v>3.965772606366235E-2</v>
      </c>
      <c r="D11" s="272">
        <f>'- 26 -'!D11</f>
        <v>4.4543429844097995</v>
      </c>
      <c r="E11" s="272">
        <f>SUM('- 37 -'!B11,'- 37 -'!E11,'- 37 -'!H11,B11)</f>
        <v>559509</v>
      </c>
      <c r="F11" s="273">
        <f>E11/'- 3 -'!D11*100</f>
        <v>2.7736068315192073</v>
      </c>
      <c r="G11" s="272">
        <f>E11/'- 7 -'!E11</f>
        <v>311.53062360801783</v>
      </c>
    </row>
    <row r="12" spans="1:8" ht="14.1" customHeight="1" x14ac:dyDescent="0.2">
      <c r="A12" s="15" t="s">
        <v>105</v>
      </c>
      <c r="B12" s="16">
        <f>'- 26 -'!B12</f>
        <v>191018</v>
      </c>
      <c r="C12" s="267">
        <f>'- 26 -'!C12</f>
        <v>0.54527270985989951</v>
      </c>
      <c r="D12" s="16">
        <f>'- 26 -'!D12</f>
        <v>88.84558139534883</v>
      </c>
      <c r="E12" s="16">
        <f>SUM('- 37 -'!B12,'- 37 -'!E12,'- 37 -'!H12,B12)</f>
        <v>1246082</v>
      </c>
      <c r="F12" s="267">
        <f>E12/'- 3 -'!D12*100</f>
        <v>3.5570182330861142</v>
      </c>
      <c r="G12" s="16">
        <f>E12/'- 7 -'!E12</f>
        <v>579.57302325581395</v>
      </c>
    </row>
    <row r="13" spans="1:8" ht="14.1" customHeight="1" x14ac:dyDescent="0.2">
      <c r="A13" s="271" t="s">
        <v>106</v>
      </c>
      <c r="B13" s="272">
        <f>'- 26 -'!B13</f>
        <v>379900</v>
      </c>
      <c r="C13" s="273">
        <f>'- 26 -'!C13</f>
        <v>0.3730288093321027</v>
      </c>
      <c r="D13" s="272">
        <f>'- 26 -'!D13</f>
        <v>44.536928487690503</v>
      </c>
      <c r="E13" s="272">
        <f>SUM('- 37 -'!B13,'- 37 -'!E13,'- 37 -'!H13,B13)</f>
        <v>2229900</v>
      </c>
      <c r="F13" s="273">
        <f>E13/'- 3 -'!D13*100</f>
        <v>2.1895681545924077</v>
      </c>
      <c r="G13" s="272">
        <f>E13/'- 7 -'!E13</f>
        <v>261.41852286049237</v>
      </c>
    </row>
    <row r="14" spans="1:8" ht="14.1" customHeight="1" x14ac:dyDescent="0.2">
      <c r="A14" s="15" t="s">
        <v>315</v>
      </c>
      <c r="B14" s="16">
        <f>'- 26 -'!B14</f>
        <v>121203</v>
      </c>
      <c r="C14" s="267">
        <f>'- 26 -'!C14</f>
        <v>0.13425909556272708</v>
      </c>
      <c r="D14" s="16">
        <f>'- 26 -'!D14</f>
        <v>21.759964093357272</v>
      </c>
      <c r="E14" s="16">
        <f>SUM('- 37 -'!B14,'- 37 -'!E14,'- 37 -'!H14,B14)</f>
        <v>1786728</v>
      </c>
      <c r="F14" s="267">
        <f>E14/'- 3 -'!D14*100</f>
        <v>1.9791959381913009</v>
      </c>
      <c r="G14" s="16">
        <f>E14/'- 7 -'!E14</f>
        <v>320.77701974865352</v>
      </c>
    </row>
    <row r="15" spans="1:8" ht="14.1" customHeight="1" x14ac:dyDescent="0.2">
      <c r="A15" s="271" t="s">
        <v>107</v>
      </c>
      <c r="B15" s="272">
        <f>'- 26 -'!B15</f>
        <v>54500</v>
      </c>
      <c r="C15" s="273">
        <f>'- 26 -'!C15</f>
        <v>0.26310662007153024</v>
      </c>
      <c r="D15" s="272">
        <f>'- 26 -'!D15</f>
        <v>39.550072568940493</v>
      </c>
      <c r="E15" s="272">
        <f>SUM('- 37 -'!B15,'- 37 -'!E15,'- 37 -'!H15,B15)</f>
        <v>531500</v>
      </c>
      <c r="F15" s="273">
        <f>E15/'- 3 -'!D15*100</f>
        <v>2.5658930012480425</v>
      </c>
      <c r="G15" s="272">
        <f>E15/'- 7 -'!E15</f>
        <v>385.70391872278663</v>
      </c>
    </row>
    <row r="16" spans="1:8" ht="14.1" customHeight="1" x14ac:dyDescent="0.2">
      <c r="A16" s="15" t="s">
        <v>108</v>
      </c>
      <c r="B16" s="16">
        <f>'- 26 -'!B16</f>
        <v>37280</v>
      </c>
      <c r="C16" s="267">
        <f>'- 26 -'!C16</f>
        <v>0.25204863889678419</v>
      </c>
      <c r="D16" s="16">
        <f>'- 26 -'!D16</f>
        <v>40.194070080862531</v>
      </c>
      <c r="E16" s="16">
        <f>SUM('- 37 -'!B16,'- 37 -'!E16,'- 37 -'!H16,B16)</f>
        <v>427683</v>
      </c>
      <c r="F16" s="267">
        <f>E16/'- 3 -'!D16*100</f>
        <v>2.8915482303994997</v>
      </c>
      <c r="G16" s="16">
        <f>E16/'- 7 -'!E16</f>
        <v>461.11374663072775</v>
      </c>
    </row>
    <row r="17" spans="1:7" ht="14.1" customHeight="1" x14ac:dyDescent="0.2">
      <c r="A17" s="271" t="s">
        <v>109</v>
      </c>
      <c r="B17" s="272">
        <f>'- 26 -'!B17</f>
        <v>81280</v>
      </c>
      <c r="C17" s="273">
        <f>'- 26 -'!C17</f>
        <v>0.43464389948303683</v>
      </c>
      <c r="D17" s="272">
        <f>'- 26 -'!D17</f>
        <v>57.706780262690806</v>
      </c>
      <c r="E17" s="272">
        <f>SUM('- 37 -'!B17,'- 37 -'!E17,'- 37 -'!H17,B17)</f>
        <v>505809</v>
      </c>
      <c r="F17" s="273">
        <f>E17/'- 3 -'!D17*100</f>
        <v>2.7048080235434964</v>
      </c>
      <c r="G17" s="272">
        <f>E17/'- 7 -'!E17</f>
        <v>359.11182108626195</v>
      </c>
    </row>
    <row r="18" spans="1:7" ht="14.1" customHeight="1" x14ac:dyDescent="0.2">
      <c r="A18" s="15" t="s">
        <v>110</v>
      </c>
      <c r="B18" s="16">
        <f>'- 26 -'!B18</f>
        <v>622567</v>
      </c>
      <c r="C18" s="267">
        <f>'- 26 -'!C18</f>
        <v>0.47253140750917255</v>
      </c>
      <c r="D18" s="16">
        <f>'- 26 -'!D18</f>
        <v>101.81314188526198</v>
      </c>
      <c r="E18" s="16">
        <f>SUM('- 37 -'!B18,'- 37 -'!E18,'- 37 -'!H18,B18)</f>
        <v>2423927</v>
      </c>
      <c r="F18" s="267">
        <f>E18/'- 3 -'!D18*100</f>
        <v>1.8397724855469149</v>
      </c>
      <c r="G18" s="16">
        <f>E18/'- 7 -'!E18</f>
        <v>396.40331654346829</v>
      </c>
    </row>
    <row r="19" spans="1:7" ht="14.1" customHeight="1" x14ac:dyDescent="0.2">
      <c r="A19" s="271" t="s">
        <v>111</v>
      </c>
      <c r="B19" s="272">
        <f>'- 26 -'!B19</f>
        <v>152800</v>
      </c>
      <c r="C19" s="273">
        <f>'- 26 -'!C19</f>
        <v>0.31354705710334191</v>
      </c>
      <c r="D19" s="272">
        <f>'- 26 -'!D19</f>
        <v>35.219545926011293</v>
      </c>
      <c r="E19" s="272">
        <f>SUM('- 37 -'!B19,'- 37 -'!E19,'- 37 -'!H19,B19)</f>
        <v>1644858</v>
      </c>
      <c r="F19" s="273">
        <f>E19/'- 3 -'!D19*100</f>
        <v>3.3752643013932508</v>
      </c>
      <c r="G19" s="272">
        <f>E19/'- 7 -'!E19</f>
        <v>379.13057508355422</v>
      </c>
    </row>
    <row r="20" spans="1:7" ht="14.1" customHeight="1" x14ac:dyDescent="0.2">
      <c r="A20" s="15" t="s">
        <v>112</v>
      </c>
      <c r="B20" s="16">
        <f>'- 26 -'!B20</f>
        <v>96800</v>
      </c>
      <c r="C20" s="267">
        <f>'- 26 -'!C20</f>
        <v>0.11401810155149425</v>
      </c>
      <c r="D20" s="16">
        <f>'- 26 -'!D20</f>
        <v>12.49838605551969</v>
      </c>
      <c r="E20" s="16">
        <f>SUM('- 37 -'!B20,'- 37 -'!E20,'- 37 -'!H20,B20)</f>
        <v>2780600</v>
      </c>
      <c r="F20" s="267">
        <f>E20/'- 3 -'!D20*100</f>
        <v>3.2751935245256707</v>
      </c>
      <c r="G20" s="16">
        <f>E20/'- 7 -'!E20</f>
        <v>359.01872175597157</v>
      </c>
    </row>
    <row r="21" spans="1:7" ht="14.1" customHeight="1" x14ac:dyDescent="0.2">
      <c r="A21" s="271" t="s">
        <v>113</v>
      </c>
      <c r="B21" s="272">
        <f>'- 26 -'!B21</f>
        <v>52000</v>
      </c>
      <c r="C21" s="273">
        <f>'- 26 -'!C21</f>
        <v>0.14001303198220758</v>
      </c>
      <c r="D21" s="272">
        <f>'- 26 -'!D21</f>
        <v>18.871348212665577</v>
      </c>
      <c r="E21" s="272">
        <f>SUM('- 37 -'!B21,'- 37 -'!E21,'- 37 -'!H21,B21)</f>
        <v>927047</v>
      </c>
      <c r="F21" s="273">
        <f>E21/'- 3 -'!D21*100</f>
        <v>2.4961281011540306</v>
      </c>
      <c r="G21" s="272">
        <f>E21/'- 7 -'!E21</f>
        <v>336.43512974051896</v>
      </c>
    </row>
    <row r="22" spans="1:7" ht="14.1" customHeight="1" x14ac:dyDescent="0.2">
      <c r="A22" s="15" t="s">
        <v>114</v>
      </c>
      <c r="B22" s="16">
        <f>'- 26 -'!B22</f>
        <v>65000</v>
      </c>
      <c r="C22" s="267">
        <f>'- 26 -'!C22</f>
        <v>0.30487247184502725</v>
      </c>
      <c r="D22" s="16">
        <f>'- 26 -'!D22</f>
        <v>42.785676671932592</v>
      </c>
      <c r="E22" s="16">
        <f>SUM('- 37 -'!B22,'- 37 -'!E22,'- 37 -'!H22,B22)</f>
        <v>425130</v>
      </c>
      <c r="F22" s="267">
        <f>E22/'- 3 -'!D22*100</f>
        <v>1.9940066762380988</v>
      </c>
      <c r="G22" s="16">
        <f>E22/'- 7 -'!E22</f>
        <v>279.8380726698262</v>
      </c>
    </row>
    <row r="23" spans="1:7" ht="14.1" customHeight="1" x14ac:dyDescent="0.2">
      <c r="A23" s="271" t="s">
        <v>115</v>
      </c>
      <c r="B23" s="272">
        <f>'- 26 -'!B23</f>
        <v>50000</v>
      </c>
      <c r="C23" s="273">
        <f>'- 26 -'!C23</f>
        <v>0.29700645412845206</v>
      </c>
      <c r="D23" s="272">
        <f>'- 26 -'!D23</f>
        <v>45.248868778280546</v>
      </c>
      <c r="E23" s="272">
        <f>SUM('- 37 -'!B23,'- 37 -'!E23,'- 37 -'!H23,B23)</f>
        <v>309000</v>
      </c>
      <c r="F23" s="273">
        <f>E23/'- 3 -'!D23*100</f>
        <v>1.8354998865138341</v>
      </c>
      <c r="G23" s="272">
        <f>E23/'- 7 -'!E23</f>
        <v>279.63800904977376</v>
      </c>
    </row>
    <row r="24" spans="1:7" ht="14.1" customHeight="1" x14ac:dyDescent="0.2">
      <c r="A24" s="15" t="s">
        <v>116</v>
      </c>
      <c r="B24" s="16">
        <f>'- 26 -'!B24</f>
        <v>155015</v>
      </c>
      <c r="C24" s="267">
        <f>'- 26 -'!C24</f>
        <v>0.26534864259401097</v>
      </c>
      <c r="D24" s="16">
        <f>'- 26 -'!D24</f>
        <v>39.80356913596097</v>
      </c>
      <c r="E24" s="16">
        <f>SUM('- 37 -'!B24,'- 37 -'!E24,'- 37 -'!H24,B24)</f>
        <v>1991210</v>
      </c>
      <c r="F24" s="267">
        <f>E24/'- 3 -'!D24*100</f>
        <v>3.4084757644074481</v>
      </c>
      <c r="G24" s="16">
        <f>E24/'- 7 -'!E24</f>
        <v>511.28771344203363</v>
      </c>
    </row>
    <row r="25" spans="1:7" ht="14.1" customHeight="1" x14ac:dyDescent="0.2">
      <c r="A25" s="271" t="s">
        <v>117</v>
      </c>
      <c r="B25" s="272">
        <f>'- 26 -'!B25</f>
        <v>918165</v>
      </c>
      <c r="C25" s="273">
        <f>'- 26 -'!C25</f>
        <v>0.50439737894100334</v>
      </c>
      <c r="D25" s="272">
        <f>'- 26 -'!D25</f>
        <v>63.442045258248399</v>
      </c>
      <c r="E25" s="272">
        <f>SUM('- 37 -'!B25,'- 37 -'!E25,'- 37 -'!H25,B25)</f>
        <v>4864355</v>
      </c>
      <c r="F25" s="273">
        <f>E25/'- 3 -'!D25*100</f>
        <v>2.6722516238786755</v>
      </c>
      <c r="G25" s="272">
        <f>E25/'- 7 -'!E25</f>
        <v>336.1102090171014</v>
      </c>
    </row>
    <row r="26" spans="1:7" ht="14.1" customHeight="1" x14ac:dyDescent="0.2">
      <c r="A26" s="15" t="s">
        <v>118</v>
      </c>
      <c r="B26" s="16">
        <f>'- 26 -'!B26</f>
        <v>32000</v>
      </c>
      <c r="C26" s="267">
        <f>'- 26 -'!C26</f>
        <v>7.77275250436264E-2</v>
      </c>
      <c r="D26" s="16">
        <f>'- 26 -'!D26</f>
        <v>10.491803278688524</v>
      </c>
      <c r="E26" s="16">
        <f>SUM('- 37 -'!B26,'- 37 -'!E26,'- 37 -'!H26,B26)</f>
        <v>1229502</v>
      </c>
      <c r="F26" s="267">
        <f>E26/'- 3 -'!D26*100</f>
        <v>2.9864421092558979</v>
      </c>
      <c r="G26" s="16">
        <f>E26/'- 7 -'!E26</f>
        <v>403.11540983606557</v>
      </c>
    </row>
    <row r="27" spans="1:7" ht="14.1" customHeight="1" x14ac:dyDescent="0.2">
      <c r="A27" s="271" t="s">
        <v>119</v>
      </c>
      <c r="B27" s="272">
        <f>'- 26 -'!B27</f>
        <v>219677</v>
      </c>
      <c r="C27" s="273">
        <f>'- 26 -'!C27</f>
        <v>0.49875101667769167</v>
      </c>
      <c r="D27" s="272">
        <f>'- 26 -'!D27</f>
        <v>73.459337320619881</v>
      </c>
      <c r="E27" s="272">
        <f>SUM('- 37 -'!B27,'- 37 -'!E27,'- 37 -'!H27,B27)</f>
        <v>769724</v>
      </c>
      <c r="F27" s="273">
        <f>E27/'- 3 -'!D27*100</f>
        <v>1.7475686009970071</v>
      </c>
      <c r="G27" s="272">
        <f>E27/'- 7 -'!E27</f>
        <v>257.39342288804392</v>
      </c>
    </row>
    <row r="28" spans="1:7" ht="14.1" customHeight="1" x14ac:dyDescent="0.2">
      <c r="A28" s="15" t="s">
        <v>120</v>
      </c>
      <c r="B28" s="16">
        <f>'- 26 -'!B28</f>
        <v>82500</v>
      </c>
      <c r="C28" s="267">
        <f>'- 26 -'!C28</f>
        <v>0.28550683224770945</v>
      </c>
      <c r="D28" s="16">
        <f>'- 26 -'!D28</f>
        <v>42.113323124042878</v>
      </c>
      <c r="E28" s="16">
        <f>SUM('- 37 -'!B28,'- 37 -'!E28,'- 37 -'!H28,B28)</f>
        <v>821274</v>
      </c>
      <c r="F28" s="267">
        <f>E28/'- 3 -'!D28*100</f>
        <v>2.8421737957261257</v>
      </c>
      <c r="G28" s="16">
        <f>E28/'- 7 -'!E28</f>
        <v>419.23124042879022</v>
      </c>
    </row>
    <row r="29" spans="1:7" ht="14.1" customHeight="1" x14ac:dyDescent="0.2">
      <c r="A29" s="271" t="s">
        <v>121</v>
      </c>
      <c r="B29" s="272">
        <f>'- 26 -'!B29</f>
        <v>1468359</v>
      </c>
      <c r="C29" s="273">
        <f>'- 26 -'!C29</f>
        <v>0.89328487681166935</v>
      </c>
      <c r="D29" s="272">
        <f>'- 26 -'!D29</f>
        <v>112.39821186628802</v>
      </c>
      <c r="E29" s="272">
        <f>SUM('- 37 -'!B29,'- 37 -'!E29,'- 37 -'!H29,B29)</f>
        <v>5108088</v>
      </c>
      <c r="F29" s="273">
        <f>E29/'- 3 -'!D29*100</f>
        <v>3.1075355276353855</v>
      </c>
      <c r="G29" s="272">
        <f>E29/'- 7 -'!E29</f>
        <v>391.00789197712783</v>
      </c>
    </row>
    <row r="30" spans="1:7" ht="14.1" customHeight="1" x14ac:dyDescent="0.2">
      <c r="A30" s="15" t="s">
        <v>122</v>
      </c>
      <c r="B30" s="16">
        <f>'- 26 -'!B30</f>
        <v>46890</v>
      </c>
      <c r="C30" s="267">
        <f>'- 26 -'!C30</f>
        <v>0.30956296034616648</v>
      </c>
      <c r="D30" s="16">
        <f>'- 26 -'!D30</f>
        <v>46.174298375184641</v>
      </c>
      <c r="E30" s="16">
        <f>SUM('- 37 -'!B30,'- 37 -'!E30,'- 37 -'!H30,B30)</f>
        <v>407830</v>
      </c>
      <c r="F30" s="267">
        <f>E30/'- 3 -'!D30*100</f>
        <v>2.6924517406265105</v>
      </c>
      <c r="G30" s="16">
        <f>E30/'- 7 -'!E30</f>
        <v>401.6051206302314</v>
      </c>
    </row>
    <row r="31" spans="1:7" ht="14.1" customHeight="1" x14ac:dyDescent="0.2">
      <c r="A31" s="271" t="s">
        <v>123</v>
      </c>
      <c r="B31" s="272">
        <f>'- 26 -'!B31</f>
        <v>159618</v>
      </c>
      <c r="C31" s="273">
        <f>'- 26 -'!C31</f>
        <v>0.41689868623814869</v>
      </c>
      <c r="D31" s="272">
        <f>'- 26 -'!D31</f>
        <v>48.597351195006851</v>
      </c>
      <c r="E31" s="272">
        <f>SUM('- 37 -'!B31,'- 37 -'!E31,'- 37 -'!H31,B31)</f>
        <v>856024</v>
      </c>
      <c r="F31" s="273">
        <f>E31/'- 3 -'!D31*100</f>
        <v>2.2358084989683182</v>
      </c>
      <c r="G31" s="272">
        <f>E31/'- 7 -'!E31</f>
        <v>260.62536154665855</v>
      </c>
    </row>
    <row r="32" spans="1:7" ht="14.1" customHeight="1" x14ac:dyDescent="0.2">
      <c r="A32" s="15" t="s">
        <v>124</v>
      </c>
      <c r="B32" s="16">
        <f>'- 26 -'!B32</f>
        <v>70000</v>
      </c>
      <c r="C32" s="267">
        <f>'- 26 -'!C32</f>
        <v>0.22354762544838067</v>
      </c>
      <c r="D32" s="16">
        <f>'- 26 -'!D32</f>
        <v>31.631269769543607</v>
      </c>
      <c r="E32" s="16">
        <f>SUM('- 37 -'!B32,'- 37 -'!E32,'- 37 -'!H32,B32)</f>
        <v>905638</v>
      </c>
      <c r="F32" s="267">
        <f>E32/'- 3 -'!D32*100</f>
        <v>2.8921889202260078</v>
      </c>
      <c r="G32" s="16">
        <f>E32/'- 7 -'!E32</f>
        <v>409.23542702214189</v>
      </c>
    </row>
    <row r="33" spans="1:7" ht="14.1" customHeight="1" x14ac:dyDescent="0.2">
      <c r="A33" s="271" t="s">
        <v>125</v>
      </c>
      <c r="B33" s="272">
        <f>'- 26 -'!B33</f>
        <v>75700</v>
      </c>
      <c r="C33" s="273">
        <f>'- 26 -'!C33</f>
        <v>0.26678790185588519</v>
      </c>
      <c r="D33" s="272">
        <f>'- 26 -'!D33</f>
        <v>38.155241935483872</v>
      </c>
      <c r="E33" s="272">
        <f>SUM('- 37 -'!B33,'- 37 -'!E33,'- 37 -'!H33,B33)</f>
        <v>990300</v>
      </c>
      <c r="F33" s="273">
        <f>E33/'- 3 -'!D33*100</f>
        <v>3.4900932524158934</v>
      </c>
      <c r="G33" s="272">
        <f>E33/'- 7 -'!E33</f>
        <v>499.14314516129031</v>
      </c>
    </row>
    <row r="34" spans="1:7" ht="14.1" customHeight="1" x14ac:dyDescent="0.2">
      <c r="A34" s="15" t="s">
        <v>126</v>
      </c>
      <c r="B34" s="16">
        <f>'- 26 -'!B34</f>
        <v>59199</v>
      </c>
      <c r="C34" s="267">
        <f>'- 26 -'!C34</f>
        <v>0.19254884529564326</v>
      </c>
      <c r="D34" s="16">
        <f>'- 26 -'!D34</f>
        <v>28.807299270072992</v>
      </c>
      <c r="E34" s="16">
        <f>SUM('- 37 -'!B34,'- 37 -'!E34,'- 37 -'!H34,B34)</f>
        <v>1110781</v>
      </c>
      <c r="F34" s="267">
        <f>E34/'- 3 -'!D34*100</f>
        <v>3.612892091527558</v>
      </c>
      <c r="G34" s="16">
        <f>E34/'- 7 -'!E34</f>
        <v>540.52603406326034</v>
      </c>
    </row>
    <row r="35" spans="1:7" ht="14.1" customHeight="1" x14ac:dyDescent="0.2">
      <c r="A35" s="271" t="s">
        <v>127</v>
      </c>
      <c r="B35" s="272">
        <f>'- 26 -'!B35</f>
        <v>1049474</v>
      </c>
      <c r="C35" s="273">
        <f>'- 26 -'!C35</f>
        <v>0.56661690482596194</v>
      </c>
      <c r="D35" s="272">
        <f>'- 26 -'!D35</f>
        <v>66.83483521732208</v>
      </c>
      <c r="E35" s="272">
        <f>SUM('- 37 -'!B35,'- 37 -'!E35,'- 37 -'!H35,B35)</f>
        <v>3666224</v>
      </c>
      <c r="F35" s="273">
        <f>E35/'- 3 -'!D35*100</f>
        <v>1.9794149214546122</v>
      </c>
      <c r="G35" s="272">
        <f>E35/'- 7 -'!E35</f>
        <v>233.48027384174495</v>
      </c>
    </row>
    <row r="36" spans="1:7" ht="14.1" customHeight="1" x14ac:dyDescent="0.2">
      <c r="A36" s="15" t="s">
        <v>128</v>
      </c>
      <c r="B36" s="16">
        <f>'- 26 -'!B36</f>
        <v>40600</v>
      </c>
      <c r="C36" s="267">
        <f>'- 26 -'!C36</f>
        <v>0.16934832802937985</v>
      </c>
      <c r="D36" s="16">
        <f>'- 26 -'!D36</f>
        <v>24.145108534046983</v>
      </c>
      <c r="E36" s="16">
        <f>SUM('- 37 -'!B36,'- 37 -'!E36,'- 37 -'!H36,B36)</f>
        <v>806575</v>
      </c>
      <c r="F36" s="267">
        <f>E36/'- 3 -'!D36*100</f>
        <v>3.3643381202043612</v>
      </c>
      <c r="G36" s="16">
        <f>E36/'- 7 -'!E36</f>
        <v>479.6758846268213</v>
      </c>
    </row>
    <row r="37" spans="1:7" ht="14.1" customHeight="1" x14ac:dyDescent="0.2">
      <c r="A37" s="360" t="s">
        <v>129</v>
      </c>
      <c r="B37" s="272">
        <f>'- 26 -'!B37</f>
        <v>191800</v>
      </c>
      <c r="C37" s="273">
        <f>'- 26 -'!C37</f>
        <v>0.36791928027469262</v>
      </c>
      <c r="D37" s="272">
        <f>'- 26 -'!D37</f>
        <v>45.090156804664176</v>
      </c>
      <c r="E37" s="272">
        <f>SUM('- 37 -'!B37,'- 37 -'!E37,'- 37 -'!H37,B37)</f>
        <v>1589400</v>
      </c>
      <c r="F37" s="273">
        <f>E37/'- 3 -'!D37*100</f>
        <v>3.0488576854462797</v>
      </c>
      <c r="G37" s="272">
        <f>E37/'- 7 -'!E37</f>
        <v>373.65117427181042</v>
      </c>
    </row>
    <row r="38" spans="1:7" ht="14.1" customHeight="1" x14ac:dyDescent="0.2">
      <c r="A38" s="15" t="s">
        <v>130</v>
      </c>
      <c r="B38" s="16">
        <f>'- 26 -'!B38</f>
        <v>482350</v>
      </c>
      <c r="C38" s="267">
        <f>'- 26 -'!C38</f>
        <v>0.34157315273967376</v>
      </c>
      <c r="D38" s="16">
        <f>'- 26 -'!D38</f>
        <v>42.723649247121344</v>
      </c>
      <c r="E38" s="16">
        <f>SUM('- 37 -'!B38,'- 37 -'!E38,'- 37 -'!H38,B38)</f>
        <v>2841815</v>
      </c>
      <c r="F38" s="267">
        <f>E38/'- 3 -'!D38*100</f>
        <v>2.0124136188512409</v>
      </c>
      <c r="G38" s="16">
        <f>E38/'- 7 -'!E38</f>
        <v>251.71080602302922</v>
      </c>
    </row>
    <row r="39" spans="1:7" ht="14.1" customHeight="1" x14ac:dyDescent="0.2">
      <c r="A39" s="271" t="s">
        <v>131</v>
      </c>
      <c r="B39" s="272">
        <f>'- 26 -'!B39</f>
        <v>68000</v>
      </c>
      <c r="C39" s="273">
        <f>'- 26 -'!C39</f>
        <v>0.29221483806785831</v>
      </c>
      <c r="D39" s="272">
        <f>'- 26 -'!D39</f>
        <v>45.092838196286472</v>
      </c>
      <c r="E39" s="272">
        <f>SUM('- 37 -'!B39,'- 37 -'!E39,'- 37 -'!H39,B39)</f>
        <v>520800</v>
      </c>
      <c r="F39" s="273">
        <f>E39/'- 3 -'!D39*100</f>
        <v>2.2380218774373617</v>
      </c>
      <c r="G39" s="272">
        <f>E39/'- 7 -'!E39</f>
        <v>345.35809018567642</v>
      </c>
    </row>
    <row r="40" spans="1:7" ht="14.1" customHeight="1" x14ac:dyDescent="0.2">
      <c r="A40" s="15" t="s">
        <v>132</v>
      </c>
      <c r="B40" s="16">
        <f>'- 26 -'!B40</f>
        <v>460848</v>
      </c>
      <c r="C40" s="267">
        <f>'- 26 -'!C40</f>
        <v>0.42749924555355262</v>
      </c>
      <c r="D40" s="16">
        <f>'- 26 -'!D40</f>
        <v>56.066961895956005</v>
      </c>
      <c r="E40" s="16">
        <f>SUM('- 37 -'!B40,'- 37 -'!E40,'- 37 -'!H40,B40)</f>
        <v>2774415</v>
      </c>
      <c r="F40" s="267">
        <f>E40/'- 3 -'!D40*100</f>
        <v>2.5736475353098189</v>
      </c>
      <c r="G40" s="16">
        <f>E40/'- 7 -'!E40</f>
        <v>337.53649812642948</v>
      </c>
    </row>
    <row r="41" spans="1:7" ht="14.1" customHeight="1" x14ac:dyDescent="0.2">
      <c r="A41" s="271" t="s">
        <v>133</v>
      </c>
      <c r="B41" s="272">
        <f>'- 26 -'!B41</f>
        <v>112754</v>
      </c>
      <c r="C41" s="273">
        <f>'- 26 -'!C41</f>
        <v>0.17458207656116323</v>
      </c>
      <c r="D41" s="272">
        <f>'- 26 -'!D41</f>
        <v>25.46386630532972</v>
      </c>
      <c r="E41" s="272">
        <f>SUM('- 37 -'!B41,'- 37 -'!E41,'- 37 -'!H41,B41)</f>
        <v>1502975</v>
      </c>
      <c r="F41" s="273">
        <f>E41/'- 3 -'!D41*100</f>
        <v>2.3271236188473514</v>
      </c>
      <c r="G41" s="272">
        <f>E41/'- 7 -'!E41</f>
        <v>339.42524841915088</v>
      </c>
    </row>
    <row r="42" spans="1:7" ht="14.1" customHeight="1" x14ac:dyDescent="0.2">
      <c r="A42" s="15" t="s">
        <v>134</v>
      </c>
      <c r="B42" s="16">
        <f>'- 26 -'!B42</f>
        <v>21800</v>
      </c>
      <c r="C42" s="267">
        <f>'- 26 -'!C42</f>
        <v>0.1016178872839478</v>
      </c>
      <c r="D42" s="16">
        <f>'- 26 -'!D42</f>
        <v>15.717375630857967</v>
      </c>
      <c r="E42" s="16">
        <f>SUM('- 37 -'!B42,'- 37 -'!E42,'- 37 -'!H42,B42)</f>
        <v>590017</v>
      </c>
      <c r="F42" s="267">
        <f>E42/'- 3 -'!D42*100</f>
        <v>2.750288119340047</v>
      </c>
      <c r="G42" s="16">
        <f>E42/'- 7 -'!E42</f>
        <v>425.39077144917087</v>
      </c>
    </row>
    <row r="43" spans="1:7" ht="14.1" customHeight="1" x14ac:dyDescent="0.2">
      <c r="A43" s="271" t="s">
        <v>135</v>
      </c>
      <c r="B43" s="272">
        <f>'- 26 -'!B43</f>
        <v>32000</v>
      </c>
      <c r="C43" s="273">
        <f>'- 26 -'!C43</f>
        <v>0.23410284401303191</v>
      </c>
      <c r="D43" s="272">
        <f>'- 26 -'!D43</f>
        <v>33.595800524934383</v>
      </c>
      <c r="E43" s="272">
        <f>SUM('- 37 -'!B43,'- 37 -'!E43,'- 37 -'!H43,B43)</f>
        <v>380352</v>
      </c>
      <c r="F43" s="273">
        <f>E43/'- 3 -'!D43*100</f>
        <v>2.7825464039388974</v>
      </c>
      <c r="G43" s="272">
        <f>E43/'- 7 -'!E43</f>
        <v>399.31968503937009</v>
      </c>
    </row>
    <row r="44" spans="1:7" ht="14.1" customHeight="1" x14ac:dyDescent="0.2">
      <c r="A44" s="15" t="s">
        <v>136</v>
      </c>
      <c r="B44" s="16">
        <f>'- 26 -'!B44</f>
        <v>8000</v>
      </c>
      <c r="C44" s="267">
        <f>'- 26 -'!C44</f>
        <v>7.0921834918081739E-2</v>
      </c>
      <c r="D44" s="16">
        <f>'- 26 -'!D44</f>
        <v>11.173184357541899</v>
      </c>
      <c r="E44" s="16">
        <f>SUM('- 37 -'!B44,'- 37 -'!E44,'- 37 -'!H44,B44)</f>
        <v>393839</v>
      </c>
      <c r="F44" s="267">
        <f>E44/'- 3 -'!D44*100</f>
        <v>3.491473067787799</v>
      </c>
      <c r="G44" s="16">
        <f>E44/'- 7 -'!E44</f>
        <v>550.05446927374305</v>
      </c>
    </row>
    <row r="45" spans="1:7" ht="14.1" customHeight="1" x14ac:dyDescent="0.2">
      <c r="A45" s="271" t="s">
        <v>137</v>
      </c>
      <c r="B45" s="272">
        <f>'- 26 -'!B45</f>
        <v>74500</v>
      </c>
      <c r="C45" s="273">
        <f>'- 26 -'!C45</f>
        <v>0.36832709344389147</v>
      </c>
      <c r="D45" s="272">
        <f>'- 26 -'!D45</f>
        <v>43.013856812933028</v>
      </c>
      <c r="E45" s="272">
        <f>SUM('- 37 -'!B45,'- 37 -'!E45,'- 37 -'!H45,B45)</f>
        <v>455059</v>
      </c>
      <c r="F45" s="273">
        <f>E45/'- 3 -'!D45*100</f>
        <v>2.2498061585970981</v>
      </c>
      <c r="G45" s="272">
        <f>E45/'- 7 -'!E45</f>
        <v>262.736143187067</v>
      </c>
    </row>
    <row r="46" spans="1:7" ht="14.1" customHeight="1" x14ac:dyDescent="0.2">
      <c r="A46" s="15" t="s">
        <v>138</v>
      </c>
      <c r="B46" s="16">
        <f>'- 26 -'!B46</f>
        <v>1361800</v>
      </c>
      <c r="C46" s="267">
        <f>'- 26 -'!C46</f>
        <v>0.33836591970903213</v>
      </c>
      <c r="D46" s="16">
        <f>'- 26 -'!D46</f>
        <v>45.002561094496123</v>
      </c>
      <c r="E46" s="16">
        <f>SUM('- 37 -'!B46,'- 37 -'!E46,'- 37 -'!H46,B46)</f>
        <v>6546800</v>
      </c>
      <c r="F46" s="267">
        <f>E46/'- 3 -'!D46*100</f>
        <v>1.6266808658768481</v>
      </c>
      <c r="G46" s="16">
        <f>E46/'- 7 -'!E46</f>
        <v>216.34804448042829</v>
      </c>
    </row>
    <row r="47" spans="1:7" ht="5.0999999999999996" customHeight="1" x14ac:dyDescent="0.2">
      <c r="A47"/>
      <c r="B47"/>
      <c r="C47"/>
      <c r="D47"/>
      <c r="E47"/>
      <c r="F47"/>
      <c r="G47"/>
    </row>
    <row r="48" spans="1:7" ht="14.1" customHeight="1" x14ac:dyDescent="0.2">
      <c r="A48" s="274" t="s">
        <v>139</v>
      </c>
      <c r="B48" s="275">
        <f>SUM(B11:B46)</f>
        <v>9103397</v>
      </c>
      <c r="C48" s="276">
        <f>'- 26 -'!C48</f>
        <v>0.38373765224036244</v>
      </c>
      <c r="D48" s="275">
        <f>'- 26 -'!D48</f>
        <v>51.300715623474439</v>
      </c>
      <c r="E48" s="275">
        <f>SUM(E11:E46)</f>
        <v>56920770</v>
      </c>
      <c r="F48" s="276">
        <f>E48/'- 3 -'!D48*100</f>
        <v>2.3993947142493788</v>
      </c>
      <c r="G48" s="275">
        <f>E48/'- 7 -'!E48</f>
        <v>320.76775678784469</v>
      </c>
    </row>
    <row r="49" spans="1:8" ht="5.0999999999999996" customHeight="1" x14ac:dyDescent="0.2">
      <c r="A49" s="17" t="s">
        <v>1</v>
      </c>
      <c r="B49" s="18"/>
      <c r="C49" s="266"/>
      <c r="D49" s="18"/>
      <c r="E49" s="18"/>
      <c r="F49" s="266"/>
    </row>
    <row r="50" spans="1:8" ht="14.1" customHeight="1" x14ac:dyDescent="0.2">
      <c r="A50" s="15" t="s">
        <v>140</v>
      </c>
      <c r="B50" s="16">
        <f>'- 26 -'!B50</f>
        <v>6000</v>
      </c>
      <c r="C50" s="267">
        <f>'- 26 -'!C50</f>
        <v>0.1685506888104816</v>
      </c>
      <c r="D50" s="16">
        <f>'- 26 -'!D50</f>
        <v>37.037037037037038</v>
      </c>
      <c r="E50" s="16">
        <f>SUM('- 37 -'!B50,'- 37 -'!E50,'- 37 -'!H50,B50)</f>
        <v>132123</v>
      </c>
      <c r="F50" s="267">
        <f>E50/'- 3 -'!D50*100</f>
        <v>3.71157044295121</v>
      </c>
      <c r="G50" s="16">
        <f>E50/'- 7 -'!E50</f>
        <v>815.57407407407402</v>
      </c>
    </row>
    <row r="51" spans="1:8" ht="14.1" customHeight="1" x14ac:dyDescent="0.2">
      <c r="A51" s="360" t="s">
        <v>516</v>
      </c>
      <c r="B51" s="272">
        <f>'- 26 -'!B51</f>
        <v>1437628</v>
      </c>
      <c r="C51" s="273">
        <f>'- 26 -'!C51</f>
        <v>4.6968915684433972</v>
      </c>
      <c r="D51" s="272">
        <f>'- 26 -'!D51</f>
        <v>1348.6191369606004</v>
      </c>
      <c r="E51" s="272">
        <f>SUM('- 37 -'!B51,'- 37 -'!E51,'- 37 -'!H51,B51)</f>
        <v>1785528</v>
      </c>
      <c r="F51" s="273">
        <f>E51/'- 3 -'!D51*100</f>
        <v>5.8335198037458946</v>
      </c>
      <c r="G51" s="272">
        <f>E51/'- 7 -'!E51</f>
        <v>1674.9793621013134</v>
      </c>
    </row>
    <row r="52" spans="1:8" ht="50.1" customHeight="1" x14ac:dyDescent="0.2">
      <c r="A52" s="19"/>
      <c r="B52" s="19"/>
      <c r="C52" s="19"/>
      <c r="D52" s="19"/>
      <c r="E52" s="19"/>
      <c r="F52" s="19"/>
      <c r="G52" s="19"/>
      <c r="H52" s="19"/>
    </row>
    <row r="53" spans="1:8" ht="15" customHeight="1" x14ac:dyDescent="0.2">
      <c r="A53" s="1" t="s">
        <v>332</v>
      </c>
    </row>
    <row r="54" spans="1:8" ht="12" customHeight="1" x14ac:dyDescent="0.2">
      <c r="A54" s="131" t="s">
        <v>542</v>
      </c>
      <c r="B54" s="127"/>
      <c r="C54" s="127"/>
      <c r="D54" s="127"/>
    </row>
  </sheetData>
  <mergeCells count="5">
    <mergeCell ref="B5:G5"/>
    <mergeCell ref="E7:G7"/>
    <mergeCell ref="D8:D9"/>
    <mergeCell ref="G8:G9"/>
    <mergeCell ref="B6:D7"/>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BB59"/>
  <sheetViews>
    <sheetView showGridLines="0" showZeros="0" workbookViewId="0"/>
  </sheetViews>
  <sheetFormatPr defaultColWidth="14.83203125" defaultRowHeight="12" x14ac:dyDescent="0.2"/>
  <cols>
    <col min="1" max="1" width="29.83203125" style="1" customWidth="1"/>
    <col min="2" max="2" width="15.83203125" style="1" customWidth="1"/>
    <col min="3" max="3" width="13.83203125" style="1" customWidth="1"/>
    <col min="4" max="5" width="15.83203125" style="1" customWidth="1"/>
    <col min="6" max="6" width="12.83203125" style="1" customWidth="1"/>
    <col min="7" max="7" width="15.83203125" style="1" customWidth="1"/>
    <col min="8" max="8" width="13.83203125" style="1" customWidth="1"/>
    <col min="9" max="10" width="14.83203125" style="1"/>
    <col min="11" max="11" width="19.5" style="1" customWidth="1"/>
    <col min="12" max="16384" width="14.83203125" style="1"/>
  </cols>
  <sheetData>
    <row r="1" spans="1:54" ht="6.95" customHeight="1" x14ac:dyDescent="0.2">
      <c r="A1" s="3"/>
    </row>
    <row r="2" spans="1:54" ht="15.95" customHeight="1" x14ac:dyDescent="0.2">
      <c r="A2" s="100" t="str">
        <f>IF(Lang=1,BA2,BB2)</f>
        <v xml:space="preserve">  SUMMARY OF OPERATING FUND REVENUE: 2017/2018 BUDGET</v>
      </c>
      <c r="B2" s="101"/>
      <c r="C2" s="101"/>
      <c r="D2" s="101"/>
      <c r="E2" s="101"/>
      <c r="F2" s="101"/>
      <c r="G2" s="101"/>
      <c r="H2" s="101"/>
      <c r="BA2" s="471" t="str">
        <f>"  SUMMARY"&amp;REPLACE(REVYEAR,1,8,"")</f>
        <v xml:space="preserve">  SUMMARY OF OPERATING FUND REVENUE: 2017/2018 BUDGET</v>
      </c>
      <c r="BB2" s="456" t="str">
        <f>"SOMMAIRE DES RECETTES DU FONDS DE FONCTIONNEMENT : BUDGET "&amp;YEAR&amp;" - "&amp;YEAR+1</f>
        <v>SOMMAIRE DES RECETTES DU FONDS DE FONCTIONNEMENT : BUDGET 2017 - 2018</v>
      </c>
    </row>
    <row r="3" spans="1:54" ht="15.95" customHeight="1" x14ac:dyDescent="0.2">
      <c r="A3" s="180"/>
    </row>
    <row r="4" spans="1:54" ht="15.95" customHeight="1" x14ac:dyDescent="0.2">
      <c r="B4" s="4"/>
      <c r="C4" s="84"/>
      <c r="D4" s="84"/>
      <c r="E4" s="4"/>
      <c r="F4" s="4"/>
      <c r="G4" s="4"/>
      <c r="H4" s="4"/>
    </row>
    <row r="5" spans="1:54" ht="15.95" customHeight="1" x14ac:dyDescent="0.2">
      <c r="B5" s="4"/>
      <c r="C5" s="4"/>
      <c r="D5" s="4"/>
      <c r="E5" s="4"/>
      <c r="F5" s="4"/>
      <c r="G5" s="4"/>
      <c r="H5" s="4"/>
    </row>
    <row r="6" spans="1:54" ht="15.95" customHeight="1" x14ac:dyDescent="0.2">
      <c r="B6" s="713" t="s">
        <v>48</v>
      </c>
      <c r="C6" s="714"/>
      <c r="D6" s="714"/>
      <c r="E6" s="715"/>
      <c r="F6" s="715"/>
      <c r="G6" s="715"/>
      <c r="H6" s="716"/>
    </row>
    <row r="7" spans="1:54" ht="15.95" customHeight="1" x14ac:dyDescent="0.2">
      <c r="B7" s="717" t="s">
        <v>51</v>
      </c>
      <c r="C7" s="718"/>
      <c r="D7" s="719"/>
      <c r="E7" s="621" t="s">
        <v>445</v>
      </c>
      <c r="F7" s="464" t="s">
        <v>1</v>
      </c>
      <c r="G7" s="606" t="s">
        <v>446</v>
      </c>
      <c r="H7" s="284" t="s">
        <v>1</v>
      </c>
    </row>
    <row r="8" spans="1:54" ht="15.95" customHeight="1" x14ac:dyDescent="0.2">
      <c r="A8" s="469"/>
      <c r="B8" s="720"/>
      <c r="C8" s="721"/>
      <c r="D8" s="722"/>
      <c r="E8" s="686"/>
      <c r="F8" s="723" t="s">
        <v>52</v>
      </c>
      <c r="G8" s="723"/>
      <c r="H8" s="313" t="s">
        <v>1</v>
      </c>
    </row>
    <row r="9" spans="1:54" ht="15.95" customHeight="1" x14ac:dyDescent="0.2">
      <c r="A9" s="93" t="s">
        <v>37</v>
      </c>
      <c r="B9" s="285" t="s">
        <v>302</v>
      </c>
      <c r="C9" s="285" t="s">
        <v>49</v>
      </c>
      <c r="D9" s="285" t="s">
        <v>50</v>
      </c>
      <c r="E9" s="623"/>
      <c r="F9" s="724"/>
      <c r="G9" s="607"/>
      <c r="H9" s="285" t="s">
        <v>19</v>
      </c>
      <c r="J9" s="128"/>
    </row>
    <row r="10" spans="1:54" ht="5.0999999999999996" customHeight="1" x14ac:dyDescent="0.2">
      <c r="A10" s="29"/>
      <c r="B10" s="182"/>
      <c r="C10" s="182"/>
      <c r="D10" s="182"/>
      <c r="E10" s="182"/>
      <c r="F10" s="182"/>
      <c r="G10" s="182"/>
      <c r="H10" s="182"/>
    </row>
    <row r="11" spans="1:54" ht="14.1" customHeight="1" x14ac:dyDescent="0.2">
      <c r="A11" s="271" t="s">
        <v>104</v>
      </c>
      <c r="B11" s="273">
        <f>'- 41 -'!I11</f>
        <v>64.612187936297246</v>
      </c>
      <c r="C11" s="273">
        <f>'- 42 -'!C11</f>
        <v>0</v>
      </c>
      <c r="D11" s="273">
        <f>'- 42 -'!E11</f>
        <v>34.792427934163698</v>
      </c>
      <c r="E11" s="273">
        <f>'- 42 -'!G11</f>
        <v>0.14761589988571577</v>
      </c>
      <c r="F11" s="273">
        <f>'- 42 -'!I11</f>
        <v>0</v>
      </c>
      <c r="G11" s="273">
        <f>'- 43 -'!C11</f>
        <v>6.8887419946667361E-2</v>
      </c>
      <c r="H11" s="273">
        <f>'- 43 -'!E11</f>
        <v>0.37888080970667048</v>
      </c>
      <c r="J11" s="337"/>
      <c r="L11" s="337"/>
    </row>
    <row r="12" spans="1:54" ht="14.1" customHeight="1" x14ac:dyDescent="0.2">
      <c r="A12" s="15" t="s">
        <v>105</v>
      </c>
      <c r="B12" s="267">
        <f>'- 41 -'!I12</f>
        <v>60.826656737998889</v>
      </c>
      <c r="C12" s="267">
        <f>'- 42 -'!C12</f>
        <v>0</v>
      </c>
      <c r="D12" s="267">
        <f>'- 42 -'!E12</f>
        <v>32.99109372195057</v>
      </c>
      <c r="E12" s="267">
        <f>'- 42 -'!G12</f>
        <v>1.7199653951787475</v>
      </c>
      <c r="F12" s="267">
        <f>'- 42 -'!I12</f>
        <v>3.4980448387927714</v>
      </c>
      <c r="G12" s="267">
        <f>'- 43 -'!C12</f>
        <v>0.39768959788755565</v>
      </c>
      <c r="H12" s="267">
        <f>'- 43 -'!E12</f>
        <v>0.56654970819147266</v>
      </c>
      <c r="J12" s="337"/>
      <c r="L12" s="337"/>
    </row>
    <row r="13" spans="1:54" ht="14.1" customHeight="1" x14ac:dyDescent="0.2">
      <c r="A13" s="271" t="s">
        <v>106</v>
      </c>
      <c r="B13" s="273">
        <f>'- 41 -'!I13</f>
        <v>60.364634178621181</v>
      </c>
      <c r="C13" s="273">
        <f>'- 42 -'!C13</f>
        <v>1.813641920421314E-2</v>
      </c>
      <c r="D13" s="273">
        <f>'- 42 -'!E13</f>
        <v>38.136415282825205</v>
      </c>
      <c r="E13" s="273">
        <f>'- 42 -'!G13</f>
        <v>0.43870527534515569</v>
      </c>
      <c r="F13" s="273">
        <f>'- 42 -'!I13</f>
        <v>0.17469783255085305</v>
      </c>
      <c r="G13" s="273">
        <f>'- 43 -'!C13</f>
        <v>0.7812385115587811</v>
      </c>
      <c r="H13" s="273">
        <f>'- 43 -'!E13</f>
        <v>8.6172499894612703E-2</v>
      </c>
      <c r="J13" s="337"/>
      <c r="L13" s="337"/>
    </row>
    <row r="14" spans="1:54" ht="14.1" customHeight="1" x14ac:dyDescent="0.2">
      <c r="A14" s="15" t="s">
        <v>315</v>
      </c>
      <c r="B14" s="267">
        <f>'- 41 -'!I14</f>
        <v>70.745527766400443</v>
      </c>
      <c r="C14" s="267">
        <f>'- 42 -'!C14</f>
        <v>6.080689220252547E-2</v>
      </c>
      <c r="D14" s="267">
        <f>'- 42 -'!E14</f>
        <v>27.055247251713656</v>
      </c>
      <c r="E14" s="267">
        <f>'- 42 -'!G14</f>
        <v>2.0278601038606041</v>
      </c>
      <c r="F14" s="267">
        <f>'- 42 -'!I14</f>
        <v>0</v>
      </c>
      <c r="G14" s="267">
        <f>'- 43 -'!C14</f>
        <v>9.9502187240496226E-2</v>
      </c>
      <c r="H14" s="267">
        <f>'- 43 -'!E14</f>
        <v>1.1055798582277359E-2</v>
      </c>
      <c r="J14" s="337"/>
      <c r="L14" s="337"/>
    </row>
    <row r="15" spans="1:54" ht="14.1" customHeight="1" x14ac:dyDescent="0.2">
      <c r="A15" s="271" t="s">
        <v>107</v>
      </c>
      <c r="B15" s="273">
        <f>'- 41 -'!I15</f>
        <v>60.333189226191799</v>
      </c>
      <c r="C15" s="273">
        <f>'- 42 -'!C15</f>
        <v>0</v>
      </c>
      <c r="D15" s="273">
        <f>'- 42 -'!E15</f>
        <v>38.393890548661616</v>
      </c>
      <c r="E15" s="273">
        <f>'- 42 -'!G15</f>
        <v>0.259298564381712</v>
      </c>
      <c r="F15" s="273">
        <f>'- 42 -'!I15</f>
        <v>0.68360530609724079</v>
      </c>
      <c r="G15" s="273">
        <f>'- 43 -'!C15</f>
        <v>0.27344212243889632</v>
      </c>
      <c r="H15" s="273">
        <f>'- 43 -'!E15</f>
        <v>5.6574232228737163E-2</v>
      </c>
      <c r="J15" s="337"/>
      <c r="L15" s="337"/>
    </row>
    <row r="16" spans="1:54" ht="14.1" customHeight="1" x14ac:dyDescent="0.2">
      <c r="A16" s="15" t="s">
        <v>108</v>
      </c>
      <c r="B16" s="267">
        <f>'- 41 -'!I16</f>
        <v>73.92470755733784</v>
      </c>
      <c r="C16" s="267">
        <f>'- 42 -'!C16</f>
        <v>0</v>
      </c>
      <c r="D16" s="267">
        <f>'- 42 -'!E16</f>
        <v>22.513604957632712</v>
      </c>
      <c r="E16" s="267">
        <f>'- 42 -'!G16</f>
        <v>1.6175198098137227</v>
      </c>
      <c r="F16" s="267">
        <f>'- 42 -'!I16</f>
        <v>0</v>
      </c>
      <c r="G16" s="267">
        <f>'- 43 -'!C16</f>
        <v>1.3101699997573175</v>
      </c>
      <c r="H16" s="267">
        <f>'- 43 -'!E16</f>
        <v>0.63399767545839902</v>
      </c>
      <c r="J16" s="337"/>
      <c r="L16" s="337"/>
    </row>
    <row r="17" spans="1:12" ht="14.1" customHeight="1" x14ac:dyDescent="0.2">
      <c r="A17" s="271" t="s">
        <v>109</v>
      </c>
      <c r="B17" s="273">
        <f>'- 41 -'!I17</f>
        <v>53.504227697857885</v>
      </c>
      <c r="C17" s="273">
        <f>'- 42 -'!C17</f>
        <v>0</v>
      </c>
      <c r="D17" s="273">
        <f>'- 42 -'!E17</f>
        <v>40.806668200420106</v>
      </c>
      <c r="E17" s="273">
        <f>'- 42 -'!G17</f>
        <v>0.12494256332373789</v>
      </c>
      <c r="F17" s="273">
        <f>'- 42 -'!I17</f>
        <v>5.4318384017136427</v>
      </c>
      <c r="G17" s="273">
        <f>'- 43 -'!C17</f>
        <v>8.7512512707765777E-2</v>
      </c>
      <c r="H17" s="273">
        <f>'- 43 -'!E17</f>
        <v>4.4810623976868018E-2</v>
      </c>
      <c r="J17" s="337"/>
      <c r="K17" s="131"/>
      <c r="L17" s="337"/>
    </row>
    <row r="18" spans="1:12" ht="14.1" customHeight="1" x14ac:dyDescent="0.2">
      <c r="A18" s="15" t="s">
        <v>110</v>
      </c>
      <c r="B18" s="267">
        <f>'- 41 -'!I18</f>
        <v>36.311777071614152</v>
      </c>
      <c r="C18" s="267">
        <f>'- 42 -'!C18</f>
        <v>0</v>
      </c>
      <c r="D18" s="267">
        <f>'- 42 -'!E18</f>
        <v>2.2205802562113814</v>
      </c>
      <c r="E18" s="267">
        <f>'- 42 -'!G18</f>
        <v>0</v>
      </c>
      <c r="F18" s="267">
        <f>'- 42 -'!I18</f>
        <v>57.886821042543737</v>
      </c>
      <c r="G18" s="267">
        <f>'- 43 -'!C18</f>
        <v>3.2896728290324093</v>
      </c>
      <c r="H18" s="267">
        <f>'- 43 -'!E18</f>
        <v>0.29114880059832243</v>
      </c>
      <c r="J18" s="337"/>
      <c r="L18" s="337"/>
    </row>
    <row r="19" spans="1:12" ht="14.1" customHeight="1" x14ac:dyDescent="0.2">
      <c r="A19" s="271" t="s">
        <v>111</v>
      </c>
      <c r="B19" s="273">
        <f>'- 41 -'!I19</f>
        <v>66.808882884085747</v>
      </c>
      <c r="C19" s="273">
        <f>'- 42 -'!C19</f>
        <v>0</v>
      </c>
      <c r="D19" s="273">
        <f>'- 42 -'!E19</f>
        <v>31.552620043738681</v>
      </c>
      <c r="E19" s="273">
        <f>'- 42 -'!G19</f>
        <v>0.7992668644758909</v>
      </c>
      <c r="F19" s="273">
        <f>'- 42 -'!I19</f>
        <v>0</v>
      </c>
      <c r="G19" s="273">
        <f>'- 43 -'!C19</f>
        <v>1.9981671611897268E-2</v>
      </c>
      <c r="H19" s="273">
        <f>'- 43 -'!E19</f>
        <v>0.81924853608778803</v>
      </c>
      <c r="J19" s="337"/>
      <c r="L19" s="337"/>
    </row>
    <row r="20" spans="1:12" ht="14.1" customHeight="1" x14ac:dyDescent="0.2">
      <c r="A20" s="15" t="s">
        <v>112</v>
      </c>
      <c r="B20" s="267">
        <f>'- 41 -'!I20</f>
        <v>69.441191910749041</v>
      </c>
      <c r="C20" s="267">
        <f>'- 42 -'!C20</f>
        <v>0</v>
      </c>
      <c r="D20" s="267">
        <f>'- 42 -'!E20</f>
        <v>29.858588423657377</v>
      </c>
      <c r="E20" s="267">
        <f>'- 42 -'!G20</f>
        <v>9.1100298011849865E-2</v>
      </c>
      <c r="F20" s="267">
        <f>'- 42 -'!I20</f>
        <v>0</v>
      </c>
      <c r="G20" s="267">
        <f>'- 43 -'!C20</f>
        <v>0.46461151986043431</v>
      </c>
      <c r="H20" s="267">
        <f>'- 43 -'!E20</f>
        <v>0.14450784772129685</v>
      </c>
      <c r="J20" s="337"/>
    </row>
    <row r="21" spans="1:12" ht="14.1" customHeight="1" x14ac:dyDescent="0.2">
      <c r="A21" s="271" t="s">
        <v>113</v>
      </c>
      <c r="B21" s="273">
        <f>'- 41 -'!I21</f>
        <v>59.597556430446197</v>
      </c>
      <c r="C21" s="273">
        <f>'- 42 -'!C21</f>
        <v>0</v>
      </c>
      <c r="D21" s="273">
        <f>'- 42 -'!E21</f>
        <v>39.341220472440945</v>
      </c>
      <c r="E21" s="273">
        <f>'- 42 -'!G21</f>
        <v>0.1653543307086614</v>
      </c>
      <c r="F21" s="273">
        <f>'- 42 -'!I21</f>
        <v>0</v>
      </c>
      <c r="G21" s="273">
        <f>'- 43 -'!C21</f>
        <v>0.53700787401574801</v>
      </c>
      <c r="H21" s="273">
        <f>'- 43 -'!E21</f>
        <v>0.35886089238845148</v>
      </c>
      <c r="J21" s="337"/>
    </row>
    <row r="22" spans="1:12" ht="14.1" customHeight="1" x14ac:dyDescent="0.2">
      <c r="A22" s="15" t="s">
        <v>114</v>
      </c>
      <c r="B22" s="267">
        <f>'- 41 -'!I22</f>
        <v>81.404319608814674</v>
      </c>
      <c r="C22" s="267">
        <f>'- 42 -'!C22</f>
        <v>0.11467226904407764</v>
      </c>
      <c r="D22" s="267">
        <f>'- 42 -'!E22</f>
        <v>17.65202317717678</v>
      </c>
      <c r="E22" s="267">
        <f>'- 42 -'!G22</f>
        <v>7.1670168152548522E-2</v>
      </c>
      <c r="F22" s="267">
        <f>'- 42 -'!I22</f>
        <v>0</v>
      </c>
      <c r="G22" s="267">
        <f>'- 43 -'!C22</f>
        <v>0</v>
      </c>
      <c r="H22" s="267">
        <f>'- 43 -'!E22</f>
        <v>0.75731477681192938</v>
      </c>
      <c r="J22" s="337"/>
    </row>
    <row r="23" spans="1:12" ht="14.1" customHeight="1" x14ac:dyDescent="0.2">
      <c r="A23" s="271" t="s">
        <v>115</v>
      </c>
      <c r="B23" s="273">
        <f>'- 41 -'!I23</f>
        <v>69.868387731124784</v>
      </c>
      <c r="C23" s="273">
        <f>'- 42 -'!C23</f>
        <v>0</v>
      </c>
      <c r="D23" s="273">
        <f>'- 42 -'!E23</f>
        <v>21.950820109801462</v>
      </c>
      <c r="E23" s="273">
        <f>'- 42 -'!G23</f>
        <v>0.53514699804237287</v>
      </c>
      <c r="F23" s="273">
        <f>'- 42 -'!I23</f>
        <v>5.9104012894902063</v>
      </c>
      <c r="G23" s="273">
        <f>'- 43 -'!C23</f>
        <v>1.4974007613001195</v>
      </c>
      <c r="H23" s="273">
        <f>'- 43 -'!E23</f>
        <v>0.23784311024105462</v>
      </c>
      <c r="J23" s="337"/>
    </row>
    <row r="24" spans="1:12" ht="14.1" customHeight="1" x14ac:dyDescent="0.2">
      <c r="A24" s="15" t="s">
        <v>116</v>
      </c>
      <c r="B24" s="267">
        <f>'- 41 -'!I24</f>
        <v>57.349760058284382</v>
      </c>
      <c r="C24" s="267">
        <f>'- 42 -'!C24</f>
        <v>0</v>
      </c>
      <c r="D24" s="267">
        <f>'- 42 -'!E24</f>
        <v>40.865447373137243</v>
      </c>
      <c r="E24" s="267">
        <f>'- 42 -'!G24</f>
        <v>0.29371478074146151</v>
      </c>
      <c r="F24" s="267">
        <f>'- 42 -'!I24</f>
        <v>0.69681305567936846</v>
      </c>
      <c r="G24" s="267">
        <f>'- 43 -'!C24</f>
        <v>0.62072647161124817</v>
      </c>
      <c r="H24" s="267">
        <f>'- 43 -'!E24</f>
        <v>0.17353826054629914</v>
      </c>
      <c r="J24" s="337"/>
    </row>
    <row r="25" spans="1:12" ht="14.1" customHeight="1" x14ac:dyDescent="0.2">
      <c r="A25" s="271" t="s">
        <v>117</v>
      </c>
      <c r="B25" s="273">
        <f>'- 41 -'!I25</f>
        <v>59.519737699059817</v>
      </c>
      <c r="C25" s="273">
        <f>'- 42 -'!C25</f>
        <v>0</v>
      </c>
      <c r="D25" s="273">
        <f>'- 42 -'!E25</f>
        <v>38.938005829670566</v>
      </c>
      <c r="E25" s="273">
        <f>'- 42 -'!G25</f>
        <v>0.26899149220666441</v>
      </c>
      <c r="F25" s="273">
        <f>'- 42 -'!I25</f>
        <v>0</v>
      </c>
      <c r="G25" s="273">
        <f>'- 43 -'!C25</f>
        <v>1.2325086923649726</v>
      </c>
      <c r="H25" s="273">
        <f>'- 43 -'!E25</f>
        <v>4.0756286697979448E-2</v>
      </c>
      <c r="J25" s="337"/>
    </row>
    <row r="26" spans="1:12" ht="14.1" customHeight="1" x14ac:dyDescent="0.2">
      <c r="A26" s="15" t="s">
        <v>118</v>
      </c>
      <c r="B26" s="267">
        <f>'- 41 -'!I26</f>
        <v>64.044592683969967</v>
      </c>
      <c r="C26" s="267">
        <f>'- 42 -'!C26</f>
        <v>4.7431359581166635E-2</v>
      </c>
      <c r="D26" s="267">
        <f>'- 42 -'!E26</f>
        <v>30.204785191289535</v>
      </c>
      <c r="E26" s="267">
        <f>'- 42 -'!G26</f>
        <v>1.281969382287016</v>
      </c>
      <c r="F26" s="267">
        <f>'- 42 -'!I26</f>
        <v>2.593909884541262</v>
      </c>
      <c r="G26" s="267">
        <f>'- 43 -'!C26</f>
        <v>1.2868642227435432</v>
      </c>
      <c r="H26" s="267">
        <f>'- 43 -'!E26</f>
        <v>0.54044727558750594</v>
      </c>
      <c r="J26" s="337"/>
    </row>
    <row r="27" spans="1:12" ht="14.1" customHeight="1" x14ac:dyDescent="0.2">
      <c r="A27" s="271" t="s">
        <v>119</v>
      </c>
      <c r="B27" s="273">
        <f>'- 41 -'!I27</f>
        <v>79.070997904468015</v>
      </c>
      <c r="C27" s="273">
        <f>'- 42 -'!C27</f>
        <v>0</v>
      </c>
      <c r="D27" s="273">
        <f>'- 42 -'!E27</f>
        <v>19.204345074365943</v>
      </c>
      <c r="E27" s="273">
        <f>'- 42 -'!G27</f>
        <v>0.24945729431724489</v>
      </c>
      <c r="F27" s="273">
        <f>'- 42 -'!I27</f>
        <v>0.79372775464577916</v>
      </c>
      <c r="G27" s="273">
        <f>'- 43 -'!C27</f>
        <v>0.57035008655260999</v>
      </c>
      <c r="H27" s="273">
        <f>'- 43 -'!E27</f>
        <v>0.11112188565040909</v>
      </c>
      <c r="J27" s="337"/>
    </row>
    <row r="28" spans="1:12" ht="14.1" customHeight="1" x14ac:dyDescent="0.2">
      <c r="A28" s="15" t="s">
        <v>120</v>
      </c>
      <c r="B28" s="267">
        <f>'- 41 -'!I28</f>
        <v>46.424982741794075</v>
      </c>
      <c r="C28" s="267">
        <f>'- 42 -'!C28</f>
        <v>0</v>
      </c>
      <c r="D28" s="267">
        <f>'- 42 -'!E28</f>
        <v>26.739753885583205</v>
      </c>
      <c r="E28" s="267">
        <f>'- 42 -'!G28</f>
        <v>0.23029110157908839</v>
      </c>
      <c r="F28" s="267">
        <f>'- 42 -'!I28</f>
        <v>26.533432135937701</v>
      </c>
      <c r="G28" s="267">
        <f>'- 43 -'!C28</f>
        <v>4.7693423403953217E-2</v>
      </c>
      <c r="H28" s="267">
        <f>'- 43 -'!E28</f>
        <v>2.3846711701976608E-2</v>
      </c>
      <c r="J28" s="337"/>
    </row>
    <row r="29" spans="1:12" ht="14.1" customHeight="1" x14ac:dyDescent="0.2">
      <c r="A29" s="271" t="s">
        <v>121</v>
      </c>
      <c r="B29" s="273">
        <f>'- 41 -'!I29</f>
        <v>49.528458679698538</v>
      </c>
      <c r="C29" s="273">
        <f>'- 42 -'!C29</f>
        <v>0</v>
      </c>
      <c r="D29" s="273">
        <f>'- 42 -'!E29</f>
        <v>48.149415629119765</v>
      </c>
      <c r="E29" s="273">
        <f>'- 42 -'!G29</f>
        <v>0.35122596044444582</v>
      </c>
      <c r="F29" s="273">
        <f>'- 42 -'!I29</f>
        <v>0</v>
      </c>
      <c r="G29" s="273">
        <f>'- 43 -'!C29</f>
        <v>1.8925858341516593</v>
      </c>
      <c r="H29" s="273">
        <f>'- 43 -'!E29</f>
        <v>7.8313896585585907E-2</v>
      </c>
      <c r="J29" s="337"/>
    </row>
    <row r="30" spans="1:12" ht="14.1" customHeight="1" x14ac:dyDescent="0.2">
      <c r="A30" s="15" t="s">
        <v>122</v>
      </c>
      <c r="B30" s="267">
        <f>'- 41 -'!I30</f>
        <v>58.762159651755397</v>
      </c>
      <c r="C30" s="267">
        <f>'- 42 -'!C30</f>
        <v>0</v>
      </c>
      <c r="D30" s="267">
        <f>'- 42 -'!E30</f>
        <v>40.919174169811583</v>
      </c>
      <c r="E30" s="267">
        <f>'- 42 -'!G30</f>
        <v>0.24239313775331295</v>
      </c>
      <c r="F30" s="267">
        <f>'- 42 -'!I30</f>
        <v>0</v>
      </c>
      <c r="G30" s="267">
        <f>'- 43 -'!C30</f>
        <v>0</v>
      </c>
      <c r="H30" s="267">
        <f>'- 43 -'!E30</f>
        <v>7.627304067970915E-2</v>
      </c>
      <c r="J30" s="337"/>
    </row>
    <row r="31" spans="1:12" ht="14.1" customHeight="1" x14ac:dyDescent="0.2">
      <c r="A31" s="271" t="s">
        <v>123</v>
      </c>
      <c r="B31" s="273">
        <f>'- 41 -'!I31</f>
        <v>59.783297845373895</v>
      </c>
      <c r="C31" s="273">
        <f>'- 42 -'!C31</f>
        <v>0</v>
      </c>
      <c r="D31" s="273">
        <f>'- 42 -'!E31</f>
        <v>37.48347021546261</v>
      </c>
      <c r="E31" s="273">
        <f>'- 42 -'!G31</f>
        <v>0.45627376425855515</v>
      </c>
      <c r="F31" s="273">
        <f>'- 42 -'!I31</f>
        <v>2.1933079847908745</v>
      </c>
      <c r="G31" s="273">
        <f>'- 43 -'!C31</f>
        <v>1.2674271229404309E-2</v>
      </c>
      <c r="H31" s="273">
        <f>'- 43 -'!E31</f>
        <v>7.0975918884664133E-2</v>
      </c>
      <c r="J31" s="337"/>
    </row>
    <row r="32" spans="1:12" ht="14.1" customHeight="1" x14ac:dyDescent="0.2">
      <c r="A32" s="15" t="s">
        <v>124</v>
      </c>
      <c r="B32" s="267">
        <f>'- 41 -'!I32</f>
        <v>54.837894099385778</v>
      </c>
      <c r="C32" s="267">
        <f>'- 42 -'!C32</f>
        <v>0</v>
      </c>
      <c r="D32" s="267">
        <f>'- 42 -'!E32</f>
        <v>44.573593735098669</v>
      </c>
      <c r="E32" s="267">
        <f>'- 42 -'!G32</f>
        <v>0.25029415981577324</v>
      </c>
      <c r="F32" s="267">
        <f>'- 42 -'!I32</f>
        <v>0</v>
      </c>
      <c r="G32" s="267">
        <f>'- 43 -'!C32</f>
        <v>1.0910258248379857E-2</v>
      </c>
      <c r="H32" s="267">
        <f>'- 43 -'!E32</f>
        <v>0.32730774745139579</v>
      </c>
      <c r="J32" s="337"/>
    </row>
    <row r="33" spans="1:10" ht="14.1" customHeight="1" x14ac:dyDescent="0.2">
      <c r="A33" s="271" t="s">
        <v>125</v>
      </c>
      <c r="B33" s="273">
        <f>'- 41 -'!I33</f>
        <v>59.824445232524759</v>
      </c>
      <c r="C33" s="273">
        <f>'- 42 -'!C33</f>
        <v>0</v>
      </c>
      <c r="D33" s="273">
        <f>'- 42 -'!E33</f>
        <v>38.732127099125911</v>
      </c>
      <c r="E33" s="273">
        <f>'- 42 -'!G33</f>
        <v>0.13515889331482281</v>
      </c>
      <c r="F33" s="273">
        <f>'- 42 -'!I33</f>
        <v>0.69312252981960409</v>
      </c>
      <c r="G33" s="273">
        <f>'- 43 -'!C33</f>
        <v>0.38121739140078226</v>
      </c>
      <c r="H33" s="273">
        <f>'- 43 -'!E33</f>
        <v>0.23392885381411638</v>
      </c>
      <c r="J33" s="337"/>
    </row>
    <row r="34" spans="1:10" ht="14.1" customHeight="1" x14ac:dyDescent="0.2">
      <c r="A34" s="15" t="s">
        <v>126</v>
      </c>
      <c r="B34" s="267">
        <f>'- 41 -'!I34</f>
        <v>50.200828223877892</v>
      </c>
      <c r="C34" s="267">
        <f>'- 42 -'!C34</f>
        <v>6.6996401543571837E-2</v>
      </c>
      <c r="D34" s="267">
        <f>'- 42 -'!E34</f>
        <v>45.588717029484663</v>
      </c>
      <c r="E34" s="267">
        <f>'- 42 -'!G34</f>
        <v>3.3764923783820402</v>
      </c>
      <c r="F34" s="267">
        <f>'- 42 -'!I34</f>
        <v>0</v>
      </c>
      <c r="G34" s="267">
        <f>'- 43 -'!C34</f>
        <v>0.64897338786140735</v>
      </c>
      <c r="H34" s="267">
        <f>'- 43 -'!E34</f>
        <v>0.11799257885042444</v>
      </c>
      <c r="J34" s="337"/>
    </row>
    <row r="35" spans="1:10" ht="14.1" customHeight="1" x14ac:dyDescent="0.2">
      <c r="A35" s="271" t="s">
        <v>127</v>
      </c>
      <c r="B35" s="273">
        <f>'- 41 -'!I35</f>
        <v>64.883901258207004</v>
      </c>
      <c r="C35" s="273">
        <f>'- 42 -'!C35</f>
        <v>0</v>
      </c>
      <c r="D35" s="273">
        <f>'- 42 -'!E35</f>
        <v>34.59927931715729</v>
      </c>
      <c r="E35" s="273">
        <f>'- 42 -'!G35</f>
        <v>0.11455275906873701</v>
      </c>
      <c r="F35" s="273">
        <f>'- 42 -'!I35</f>
        <v>0</v>
      </c>
      <c r="G35" s="273">
        <f>'- 43 -'!C35</f>
        <v>0.39161059495591488</v>
      </c>
      <c r="H35" s="273">
        <f>'- 43 -'!E35</f>
        <v>1.0656070611045303E-2</v>
      </c>
      <c r="J35" s="337"/>
    </row>
    <row r="36" spans="1:10" ht="14.1" customHeight="1" x14ac:dyDescent="0.2">
      <c r="A36" s="15" t="s">
        <v>128</v>
      </c>
      <c r="B36" s="267">
        <f>'- 41 -'!I36</f>
        <v>54.904686547953531</v>
      </c>
      <c r="C36" s="267">
        <f>'- 42 -'!C36</f>
        <v>0.19102848996983215</v>
      </c>
      <c r="D36" s="267">
        <f>'- 42 -'!E36</f>
        <v>39.213996552069283</v>
      </c>
      <c r="E36" s="267">
        <f>'- 42 -'!G36</f>
        <v>0.30210673581825981</v>
      </c>
      <c r="F36" s="267">
        <f>'- 42 -'!I36</f>
        <v>5.000865346216969</v>
      </c>
      <c r="G36" s="267">
        <f>'- 43 -'!C36</f>
        <v>0.10192534946634946</v>
      </c>
      <c r="H36" s="267">
        <f>'- 43 -'!E36</f>
        <v>0.28539097850577844</v>
      </c>
      <c r="J36" s="337"/>
    </row>
    <row r="37" spans="1:10" ht="14.1" customHeight="1" x14ac:dyDescent="0.2">
      <c r="A37" s="271" t="s">
        <v>129</v>
      </c>
      <c r="B37" s="273">
        <f>'- 41 -'!I37</f>
        <v>69.108003145831773</v>
      </c>
      <c r="C37" s="273">
        <f>'- 42 -'!C37</f>
        <v>2.8087783686615235E-2</v>
      </c>
      <c r="D37" s="273">
        <f>'- 42 -'!E37</f>
        <v>30.29091828327466</v>
      </c>
      <c r="E37" s="273">
        <f>'- 42 -'!G37</f>
        <v>0.46812972811025388</v>
      </c>
      <c r="F37" s="273">
        <f>'- 42 -'!I37</f>
        <v>0</v>
      </c>
      <c r="G37" s="273">
        <f>'- 43 -'!C37</f>
        <v>0</v>
      </c>
      <c r="H37" s="273">
        <f>'- 43 -'!E37</f>
        <v>0.10486105909669687</v>
      </c>
      <c r="J37" s="337"/>
    </row>
    <row r="38" spans="1:10" ht="14.1" customHeight="1" x14ac:dyDescent="0.2">
      <c r="A38" s="15" t="s">
        <v>130</v>
      </c>
      <c r="B38" s="267">
        <f>'- 41 -'!I38</f>
        <v>67.85563037850865</v>
      </c>
      <c r="C38" s="267">
        <f>'- 42 -'!C38</f>
        <v>0.62550632527737338</v>
      </c>
      <c r="D38" s="267">
        <f>'- 42 -'!E38</f>
        <v>29.580207930453639</v>
      </c>
      <c r="E38" s="267">
        <f>'- 42 -'!G38</f>
        <v>0.72637439826084382</v>
      </c>
      <c r="F38" s="267">
        <f>'- 42 -'!I38</f>
        <v>0.44876281614822594</v>
      </c>
      <c r="G38" s="267">
        <f>'- 43 -'!C38</f>
        <v>0.72692672172687245</v>
      </c>
      <c r="H38" s="267">
        <f>'- 43 -'!E38</f>
        <v>3.6591429624393809E-2</v>
      </c>
      <c r="J38" s="337"/>
    </row>
    <row r="39" spans="1:10" ht="14.1" customHeight="1" x14ac:dyDescent="0.2">
      <c r="A39" s="271" t="s">
        <v>131</v>
      </c>
      <c r="B39" s="273">
        <f>'- 41 -'!I39</f>
        <v>51.661170877785608</v>
      </c>
      <c r="C39" s="273">
        <f>'- 42 -'!C39</f>
        <v>0</v>
      </c>
      <c r="D39" s="273">
        <f>'- 42 -'!E39</f>
        <v>47.661528696878243</v>
      </c>
      <c r="E39" s="273">
        <f>'- 42 -'!G39</f>
        <v>0.42597511027430668</v>
      </c>
      <c r="F39" s="273">
        <f>'- 42 -'!I39</f>
        <v>0</v>
      </c>
      <c r="G39" s="273">
        <f>'- 43 -'!C39</f>
        <v>0</v>
      </c>
      <c r="H39" s="273">
        <f>'- 43 -'!E39</f>
        <v>0.25132531506184091</v>
      </c>
      <c r="J39" s="337"/>
    </row>
    <row r="40" spans="1:10" ht="14.1" customHeight="1" x14ac:dyDescent="0.2">
      <c r="A40" s="15" t="s">
        <v>132</v>
      </c>
      <c r="B40" s="267">
        <f>'- 41 -'!I40</f>
        <v>53.007218198418741</v>
      </c>
      <c r="C40" s="267">
        <f>'- 42 -'!C40</f>
        <v>0</v>
      </c>
      <c r="D40" s="267">
        <f>'- 42 -'!E40</f>
        <v>43.748804405776824</v>
      </c>
      <c r="E40" s="267">
        <f>'- 42 -'!G40</f>
        <v>0.64404382065159616</v>
      </c>
      <c r="F40" s="267">
        <f>'- 42 -'!I40</f>
        <v>0.15999158023738655</v>
      </c>
      <c r="G40" s="267">
        <f>'- 43 -'!C40</f>
        <v>1.7720137169284147</v>
      </c>
      <c r="H40" s="267">
        <f>'- 43 -'!E40</f>
        <v>0.66792827798703458</v>
      </c>
      <c r="J40" s="337"/>
    </row>
    <row r="41" spans="1:10" ht="14.1" customHeight="1" x14ac:dyDescent="0.2">
      <c r="A41" s="271" t="s">
        <v>133</v>
      </c>
      <c r="B41" s="273">
        <f>'- 41 -'!I41</f>
        <v>56.715805031518627</v>
      </c>
      <c r="C41" s="273">
        <f>'- 42 -'!C41</f>
        <v>0</v>
      </c>
      <c r="D41" s="273">
        <f>'- 42 -'!E41</f>
        <v>42.304259594769746</v>
      </c>
      <c r="E41" s="273">
        <f>'- 42 -'!G41</f>
        <v>0.2247558196586274</v>
      </c>
      <c r="F41" s="273">
        <f>'- 42 -'!I41</f>
        <v>0.62931629504415665</v>
      </c>
      <c r="G41" s="273">
        <f>'- 43 -'!C41</f>
        <v>0</v>
      </c>
      <c r="H41" s="273">
        <f>'- 43 -'!E41</f>
        <v>0.12586325900883133</v>
      </c>
      <c r="J41" s="337"/>
    </row>
    <row r="42" spans="1:10" ht="14.1" customHeight="1" x14ac:dyDescent="0.2">
      <c r="A42" s="15" t="s">
        <v>134</v>
      </c>
      <c r="B42" s="267">
        <f>'- 41 -'!I42</f>
        <v>68.562425950470541</v>
      </c>
      <c r="C42" s="267">
        <f>'- 42 -'!C42</f>
        <v>0</v>
      </c>
      <c r="D42" s="267">
        <f>'- 42 -'!E42</f>
        <v>28.871367332615733</v>
      </c>
      <c r="E42" s="267">
        <f>'- 42 -'!G42</f>
        <v>0.12074081548996926</v>
      </c>
      <c r="F42" s="267">
        <f>'- 42 -'!I42</f>
        <v>0.83682672889586385</v>
      </c>
      <c r="G42" s="267">
        <f>'- 43 -'!C42</f>
        <v>1.2687073381484459</v>
      </c>
      <c r="H42" s="267">
        <f>'- 43 -'!E42</f>
        <v>0.3399318343794519</v>
      </c>
      <c r="J42" s="337"/>
    </row>
    <row r="43" spans="1:10" ht="14.1" customHeight="1" x14ac:dyDescent="0.2">
      <c r="A43" s="271" t="s">
        <v>135</v>
      </c>
      <c r="B43" s="273">
        <f>'- 41 -'!I43</f>
        <v>56.403459721598928</v>
      </c>
      <c r="C43" s="273">
        <f>'- 42 -'!C43</f>
        <v>0</v>
      </c>
      <c r="D43" s="273">
        <f>'- 42 -'!E43</f>
        <v>43.150727342107885</v>
      </c>
      <c r="E43" s="273">
        <f>'- 42 -'!G43</f>
        <v>0.25556388125888724</v>
      </c>
      <c r="F43" s="273">
        <f>'- 42 -'!I43</f>
        <v>0</v>
      </c>
      <c r="G43" s="273">
        <f>'- 43 -'!C43</f>
        <v>7.5427854097265865E-2</v>
      </c>
      <c r="H43" s="273">
        <f>'- 43 -'!E43</f>
        <v>0.11482120093702862</v>
      </c>
      <c r="J43" s="337"/>
    </row>
    <row r="44" spans="1:10" ht="14.1" customHeight="1" x14ac:dyDescent="0.2">
      <c r="A44" s="15" t="s">
        <v>136</v>
      </c>
      <c r="B44" s="267">
        <f>'- 41 -'!I44</f>
        <v>76.865547170002245</v>
      </c>
      <c r="C44" s="267">
        <f>'- 42 -'!C44</f>
        <v>0</v>
      </c>
      <c r="D44" s="267">
        <f>'- 42 -'!E44</f>
        <v>22.530790694460947</v>
      </c>
      <c r="E44" s="267">
        <f>'- 42 -'!G44</f>
        <v>0.45361894577910189</v>
      </c>
      <c r="F44" s="267">
        <f>'- 42 -'!I44</f>
        <v>0</v>
      </c>
      <c r="G44" s="267">
        <f>'- 43 -'!C44</f>
        <v>0</v>
      </c>
      <c r="H44" s="267">
        <f>'- 43 -'!E44</f>
        <v>0.15004318975770295</v>
      </c>
      <c r="J44" s="337"/>
    </row>
    <row r="45" spans="1:10" ht="14.1" customHeight="1" x14ac:dyDescent="0.2">
      <c r="A45" s="271" t="s">
        <v>137</v>
      </c>
      <c r="B45" s="273">
        <f>'- 41 -'!I45</f>
        <v>63.788778455928686</v>
      </c>
      <c r="C45" s="273">
        <f>'- 42 -'!C45</f>
        <v>9.7153197574045794E-2</v>
      </c>
      <c r="D45" s="273">
        <f>'- 42 -'!E45</f>
        <v>34.337865011849779</v>
      </c>
      <c r="E45" s="273">
        <f>'- 42 -'!G45</f>
        <v>0.2683857082983015</v>
      </c>
      <c r="F45" s="273">
        <f>'- 42 -'!I45</f>
        <v>0</v>
      </c>
      <c r="G45" s="273">
        <f>'- 43 -'!C45</f>
        <v>1.4296093023020837</v>
      </c>
      <c r="H45" s="273">
        <f>'- 43 -'!E45</f>
        <v>7.820832404710687E-2</v>
      </c>
      <c r="J45" s="337"/>
    </row>
    <row r="46" spans="1:10" ht="14.1" customHeight="1" x14ac:dyDescent="0.2">
      <c r="A46" s="15" t="s">
        <v>138</v>
      </c>
      <c r="B46" s="267">
        <f>'- 41 -'!I46</f>
        <v>60.410212688720101</v>
      </c>
      <c r="C46" s="267">
        <f>'- 42 -'!C46</f>
        <v>1.0553028055983091</v>
      </c>
      <c r="D46" s="267">
        <f>'- 42 -'!E46</f>
        <v>37.010065318196865</v>
      </c>
      <c r="E46" s="267">
        <f>'- 42 -'!G46</f>
        <v>0.59567991870026671</v>
      </c>
      <c r="F46" s="267">
        <f>'- 42 -'!I46</f>
        <v>0.52632329728264693</v>
      </c>
      <c r="G46" s="267">
        <f>'- 43 -'!C46</f>
        <v>0.16384886946247634</v>
      </c>
      <c r="H46" s="267">
        <f>'- 43 -'!E46</f>
        <v>0.23856710203933063</v>
      </c>
      <c r="J46" s="337"/>
    </row>
    <row r="47" spans="1:10" ht="5.0999999999999996" customHeight="1" x14ac:dyDescent="0.2">
      <c r="A47"/>
      <c r="B47"/>
      <c r="C47"/>
      <c r="D47"/>
      <c r="E47"/>
      <c r="F47"/>
      <c r="G47"/>
      <c r="H47"/>
      <c r="J47" s="337"/>
    </row>
    <row r="48" spans="1:10" ht="14.1" customHeight="1" x14ac:dyDescent="0.2">
      <c r="A48" s="274" t="s">
        <v>139</v>
      </c>
      <c r="B48" s="276">
        <f>'- 41 -'!I48</f>
        <v>59.851743154313922</v>
      </c>
      <c r="C48" s="276">
        <f>'- 42 -'!C48</f>
        <v>0.22460457260479846</v>
      </c>
      <c r="D48" s="276">
        <f>'- 42 -'!E48</f>
        <v>34.349185017773209</v>
      </c>
      <c r="E48" s="276">
        <f>'- 42 -'!G48</f>
        <v>0.51440665700359134</v>
      </c>
      <c r="F48" s="276">
        <f>'- 42 -'!I48</f>
        <v>4.089043329166083</v>
      </c>
      <c r="G48" s="276">
        <f>'- 43 -'!C48</f>
        <v>0.77337557705900628</v>
      </c>
      <c r="H48" s="276">
        <f>'- 43 -'!E48</f>
        <v>0.19764169207939522</v>
      </c>
      <c r="J48" s="337"/>
    </row>
    <row r="49" spans="1:10" ht="5.0999999999999996" customHeight="1" x14ac:dyDescent="0.2">
      <c r="A49" s="17" t="s">
        <v>1</v>
      </c>
      <c r="B49" s="266"/>
      <c r="C49" s="266"/>
      <c r="D49" s="266"/>
      <c r="E49" s="266"/>
      <c r="F49" s="266"/>
      <c r="G49" s="266"/>
      <c r="H49" s="266"/>
      <c r="J49" s="337"/>
    </row>
    <row r="50" spans="1:10" ht="14.1" customHeight="1" x14ac:dyDescent="0.2">
      <c r="A50" s="15" t="s">
        <v>140</v>
      </c>
      <c r="B50" s="267">
        <f>'- 41 -'!I50</f>
        <v>40.420837188437488</v>
      </c>
      <c r="C50" s="267">
        <f>'- 42 -'!C50</f>
        <v>0</v>
      </c>
      <c r="D50" s="267">
        <f>'- 42 -'!E50</f>
        <v>56.827123110998969</v>
      </c>
      <c r="E50" s="267">
        <f>'- 42 -'!G50</f>
        <v>0.93083242212689599</v>
      </c>
      <c r="F50" s="267">
        <f>'- 42 -'!I50</f>
        <v>0</v>
      </c>
      <c r="G50" s="267">
        <f>'- 43 -'!C50</f>
        <v>0.41935122101662603</v>
      </c>
      <c r="H50" s="267">
        <f>'- 43 -'!E50</f>
        <v>1.4018560574200241</v>
      </c>
      <c r="J50" s="337"/>
    </row>
    <row r="51" spans="1:10" ht="14.1" customHeight="1" x14ac:dyDescent="0.2">
      <c r="A51" s="360" t="s">
        <v>516</v>
      </c>
      <c r="B51" s="273">
        <f>'- 41 -'!I51</f>
        <v>32.946091414007803</v>
      </c>
      <c r="C51" s="273">
        <f>'- 42 -'!C51</f>
        <v>7.434716698037219</v>
      </c>
      <c r="D51" s="273">
        <f>'- 42 -'!E51</f>
        <v>0</v>
      </c>
      <c r="E51" s="273">
        <f>'- 42 -'!G51</f>
        <v>6.3065529176375996</v>
      </c>
      <c r="F51" s="273">
        <f>'- 42 -'!I51</f>
        <v>0</v>
      </c>
      <c r="G51" s="273">
        <f>'- 43 -'!C51</f>
        <v>49.378270213817004</v>
      </c>
      <c r="H51" s="273">
        <f>'- 43 -'!E51</f>
        <v>3.93436875650037</v>
      </c>
      <c r="J51" s="337"/>
    </row>
    <row r="52" spans="1:10" ht="50.1" customHeight="1" x14ac:dyDescent="0.2">
      <c r="A52" s="19"/>
      <c r="B52" s="19"/>
      <c r="C52" s="19"/>
      <c r="D52" s="19"/>
      <c r="E52" s="19"/>
      <c r="F52" s="19"/>
      <c r="G52" s="19"/>
      <c r="H52" s="19"/>
    </row>
    <row r="53" spans="1:10" ht="14.45" customHeight="1" x14ac:dyDescent="0.2">
      <c r="A53" s="711" t="e">
        <f>"(1)  The portion shown here is comprised of operating support only. The total provincial contribution to K-12 public school education, which also
"&amp;"       includes teachers' retirement allowances, capital support and the education property tax credit, is projected to be "&amp;TEXT(#REF!,"0.0%")&amp; " in "&amp;'- 60 -'!C9&amp;". See page i 
       for more information. "</f>
        <v>#REF!</v>
      </c>
      <c r="B53" s="711"/>
      <c r="C53" s="711"/>
      <c r="D53" s="711"/>
      <c r="E53" s="711"/>
      <c r="F53" s="711"/>
      <c r="G53" s="711"/>
      <c r="H53" s="711"/>
    </row>
    <row r="54" spans="1:10" x14ac:dyDescent="0.2">
      <c r="A54" s="712"/>
      <c r="B54" s="712"/>
      <c r="C54" s="712"/>
      <c r="D54" s="712"/>
      <c r="E54" s="712"/>
      <c r="F54" s="712"/>
      <c r="G54" s="712"/>
      <c r="H54" s="712"/>
    </row>
    <row r="55" spans="1:10" x14ac:dyDescent="0.2">
      <c r="A55" s="712"/>
      <c r="B55" s="712"/>
      <c r="C55" s="712"/>
      <c r="D55" s="712"/>
      <c r="E55" s="712"/>
      <c r="F55" s="712"/>
      <c r="G55" s="712"/>
      <c r="H55" s="712"/>
    </row>
    <row r="56" spans="1:10" ht="14.45" customHeight="1" x14ac:dyDescent="0.2"/>
    <row r="57" spans="1:10" ht="14.45" customHeight="1" x14ac:dyDescent="0.2"/>
    <row r="58" spans="1:10" ht="14.45" customHeight="1" x14ac:dyDescent="0.2"/>
    <row r="59" spans="1:10" ht="14.45" customHeight="1" x14ac:dyDescent="0.2"/>
  </sheetData>
  <mergeCells count="6">
    <mergeCell ref="A53:H55"/>
    <mergeCell ref="B6:H6"/>
    <mergeCell ref="B7:D8"/>
    <mergeCell ref="E7:E9"/>
    <mergeCell ref="F8:F9"/>
    <mergeCell ref="G7:G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BB67"/>
  <sheetViews>
    <sheetView showGridLines="0" showZeros="0" workbookViewId="0"/>
  </sheetViews>
  <sheetFormatPr defaultColWidth="15.83203125" defaultRowHeight="12" x14ac:dyDescent="0.2"/>
  <cols>
    <col min="1" max="1" width="26.83203125" style="1" customWidth="1"/>
    <col min="2" max="2" width="14.6640625" style="1" customWidth="1"/>
    <col min="3" max="3" width="15.5" style="1" customWidth="1"/>
    <col min="4" max="4" width="14.33203125" style="1" customWidth="1"/>
    <col min="5" max="5" width="14.1640625" style="1" customWidth="1"/>
    <col min="6" max="6" width="15.6640625" style="1" customWidth="1"/>
    <col min="7" max="7" width="13.5" style="1" customWidth="1"/>
    <col min="8" max="8" width="15.33203125" style="1" customWidth="1"/>
    <col min="9" max="9" width="13.33203125" style="1" customWidth="1"/>
    <col min="10" max="16384" width="15.83203125" style="1"/>
  </cols>
  <sheetData>
    <row r="1" spans="1:54" ht="18" customHeight="1" x14ac:dyDescent="0.2">
      <c r="A1" s="183"/>
      <c r="B1" s="184" t="str">
        <f>IF(Lang=1,BA1,BB1)</f>
        <v>ANALYSIS OF OPERATING FUND REVENUE: 2017/2018 BUDGET</v>
      </c>
      <c r="C1" s="184"/>
      <c r="D1" s="184"/>
      <c r="E1" s="101"/>
      <c r="F1" s="101"/>
      <c r="G1" s="101"/>
      <c r="H1" s="101"/>
      <c r="I1" s="185" t="s">
        <v>0</v>
      </c>
      <c r="BA1" s="472" t="str">
        <f>"ANALYSIS OF OPERATING FUND REVENUE: "&amp;YEAR&amp;"/"&amp;YEAR+1&amp;" BUDGET"</f>
        <v>ANALYSIS OF OPERATING FUND REVENUE: 2017/2018 BUDGET</v>
      </c>
      <c r="BB1" s="472" t="str">
        <f>"ANALYSE DES RECETTES DU FONDS DE FONCTIONNEMENT : BUDGET "&amp;YEAR&amp;" - "&amp;YEAR+1</f>
        <v>ANALYSE DES RECETTES DU FONDS DE FONCTIONNEMENT : BUDGET 2017 - 2018</v>
      </c>
    </row>
    <row r="2" spans="1:54" ht="8.1" customHeight="1" x14ac:dyDescent="0.2">
      <c r="A2" s="180"/>
    </row>
    <row r="3" spans="1:54" ht="15.95" customHeight="1" x14ac:dyDescent="0.2">
      <c r="B3" s="595" t="s">
        <v>45</v>
      </c>
      <c r="C3" s="729"/>
      <c r="D3" s="729"/>
      <c r="E3" s="729"/>
      <c r="F3" s="729"/>
      <c r="G3" s="729"/>
      <c r="H3" s="729"/>
      <c r="I3" s="596"/>
    </row>
    <row r="4" spans="1:54" ht="8.1" customHeight="1" x14ac:dyDescent="0.2"/>
    <row r="5" spans="1:54" ht="15.95" customHeight="1" x14ac:dyDescent="0.2">
      <c r="B5" s="726" t="s">
        <v>34</v>
      </c>
      <c r="C5" s="727"/>
      <c r="D5" s="727"/>
      <c r="E5" s="727"/>
      <c r="F5" s="728"/>
    </row>
    <row r="6" spans="1:54" ht="15.95" customHeight="1" x14ac:dyDescent="0.2">
      <c r="B6" s="251"/>
      <c r="C6" s="251"/>
      <c r="D6" s="251"/>
      <c r="E6" s="253"/>
      <c r="F6" s="253"/>
      <c r="G6" s="251"/>
      <c r="H6" s="470"/>
      <c r="I6" s="736" t="s">
        <v>453</v>
      </c>
    </row>
    <row r="7" spans="1:54" ht="15.95" customHeight="1" x14ac:dyDescent="0.2">
      <c r="B7" s="730" t="s">
        <v>447</v>
      </c>
      <c r="C7" s="730" t="s">
        <v>448</v>
      </c>
      <c r="D7" s="730" t="s">
        <v>449</v>
      </c>
      <c r="E7" s="254"/>
      <c r="F7" s="254"/>
      <c r="G7" s="730" t="s">
        <v>451</v>
      </c>
      <c r="H7" s="734" t="s">
        <v>452</v>
      </c>
      <c r="I7" s="737"/>
    </row>
    <row r="8" spans="1:54" ht="15.95" customHeight="1" x14ac:dyDescent="0.2">
      <c r="A8" s="249"/>
      <c r="B8" s="731"/>
      <c r="C8" s="731"/>
      <c r="D8" s="731"/>
      <c r="E8" s="730" t="s">
        <v>450</v>
      </c>
      <c r="F8" s="254"/>
      <c r="G8" s="731"/>
      <c r="H8" s="734"/>
      <c r="I8" s="737"/>
    </row>
    <row r="9" spans="1:54" ht="15.95" customHeight="1" x14ac:dyDescent="0.2">
      <c r="A9" s="250" t="s">
        <v>37</v>
      </c>
      <c r="B9" s="732"/>
      <c r="C9" s="732"/>
      <c r="D9" s="732"/>
      <c r="E9" s="733"/>
      <c r="F9" s="252" t="s">
        <v>25</v>
      </c>
      <c r="G9" s="732"/>
      <c r="H9" s="735"/>
      <c r="I9" s="738"/>
    </row>
    <row r="10" spans="1:54" ht="5.0999999999999996" customHeight="1" x14ac:dyDescent="0.2">
      <c r="A10" s="29"/>
      <c r="B10" s="182"/>
      <c r="C10" s="182"/>
      <c r="D10" s="182"/>
      <c r="E10" s="182"/>
      <c r="F10" s="182"/>
      <c r="G10" s="182"/>
      <c r="H10" s="182"/>
      <c r="I10" s="182"/>
    </row>
    <row r="11" spans="1:54" ht="14.1" customHeight="1" x14ac:dyDescent="0.2">
      <c r="A11" s="271" t="s">
        <v>104</v>
      </c>
      <c r="B11" s="272">
        <f>'- 55 -'!$F11</f>
        <v>10490045</v>
      </c>
      <c r="C11" s="272">
        <v>1713568</v>
      </c>
      <c r="D11" s="272">
        <v>504331</v>
      </c>
      <c r="E11" s="272">
        <f>Data!Q11-C11-D11</f>
        <v>423200</v>
      </c>
      <c r="F11" s="272">
        <f>SUM(B11:E11)</f>
        <v>13131144</v>
      </c>
      <c r="G11" s="272">
        <v>0</v>
      </c>
      <c r="H11" s="272">
        <f>SUM(F11,G11)</f>
        <v>13131144</v>
      </c>
      <c r="I11" s="273">
        <f>H11/'- 43 -'!$I11*100</f>
        <v>64.612187936297246</v>
      </c>
    </row>
    <row r="12" spans="1:54" ht="14.1" customHeight="1" x14ac:dyDescent="0.2">
      <c r="A12" s="15" t="s">
        <v>105</v>
      </c>
      <c r="B12" s="16">
        <f>'- 55 -'!$F12</f>
        <v>15139060</v>
      </c>
      <c r="C12" s="16">
        <v>2387092</v>
      </c>
      <c r="D12" s="16">
        <v>2718987</v>
      </c>
      <c r="E12" s="16">
        <f>Data!Q12-C12-D12</f>
        <v>1151413</v>
      </c>
      <c r="F12" s="16">
        <f t="shared" ref="F12:F46" si="0">SUM(B12:E12)</f>
        <v>21396552</v>
      </c>
      <c r="G12" s="16">
        <v>339796</v>
      </c>
      <c r="H12" s="16">
        <f>SUM(F12,G12)</f>
        <v>21736348</v>
      </c>
      <c r="I12" s="267">
        <f>H12/'- 43 -'!$I12*100</f>
        <v>60.826656737998889</v>
      </c>
    </row>
    <row r="13" spans="1:54" ht="14.1" customHeight="1" x14ac:dyDescent="0.2">
      <c r="A13" s="271" t="s">
        <v>106</v>
      </c>
      <c r="B13" s="272">
        <f>'- 55 -'!$F13</f>
        <v>49298700</v>
      </c>
      <c r="C13" s="272">
        <v>7618689</v>
      </c>
      <c r="D13" s="272">
        <v>1819775</v>
      </c>
      <c r="E13" s="272">
        <f>Data!Q13-C13-D13</f>
        <v>2837600</v>
      </c>
      <c r="F13" s="272">
        <f t="shared" si="0"/>
        <v>61574764</v>
      </c>
      <c r="G13" s="272">
        <v>0</v>
      </c>
      <c r="H13" s="272">
        <f t="shared" ref="H13:H46" si="1">SUM(F13,G13)</f>
        <v>61574764</v>
      </c>
      <c r="I13" s="273">
        <f>H13/'- 43 -'!$I13*100</f>
        <v>60.364634178621181</v>
      </c>
    </row>
    <row r="14" spans="1:54" ht="14.1" customHeight="1" x14ac:dyDescent="0.2">
      <c r="A14" s="15" t="s">
        <v>315</v>
      </c>
      <c r="B14" s="16">
        <f>'- 55 -'!$F14</f>
        <v>35065708</v>
      </c>
      <c r="C14" s="16">
        <v>6292588</v>
      </c>
      <c r="D14" s="16">
        <f>+Data!L2</f>
        <v>1960907</v>
      </c>
      <c r="E14" s="16">
        <f>Data!Q14-C14-D14</f>
        <v>19822882</v>
      </c>
      <c r="F14" s="16">
        <f t="shared" si="0"/>
        <v>63142085</v>
      </c>
      <c r="G14" s="16">
        <v>847438</v>
      </c>
      <c r="H14" s="16">
        <f t="shared" si="1"/>
        <v>63989523</v>
      </c>
      <c r="I14" s="267">
        <f>H14/'- 43 -'!$I14*100</f>
        <v>70.745527766400443</v>
      </c>
    </row>
    <row r="15" spans="1:54" ht="14.1" customHeight="1" x14ac:dyDescent="0.2">
      <c r="A15" s="271" t="s">
        <v>107</v>
      </c>
      <c r="B15" s="272">
        <f>'- 55 -'!$F15</f>
        <v>8122535</v>
      </c>
      <c r="C15" s="272">
        <v>2680796</v>
      </c>
      <c r="D15" s="272">
        <v>1595317</v>
      </c>
      <c r="E15" s="272">
        <f>Data!Q15-C15-D15</f>
        <v>398667</v>
      </c>
      <c r="F15" s="272">
        <f t="shared" si="0"/>
        <v>12797315</v>
      </c>
      <c r="G15" s="272">
        <v>0</v>
      </c>
      <c r="H15" s="272">
        <f t="shared" si="1"/>
        <v>12797315</v>
      </c>
      <c r="I15" s="273">
        <f>H15/'- 43 -'!$I15*100</f>
        <v>60.333189226191799</v>
      </c>
    </row>
    <row r="16" spans="1:54" ht="14.1" customHeight="1" x14ac:dyDescent="0.2">
      <c r="A16" s="15" t="s">
        <v>108</v>
      </c>
      <c r="B16" s="16">
        <f>'- 55 -'!$F16</f>
        <v>8640504</v>
      </c>
      <c r="C16" s="16">
        <v>930388</v>
      </c>
      <c r="D16" s="16">
        <v>752713</v>
      </c>
      <c r="E16" s="16">
        <f>Data!Q16-C16-D16</f>
        <v>367464</v>
      </c>
      <c r="F16" s="16">
        <f t="shared" si="0"/>
        <v>10691069</v>
      </c>
      <c r="G16" s="16">
        <v>92300</v>
      </c>
      <c r="H16" s="16">
        <f t="shared" si="1"/>
        <v>10783369</v>
      </c>
      <c r="I16" s="267">
        <f>H16/'- 43 -'!$I16*100</f>
        <v>73.92470755733784</v>
      </c>
    </row>
    <row r="17" spans="1:9" ht="14.1" customHeight="1" x14ac:dyDescent="0.2">
      <c r="A17" s="271" t="s">
        <v>109</v>
      </c>
      <c r="B17" s="272">
        <f>'- 55 -'!$F17</f>
        <v>7299283</v>
      </c>
      <c r="C17" s="272">
        <v>1453747</v>
      </c>
      <c r="D17" s="272">
        <v>487785</v>
      </c>
      <c r="E17" s="272">
        <f>Data!Q17-C17-D17</f>
        <v>651250</v>
      </c>
      <c r="F17" s="272">
        <f t="shared" si="0"/>
        <v>9892065</v>
      </c>
      <c r="G17" s="272">
        <v>257000</v>
      </c>
      <c r="H17" s="272">
        <f t="shared" si="1"/>
        <v>10149065</v>
      </c>
      <c r="I17" s="273">
        <f>H17/'- 43 -'!$I17*100</f>
        <v>53.504227697857885</v>
      </c>
    </row>
    <row r="18" spans="1:9" ht="14.1" customHeight="1" x14ac:dyDescent="0.2">
      <c r="A18" s="15" t="s">
        <v>110</v>
      </c>
      <c r="B18" s="16">
        <f>'- 55 -'!$F18</f>
        <v>37156091</v>
      </c>
      <c r="C18" s="16">
        <v>527518</v>
      </c>
      <c r="D18" s="16">
        <v>318474</v>
      </c>
      <c r="E18" s="16">
        <f>Data!Q18-C18-D18</f>
        <v>10710503</v>
      </c>
      <c r="F18" s="16">
        <f t="shared" si="0"/>
        <v>48712586</v>
      </c>
      <c r="G18" s="16">
        <v>1175000</v>
      </c>
      <c r="H18" s="16">
        <f t="shared" si="1"/>
        <v>49887586</v>
      </c>
      <c r="I18" s="267">
        <f>H18/'- 43 -'!$I18*100</f>
        <v>36.311777071614152</v>
      </c>
    </row>
    <row r="19" spans="1:9" ht="14.1" customHeight="1" x14ac:dyDescent="0.2">
      <c r="A19" s="271" t="s">
        <v>111</v>
      </c>
      <c r="B19" s="272">
        <f>'- 55 -'!$F19</f>
        <v>28318466</v>
      </c>
      <c r="C19" s="272">
        <v>3296414</v>
      </c>
      <c r="D19" s="272">
        <v>646173</v>
      </c>
      <c r="E19" s="272">
        <f>Data!Q19-C19-D19</f>
        <v>1174029</v>
      </c>
      <c r="F19" s="272">
        <f t="shared" si="0"/>
        <v>33435082</v>
      </c>
      <c r="G19" s="272">
        <v>0</v>
      </c>
      <c r="H19" s="272">
        <f t="shared" si="1"/>
        <v>33435082</v>
      </c>
      <c r="I19" s="273">
        <f>H19/'- 43 -'!$I19*100</f>
        <v>66.808882884085747</v>
      </c>
    </row>
    <row r="20" spans="1:9" ht="14.1" customHeight="1" x14ac:dyDescent="0.2">
      <c r="A20" s="15" t="s">
        <v>112</v>
      </c>
      <c r="B20" s="16">
        <f>'- 55 -'!$F20</f>
        <v>50703102</v>
      </c>
      <c r="C20" s="16">
        <v>6323760</v>
      </c>
      <c r="D20" s="16">
        <v>1493662</v>
      </c>
      <c r="E20" s="16">
        <f>Data!Q20-C20-D20</f>
        <v>2459467</v>
      </c>
      <c r="F20" s="16">
        <f t="shared" si="0"/>
        <v>60979991</v>
      </c>
      <c r="G20" s="16">
        <v>0</v>
      </c>
      <c r="H20" s="16">
        <f t="shared" si="1"/>
        <v>60979991</v>
      </c>
      <c r="I20" s="267">
        <f>H20/'- 43 -'!$I20*100</f>
        <v>69.441191910749041</v>
      </c>
    </row>
    <row r="21" spans="1:9" ht="14.1" customHeight="1" x14ac:dyDescent="0.2">
      <c r="A21" s="271" t="s">
        <v>113</v>
      </c>
      <c r="B21" s="272">
        <f>'- 55 -'!$F21</f>
        <v>16870579</v>
      </c>
      <c r="C21" s="272">
        <v>3644444</v>
      </c>
      <c r="D21" s="272">
        <v>1289551</v>
      </c>
      <c r="E21" s="272">
        <f>Data!Q21-C21-D21</f>
        <v>871595</v>
      </c>
      <c r="F21" s="272">
        <f t="shared" si="0"/>
        <v>22676169</v>
      </c>
      <c r="G21" s="272">
        <v>30500</v>
      </c>
      <c r="H21" s="272">
        <f t="shared" si="1"/>
        <v>22706669</v>
      </c>
      <c r="I21" s="273">
        <f>H21/'- 43 -'!$I21*100</f>
        <v>59.597556430446197</v>
      </c>
    </row>
    <row r="22" spans="1:9" ht="14.1" customHeight="1" x14ac:dyDescent="0.2">
      <c r="A22" s="15" t="s">
        <v>114</v>
      </c>
      <c r="B22" s="16">
        <f>'- 55 -'!$F22</f>
        <v>14016130</v>
      </c>
      <c r="C22" s="16">
        <v>1158902</v>
      </c>
      <c r="D22" s="16">
        <v>309407</v>
      </c>
      <c r="E22" s="16">
        <f>Data!Q22-C22-D22</f>
        <v>898362</v>
      </c>
      <c r="F22" s="16">
        <f t="shared" si="0"/>
        <v>16382801</v>
      </c>
      <c r="G22" s="16">
        <v>654480</v>
      </c>
      <c r="H22" s="16">
        <f t="shared" si="1"/>
        <v>17037281</v>
      </c>
      <c r="I22" s="267">
        <f>H22/'- 43 -'!$I22*100</f>
        <v>81.404319608814674</v>
      </c>
    </row>
    <row r="23" spans="1:9" ht="14.1" customHeight="1" x14ac:dyDescent="0.2">
      <c r="A23" s="271" t="s">
        <v>115</v>
      </c>
      <c r="B23" s="272">
        <f>'- 55 -'!$F23</f>
        <v>9563297</v>
      </c>
      <c r="C23" s="272">
        <v>1071996</v>
      </c>
      <c r="D23" s="272">
        <v>440073</v>
      </c>
      <c r="E23" s="272">
        <f>Data!Q23-C23-D23</f>
        <v>408666</v>
      </c>
      <c r="F23" s="272">
        <f t="shared" si="0"/>
        <v>11484032</v>
      </c>
      <c r="G23" s="272">
        <v>266300</v>
      </c>
      <c r="H23" s="272">
        <f t="shared" si="1"/>
        <v>11750332</v>
      </c>
      <c r="I23" s="273">
        <f>H23/'- 43 -'!$I23*100</f>
        <v>69.868387731124784</v>
      </c>
    </row>
    <row r="24" spans="1:9" ht="14.1" customHeight="1" x14ac:dyDescent="0.2">
      <c r="A24" s="15" t="s">
        <v>116</v>
      </c>
      <c r="B24" s="16">
        <f>'- 55 -'!$F24</f>
        <v>23593123</v>
      </c>
      <c r="C24" s="16">
        <v>5882894</v>
      </c>
      <c r="D24" s="16">
        <v>2692903</v>
      </c>
      <c r="E24" s="16">
        <f>Data!Q24-C24-D24</f>
        <v>1246880</v>
      </c>
      <c r="F24" s="16">
        <f t="shared" si="0"/>
        <v>33415800</v>
      </c>
      <c r="G24" s="16">
        <v>325523</v>
      </c>
      <c r="H24" s="16">
        <f t="shared" si="1"/>
        <v>33741323</v>
      </c>
      <c r="I24" s="267">
        <f>H24/'- 43 -'!$I24*100</f>
        <v>57.349760058284382</v>
      </c>
    </row>
    <row r="25" spans="1:9" ht="14.1" customHeight="1" x14ac:dyDescent="0.2">
      <c r="A25" s="271" t="s">
        <v>117</v>
      </c>
      <c r="B25" s="272">
        <f>'- 55 -'!$F25</f>
        <v>75518746</v>
      </c>
      <c r="C25" s="272">
        <v>22097881</v>
      </c>
      <c r="D25" s="272">
        <v>5812672</v>
      </c>
      <c r="E25" s="272">
        <f>Data!Q25-C25-D25</f>
        <v>6099333</v>
      </c>
      <c r="F25" s="272">
        <f t="shared" si="0"/>
        <v>109528632</v>
      </c>
      <c r="G25" s="272">
        <v>0</v>
      </c>
      <c r="H25" s="272">
        <f t="shared" si="1"/>
        <v>109528632</v>
      </c>
      <c r="I25" s="273">
        <f>H25/'- 43 -'!$I25*100</f>
        <v>59.519737699059817</v>
      </c>
    </row>
    <row r="26" spans="1:9" ht="14.1" customHeight="1" x14ac:dyDescent="0.2">
      <c r="A26" s="15" t="s">
        <v>118</v>
      </c>
      <c r="B26" s="16">
        <f>'- 55 -'!$F26</f>
        <v>21848787</v>
      </c>
      <c r="C26" s="16">
        <v>3545601</v>
      </c>
      <c r="D26" s="16">
        <v>690360</v>
      </c>
      <c r="E26" s="16">
        <f>Data!Q26-C26-D26</f>
        <v>933923</v>
      </c>
      <c r="F26" s="16">
        <f t="shared" si="0"/>
        <v>27018671</v>
      </c>
      <c r="G26" s="16">
        <v>0</v>
      </c>
      <c r="H26" s="16">
        <f t="shared" si="1"/>
        <v>27018671</v>
      </c>
      <c r="I26" s="267">
        <f>H26/'- 43 -'!$I26*100</f>
        <v>64.044592683969967</v>
      </c>
    </row>
    <row r="27" spans="1:9" ht="14.1" customHeight="1" x14ac:dyDescent="0.2">
      <c r="A27" s="271" t="s">
        <v>119</v>
      </c>
      <c r="B27" s="272">
        <f>'- 55 -'!$F27</f>
        <v>31284826</v>
      </c>
      <c r="C27" s="272">
        <v>1713825</v>
      </c>
      <c r="D27" s="272">
        <v>1057113</v>
      </c>
      <c r="E27" s="272">
        <f>Data!Q27-C27-D27</f>
        <v>788500</v>
      </c>
      <c r="F27" s="272">
        <f t="shared" si="0"/>
        <v>34844264</v>
      </c>
      <c r="G27" s="272">
        <v>22665</v>
      </c>
      <c r="H27" s="272">
        <f t="shared" si="1"/>
        <v>34866929</v>
      </c>
      <c r="I27" s="273">
        <f>H27/'- 43 -'!$I27*100</f>
        <v>79.070997904468015</v>
      </c>
    </row>
    <row r="28" spans="1:9" ht="14.1" customHeight="1" x14ac:dyDescent="0.2">
      <c r="A28" s="15" t="s">
        <v>120</v>
      </c>
      <c r="B28" s="16">
        <f>'- 55 -'!$F28</f>
        <v>10535279</v>
      </c>
      <c r="C28" s="16">
        <v>1647474</v>
      </c>
      <c r="D28" s="16">
        <v>792657</v>
      </c>
      <c r="E28" s="16">
        <f>Data!Q28-C28-D28</f>
        <v>652250</v>
      </c>
      <c r="F28" s="16">
        <f t="shared" si="0"/>
        <v>13627660</v>
      </c>
      <c r="G28" s="16">
        <v>0</v>
      </c>
      <c r="H28" s="16">
        <f t="shared" si="1"/>
        <v>13627660</v>
      </c>
      <c r="I28" s="267">
        <f>H28/'- 43 -'!$I28*100</f>
        <v>46.424982741794075</v>
      </c>
    </row>
    <row r="29" spans="1:9" ht="14.1" customHeight="1" x14ac:dyDescent="0.2">
      <c r="A29" s="271" t="s">
        <v>121</v>
      </c>
      <c r="B29" s="272">
        <f>'- 55 -'!$F29</f>
        <v>53154527</v>
      </c>
      <c r="C29" s="272">
        <v>21216523</v>
      </c>
      <c r="D29" s="272">
        <v>4798982</v>
      </c>
      <c r="E29" s="272">
        <f>Data!Q29-C29-D29</f>
        <v>4227320</v>
      </c>
      <c r="F29" s="272">
        <f t="shared" si="0"/>
        <v>83397352</v>
      </c>
      <c r="G29" s="272">
        <v>84084</v>
      </c>
      <c r="H29" s="272">
        <f t="shared" si="1"/>
        <v>83481436</v>
      </c>
      <c r="I29" s="273">
        <f>H29/'- 43 -'!$I29*100</f>
        <v>49.528458679698538</v>
      </c>
    </row>
    <row r="30" spans="1:9" ht="14.1" customHeight="1" x14ac:dyDescent="0.2">
      <c r="A30" s="15" t="s">
        <v>122</v>
      </c>
      <c r="B30" s="16">
        <f>'- 55 -'!$F30</f>
        <v>7426118</v>
      </c>
      <c r="C30" s="16">
        <v>1024857</v>
      </c>
      <c r="D30" s="16">
        <v>331543</v>
      </c>
      <c r="E30" s="16">
        <f>Data!Q30-C30-D30</f>
        <v>308420</v>
      </c>
      <c r="F30" s="16">
        <f t="shared" si="0"/>
        <v>9090938</v>
      </c>
      <c r="G30" s="16">
        <v>0</v>
      </c>
      <c r="H30" s="16">
        <f t="shared" si="1"/>
        <v>9090938</v>
      </c>
      <c r="I30" s="267">
        <f>H30/'- 43 -'!$I30*100</f>
        <v>58.762159651755397</v>
      </c>
    </row>
    <row r="31" spans="1:9" ht="14.1" customHeight="1" x14ac:dyDescent="0.2">
      <c r="A31" s="271" t="s">
        <v>123</v>
      </c>
      <c r="B31" s="272">
        <f>'- 55 -'!$F31</f>
        <v>19011271</v>
      </c>
      <c r="C31" s="272">
        <v>3268418</v>
      </c>
      <c r="D31" s="272">
        <v>520366</v>
      </c>
      <c r="E31" s="272">
        <f>Data!Q31-C31-D31</f>
        <v>784456</v>
      </c>
      <c r="F31" s="272">
        <f t="shared" si="0"/>
        <v>23584511</v>
      </c>
      <c r="G31" s="272">
        <v>0</v>
      </c>
      <c r="H31" s="272">
        <f t="shared" si="1"/>
        <v>23584511</v>
      </c>
      <c r="I31" s="273">
        <f>H31/'- 43 -'!$I31*100</f>
        <v>59.783297845373895</v>
      </c>
    </row>
    <row r="32" spans="1:9" ht="14.1" customHeight="1" x14ac:dyDescent="0.2">
      <c r="A32" s="15" t="s">
        <v>124</v>
      </c>
      <c r="B32" s="16">
        <f>'- 55 -'!$F32</f>
        <v>12641580</v>
      </c>
      <c r="C32" s="16">
        <v>2423825</v>
      </c>
      <c r="D32" s="16">
        <v>1122332</v>
      </c>
      <c r="E32" s="16">
        <f>Data!Q32-C32-D32</f>
        <v>613850</v>
      </c>
      <c r="F32" s="16">
        <f t="shared" si="0"/>
        <v>16801587</v>
      </c>
      <c r="G32" s="16">
        <v>287728</v>
      </c>
      <c r="H32" s="16">
        <f t="shared" si="1"/>
        <v>17089315</v>
      </c>
      <c r="I32" s="267">
        <f>H32/'- 43 -'!$I32*100</f>
        <v>54.837894099385778</v>
      </c>
    </row>
    <row r="33" spans="1:9" ht="14.1" customHeight="1" x14ac:dyDescent="0.2">
      <c r="A33" s="271" t="s">
        <v>125</v>
      </c>
      <c r="B33" s="272">
        <f>'- 55 -'!$F33</f>
        <v>13870543</v>
      </c>
      <c r="C33" s="272">
        <v>1866457</v>
      </c>
      <c r="D33" s="272">
        <v>815100</v>
      </c>
      <c r="E33" s="272">
        <f>Data!Q33-C33-D33</f>
        <v>700200</v>
      </c>
      <c r="F33" s="272">
        <f t="shared" si="0"/>
        <v>17252300</v>
      </c>
      <c r="G33" s="272">
        <v>10000</v>
      </c>
      <c r="H33" s="272">
        <f t="shared" si="1"/>
        <v>17262300</v>
      </c>
      <c r="I33" s="273">
        <f>H33/'- 43 -'!$I33*100</f>
        <v>59.824445232524759</v>
      </c>
    </row>
    <row r="34" spans="1:9" ht="14.1" customHeight="1" x14ac:dyDescent="0.2">
      <c r="A34" s="15" t="s">
        <v>126</v>
      </c>
      <c r="B34" s="16">
        <f>'- 55 -'!$F34</f>
        <v>12322154</v>
      </c>
      <c r="C34" s="16">
        <v>2186593</v>
      </c>
      <c r="D34" s="16">
        <v>695550</v>
      </c>
      <c r="E34" s="16">
        <f>Data!Q34-C34-D34</f>
        <v>699730</v>
      </c>
      <c r="F34" s="16">
        <f t="shared" si="0"/>
        <v>15904027</v>
      </c>
      <c r="G34" s="16">
        <v>0</v>
      </c>
      <c r="H34" s="16">
        <f t="shared" si="1"/>
        <v>15904027</v>
      </c>
      <c r="I34" s="267">
        <f>H34/'- 43 -'!$I34*100</f>
        <v>50.200828223877892</v>
      </c>
    </row>
    <row r="35" spans="1:9" ht="14.1" customHeight="1" x14ac:dyDescent="0.2">
      <c r="A35" s="271" t="s">
        <v>127</v>
      </c>
      <c r="B35" s="272">
        <f>'- 55 -'!$F35</f>
        <v>91224574</v>
      </c>
      <c r="C35" s="272">
        <v>23672314</v>
      </c>
      <c r="D35" s="272">
        <v>1467553</v>
      </c>
      <c r="E35" s="272">
        <f>Data!Q35-C35-D35</f>
        <v>5413846</v>
      </c>
      <c r="F35" s="272">
        <f t="shared" si="0"/>
        <v>121778287</v>
      </c>
      <c r="G35" s="272">
        <v>0</v>
      </c>
      <c r="H35" s="272">
        <f t="shared" si="1"/>
        <v>121778287</v>
      </c>
      <c r="I35" s="273">
        <f>H35/'- 43 -'!$I35*100</f>
        <v>64.883901258207004</v>
      </c>
    </row>
    <row r="36" spans="1:9" ht="14.1" customHeight="1" x14ac:dyDescent="0.2">
      <c r="A36" s="15" t="s">
        <v>128</v>
      </c>
      <c r="B36" s="16">
        <f>'- 55 -'!$F36</f>
        <v>9996252</v>
      </c>
      <c r="C36" s="16">
        <v>2143425</v>
      </c>
      <c r="D36" s="16">
        <v>762460</v>
      </c>
      <c r="E36" s="16">
        <f>Data!Q36-C36-D36</f>
        <v>440750</v>
      </c>
      <c r="F36" s="16">
        <f t="shared" si="0"/>
        <v>13342887</v>
      </c>
      <c r="G36" s="16">
        <v>124000</v>
      </c>
      <c r="H36" s="16">
        <f t="shared" si="1"/>
        <v>13466887</v>
      </c>
      <c r="I36" s="267">
        <f>H36/'- 43 -'!$I36*100</f>
        <v>54.904686547953531</v>
      </c>
    </row>
    <row r="37" spans="1:9" ht="14.1" customHeight="1" x14ac:dyDescent="0.2">
      <c r="A37" s="271" t="s">
        <v>129</v>
      </c>
      <c r="B37" s="272">
        <f>'- 55 -'!$F37</f>
        <v>28817187</v>
      </c>
      <c r="C37" s="272">
        <v>4787917</v>
      </c>
      <c r="D37" s="272">
        <v>2061521</v>
      </c>
      <c r="E37" s="272">
        <f>Data!Q37-C37-D37</f>
        <v>1239813</v>
      </c>
      <c r="F37" s="272">
        <f t="shared" si="0"/>
        <v>36906438</v>
      </c>
      <c r="G37" s="272">
        <v>0</v>
      </c>
      <c r="H37" s="272">
        <f t="shared" si="1"/>
        <v>36906438</v>
      </c>
      <c r="I37" s="273">
        <f>H37/'- 43 -'!$I37*100</f>
        <v>69.108003145831773</v>
      </c>
    </row>
    <row r="38" spans="1:9" ht="14.1" customHeight="1" x14ac:dyDescent="0.2">
      <c r="A38" s="15" t="s">
        <v>130</v>
      </c>
      <c r="B38" s="16">
        <f>'- 55 -'!$F38</f>
        <v>74960328</v>
      </c>
      <c r="C38" s="16">
        <v>12601165</v>
      </c>
      <c r="D38" s="16">
        <v>5351643</v>
      </c>
      <c r="E38" s="16">
        <f>Data!Q38-C38-D38</f>
        <v>3926404</v>
      </c>
      <c r="F38" s="16">
        <f t="shared" si="0"/>
        <v>96839540</v>
      </c>
      <c r="G38" s="16">
        <v>1444360</v>
      </c>
      <c r="H38" s="16">
        <f t="shared" si="1"/>
        <v>98283900</v>
      </c>
      <c r="I38" s="267">
        <f>H38/'- 43 -'!$I38*100</f>
        <v>67.85563037850865</v>
      </c>
    </row>
    <row r="39" spans="1:9" ht="14.1" customHeight="1" x14ac:dyDescent="0.2">
      <c r="A39" s="271" t="s">
        <v>131</v>
      </c>
      <c r="B39" s="272">
        <f>'- 55 -'!$F39</f>
        <v>8995081</v>
      </c>
      <c r="C39" s="272">
        <v>1729057</v>
      </c>
      <c r="D39" s="272">
        <v>758456</v>
      </c>
      <c r="E39" s="272">
        <f>Data!Q39-C39-D39</f>
        <v>491250</v>
      </c>
      <c r="F39" s="272">
        <f t="shared" si="0"/>
        <v>11973844</v>
      </c>
      <c r="G39" s="272">
        <v>153900</v>
      </c>
      <c r="H39" s="272">
        <f t="shared" si="1"/>
        <v>12127744</v>
      </c>
      <c r="I39" s="273">
        <f>H39/'- 43 -'!$I39*100</f>
        <v>51.661170877785608</v>
      </c>
    </row>
    <row r="40" spans="1:9" ht="14.1" customHeight="1" x14ac:dyDescent="0.2">
      <c r="A40" s="15" t="s">
        <v>132</v>
      </c>
      <c r="B40" s="16">
        <f>'- 55 -'!$F40</f>
        <v>38210348</v>
      </c>
      <c r="C40" s="16">
        <v>12937685</v>
      </c>
      <c r="D40" s="16">
        <v>3435747</v>
      </c>
      <c r="E40" s="16">
        <f>Data!Q40-C40-D40</f>
        <v>3309416</v>
      </c>
      <c r="F40" s="16">
        <f t="shared" si="0"/>
        <v>57893196</v>
      </c>
      <c r="G40" s="16">
        <v>86500</v>
      </c>
      <c r="H40" s="16">
        <f t="shared" si="1"/>
        <v>57979696</v>
      </c>
      <c r="I40" s="267">
        <f>H40/'- 43 -'!$I40*100</f>
        <v>53.007218198418741</v>
      </c>
    </row>
    <row r="41" spans="1:9" ht="14.1" customHeight="1" x14ac:dyDescent="0.2">
      <c r="A41" s="271" t="s">
        <v>133</v>
      </c>
      <c r="B41" s="272">
        <f>'- 55 -'!$F41</f>
        <v>25183191</v>
      </c>
      <c r="C41" s="272">
        <v>6977900</v>
      </c>
      <c r="D41" s="272">
        <v>2921960</v>
      </c>
      <c r="E41" s="272">
        <f>Data!Q41-C41-D41</f>
        <v>1500892</v>
      </c>
      <c r="F41" s="272">
        <f t="shared" si="0"/>
        <v>36583943</v>
      </c>
      <c r="G41" s="272">
        <v>1267672</v>
      </c>
      <c r="H41" s="272">
        <f t="shared" si="1"/>
        <v>37851615</v>
      </c>
      <c r="I41" s="273">
        <f>H41/'- 43 -'!$I41*100</f>
        <v>56.715805031518627</v>
      </c>
    </row>
    <row r="42" spans="1:9" ht="14.1" customHeight="1" x14ac:dyDescent="0.2">
      <c r="A42" s="15" t="s">
        <v>134</v>
      </c>
      <c r="B42" s="16">
        <f>'- 55 -'!$F42</f>
        <v>11534635</v>
      </c>
      <c r="C42" s="16">
        <v>1567182</v>
      </c>
      <c r="D42" s="16">
        <v>1056497</v>
      </c>
      <c r="E42" s="16">
        <f>Data!Q42-C42-D42</f>
        <v>605733</v>
      </c>
      <c r="F42" s="16">
        <f t="shared" si="0"/>
        <v>14764047</v>
      </c>
      <c r="G42" s="16">
        <v>0</v>
      </c>
      <c r="H42" s="16">
        <f t="shared" si="1"/>
        <v>14764047</v>
      </c>
      <c r="I42" s="267">
        <f>H42/'- 43 -'!$I42*100</f>
        <v>68.562425950470541</v>
      </c>
    </row>
    <row r="43" spans="1:9" ht="14.1" customHeight="1" x14ac:dyDescent="0.2">
      <c r="A43" s="271" t="s">
        <v>135</v>
      </c>
      <c r="B43" s="272">
        <f>'- 55 -'!$F43</f>
        <v>5918373</v>
      </c>
      <c r="C43" s="272">
        <v>1271603</v>
      </c>
      <c r="D43" s="272">
        <v>0</v>
      </c>
      <c r="E43" s="272">
        <f>Data!Q43-C43-D43</f>
        <v>354214</v>
      </c>
      <c r="F43" s="272">
        <f t="shared" si="0"/>
        <v>7544190</v>
      </c>
      <c r="G43" s="272">
        <v>180380</v>
      </c>
      <c r="H43" s="272">
        <f t="shared" si="1"/>
        <v>7724570</v>
      </c>
      <c r="I43" s="273">
        <f>H43/'- 43 -'!$I43*100</f>
        <v>56.403459721598928</v>
      </c>
    </row>
    <row r="44" spans="1:9" ht="14.1" customHeight="1" x14ac:dyDescent="0.2">
      <c r="A44" s="15" t="s">
        <v>136</v>
      </c>
      <c r="B44" s="16">
        <f>'- 55 -'!$F44</f>
        <v>7283487</v>
      </c>
      <c r="C44" s="16">
        <v>705909</v>
      </c>
      <c r="D44" s="16">
        <v>452294</v>
      </c>
      <c r="E44" s="16">
        <f>Data!Q44-C44-D44</f>
        <v>369689</v>
      </c>
      <c r="F44" s="16">
        <f t="shared" si="0"/>
        <v>8811379</v>
      </c>
      <c r="G44" s="16">
        <v>0</v>
      </c>
      <c r="H44" s="16">
        <f t="shared" si="1"/>
        <v>8811379</v>
      </c>
      <c r="I44" s="267">
        <f>H44/'- 43 -'!$I44*100</f>
        <v>76.865547170002245</v>
      </c>
    </row>
    <row r="45" spans="1:9" ht="14.1" customHeight="1" x14ac:dyDescent="0.2">
      <c r="A45" s="271" t="s">
        <v>137</v>
      </c>
      <c r="B45" s="272">
        <f>'- 55 -'!$F45</f>
        <v>10301916</v>
      </c>
      <c r="C45" s="272">
        <v>2016643</v>
      </c>
      <c r="D45" s="272">
        <v>0</v>
      </c>
      <c r="E45" s="272">
        <f>Data!Q45-C45-D45</f>
        <v>396394</v>
      </c>
      <c r="F45" s="272">
        <f t="shared" si="0"/>
        <v>12714953</v>
      </c>
      <c r="G45" s="272">
        <v>416633</v>
      </c>
      <c r="H45" s="272">
        <f t="shared" si="1"/>
        <v>13131586</v>
      </c>
      <c r="I45" s="273">
        <f>H45/'- 43 -'!$I45*100</f>
        <v>63.788778455928686</v>
      </c>
    </row>
    <row r="46" spans="1:9" ht="14.1" customHeight="1" x14ac:dyDescent="0.2">
      <c r="A46" s="15" t="s">
        <v>138</v>
      </c>
      <c r="B46" s="16">
        <f>'- 55 -'!$F46</f>
        <v>185537600</v>
      </c>
      <c r="C46" s="16">
        <v>30315358</v>
      </c>
      <c r="D46" s="16">
        <v>9483463</v>
      </c>
      <c r="E46" s="16">
        <f>Data!Q46-C46-D46</f>
        <v>19128600</v>
      </c>
      <c r="F46" s="16">
        <f t="shared" si="0"/>
        <v>244465021</v>
      </c>
      <c r="G46" s="16">
        <v>1159400</v>
      </c>
      <c r="H46" s="16">
        <f t="shared" si="1"/>
        <v>245624421</v>
      </c>
      <c r="I46" s="267">
        <f>H46/'- 43 -'!$I46*100</f>
        <v>60.410212688720101</v>
      </c>
    </row>
    <row r="47" spans="1:9" ht="5.0999999999999996" customHeight="1" x14ac:dyDescent="0.2">
      <c r="A47"/>
      <c r="B47"/>
      <c r="C47"/>
      <c r="D47"/>
      <c r="E47"/>
      <c r="F47"/>
      <c r="G47" s="508"/>
      <c r="H47"/>
      <c r="I47"/>
    </row>
    <row r="48" spans="1:9" ht="14.1" customHeight="1" x14ac:dyDescent="0.2">
      <c r="A48" s="274" t="s">
        <v>139</v>
      </c>
      <c r="B48" s="275">
        <f t="shared" ref="B48:H48" si="2">SUM(B11:B46)</f>
        <v>1069853426</v>
      </c>
      <c r="C48" s="275">
        <f t="shared" si="2"/>
        <v>206700408</v>
      </c>
      <c r="D48" s="275">
        <f>SUM(D11:D46)</f>
        <v>61418327</v>
      </c>
      <c r="E48" s="275">
        <f t="shared" si="2"/>
        <v>96406961</v>
      </c>
      <c r="F48" s="275">
        <f t="shared" si="2"/>
        <v>1434379122</v>
      </c>
      <c r="G48" s="275">
        <f>SUM(G11:G46)</f>
        <v>9225659</v>
      </c>
      <c r="H48" s="275">
        <f t="shared" si="2"/>
        <v>1443604781</v>
      </c>
      <c r="I48" s="276">
        <f>H48/'- 43 -'!$I48*100</f>
        <v>59.851743154313922</v>
      </c>
    </row>
    <row r="49" spans="1:9" ht="5.0999999999999996" customHeight="1" x14ac:dyDescent="0.2">
      <c r="A49" s="17" t="s">
        <v>1</v>
      </c>
      <c r="B49" s="18"/>
      <c r="C49" s="18"/>
      <c r="D49" s="18"/>
      <c r="E49" s="18"/>
      <c r="F49" s="18"/>
      <c r="G49" s="18"/>
      <c r="H49" s="18"/>
      <c r="I49" s="266"/>
    </row>
    <row r="50" spans="1:9" ht="14.1" customHeight="1" x14ac:dyDescent="0.2">
      <c r="A50" s="15" t="s">
        <v>140</v>
      </c>
      <c r="B50" s="16">
        <f>'- 55 -'!$F50</f>
        <v>926592</v>
      </c>
      <c r="C50" s="16">
        <v>387301</v>
      </c>
      <c r="D50" s="16">
        <v>24000</v>
      </c>
      <c r="E50" s="16">
        <f>Data!Q50-C50-D50</f>
        <v>103797</v>
      </c>
      <c r="F50" s="16">
        <f>SUM(B50:E50)</f>
        <v>1441690</v>
      </c>
      <c r="G50" s="16">
        <v>0</v>
      </c>
      <c r="H50" s="16">
        <f>SUM(F50,G50)</f>
        <v>1441690</v>
      </c>
      <c r="I50" s="267">
        <f>H50/'- 43 -'!$I50*100</f>
        <v>40.420837188437488</v>
      </c>
    </row>
    <row r="51" spans="1:9" ht="14.1" customHeight="1" x14ac:dyDescent="0.2">
      <c r="A51" s="360" t="s">
        <v>516</v>
      </c>
      <c r="B51" s="272">
        <f>'- 55 -'!$F51</f>
        <v>0</v>
      </c>
      <c r="C51" s="272">
        <v>0</v>
      </c>
      <c r="D51" s="272">
        <v>0</v>
      </c>
      <c r="E51" s="272">
        <f>Data!Q51-C51-D51</f>
        <v>7565208</v>
      </c>
      <c r="F51" s="272">
        <f>SUM(B51:E51)</f>
        <v>7565208</v>
      </c>
      <c r="G51" s="272">
        <v>2715605</v>
      </c>
      <c r="H51" s="272">
        <f>SUM(F51,G51)</f>
        <v>10280813</v>
      </c>
      <c r="I51" s="273">
        <f>H51/'- 43 -'!$I51*100</f>
        <v>32.946091414007803</v>
      </c>
    </row>
    <row r="52" spans="1:9" ht="50.1" customHeight="1" x14ac:dyDescent="0.2">
      <c r="A52" s="19"/>
      <c r="B52" s="19"/>
      <c r="C52" s="19"/>
      <c r="D52" s="19"/>
      <c r="E52" s="19"/>
      <c r="F52" s="19"/>
      <c r="G52" s="19"/>
      <c r="H52" s="19"/>
      <c r="I52" s="19"/>
    </row>
    <row r="53" spans="1:9" ht="15" customHeight="1" x14ac:dyDescent="0.2">
      <c r="A53" s="2" t="s">
        <v>330</v>
      </c>
      <c r="E53" s="31"/>
      <c r="F53" s="187"/>
      <c r="G53" s="187"/>
      <c r="H53" s="187"/>
      <c r="I53" s="187"/>
    </row>
    <row r="54" spans="1:9" ht="12" customHeight="1" x14ac:dyDescent="0.2">
      <c r="A54" s="549" t="s">
        <v>455</v>
      </c>
      <c r="B54" s="549"/>
      <c r="C54" s="549"/>
      <c r="D54" s="549"/>
      <c r="E54" s="549"/>
      <c r="F54" s="549"/>
      <c r="G54" s="549"/>
      <c r="H54" s="549"/>
      <c r="I54" s="549"/>
    </row>
    <row r="55" spans="1:9" ht="12" customHeight="1" x14ac:dyDescent="0.2">
      <c r="A55" s="549"/>
      <c r="B55" s="549"/>
      <c r="C55" s="549"/>
      <c r="D55" s="549"/>
      <c r="E55" s="549"/>
      <c r="F55" s="549"/>
      <c r="G55" s="549"/>
      <c r="H55" s="549"/>
      <c r="I55" s="549"/>
    </row>
    <row r="56" spans="1:9" ht="12" customHeight="1" x14ac:dyDescent="0.2">
      <c r="A56" s="549"/>
      <c r="B56" s="549"/>
      <c r="C56" s="549"/>
      <c r="D56" s="549"/>
      <c r="E56" s="549"/>
      <c r="F56" s="549"/>
      <c r="G56" s="549"/>
      <c r="H56" s="549"/>
      <c r="I56" s="549"/>
    </row>
    <row r="57" spans="1:9" ht="12" customHeight="1" x14ac:dyDescent="0.2">
      <c r="A57" s="549"/>
      <c r="B57" s="549"/>
      <c r="C57" s="549"/>
      <c r="D57" s="549"/>
      <c r="E57" s="549"/>
      <c r="F57" s="549"/>
      <c r="G57" s="549"/>
      <c r="H57" s="549"/>
      <c r="I57" s="549"/>
    </row>
    <row r="58" spans="1:9" ht="12" customHeight="1" x14ac:dyDescent="0.2">
      <c r="A58" s="725" t="s">
        <v>454</v>
      </c>
      <c r="B58" s="725"/>
      <c r="C58" s="725"/>
      <c r="D58" s="725"/>
      <c r="E58" s="725"/>
      <c r="F58" s="725"/>
      <c r="G58" s="725"/>
      <c r="H58" s="725"/>
      <c r="I58" s="725"/>
    </row>
    <row r="59" spans="1:9" ht="12" customHeight="1" x14ac:dyDescent="0.2">
      <c r="A59" s="725"/>
      <c r="B59" s="725"/>
      <c r="C59" s="725"/>
      <c r="D59" s="725"/>
      <c r="E59" s="725"/>
      <c r="F59" s="725"/>
      <c r="G59" s="725"/>
      <c r="H59" s="725"/>
      <c r="I59" s="725"/>
    </row>
    <row r="60" spans="1:9" ht="12" customHeight="1" x14ac:dyDescent="0.2">
      <c r="A60" s="356" t="s">
        <v>601</v>
      </c>
      <c r="B60" s="90"/>
      <c r="C60" s="90"/>
      <c r="D60" s="90"/>
      <c r="E60" s="90"/>
      <c r="F60" s="90"/>
      <c r="G60" s="90"/>
      <c r="H60" s="90"/>
      <c r="I60" s="90"/>
    </row>
    <row r="61" spans="1:9" x14ac:dyDescent="0.2">
      <c r="A61" s="2" t="s">
        <v>331</v>
      </c>
      <c r="B61" s="90"/>
      <c r="C61" s="90"/>
      <c r="D61" s="90"/>
      <c r="E61" s="90"/>
      <c r="F61" s="90"/>
      <c r="G61" s="90"/>
      <c r="H61" s="90"/>
      <c r="I61" s="90"/>
    </row>
    <row r="62" spans="1:9" x14ac:dyDescent="0.2">
      <c r="A62" s="443" t="e">
        <f>"(6)  Total provincial contribution to public education is "&amp;TEXT(#REF!,"0.0%")&amp;". See page i for more details."</f>
        <v>#REF!</v>
      </c>
    </row>
    <row r="67" spans="7:7" x14ac:dyDescent="0.2">
      <c r="G67" s="131"/>
    </row>
  </sheetData>
  <mergeCells count="11">
    <mergeCell ref="A58:I59"/>
    <mergeCell ref="A54:I57"/>
    <mergeCell ref="B5:F5"/>
    <mergeCell ref="B3:I3"/>
    <mergeCell ref="B7:B9"/>
    <mergeCell ref="C7:C9"/>
    <mergeCell ref="D7:D9"/>
    <mergeCell ref="E8:E9"/>
    <mergeCell ref="G7:G9"/>
    <mergeCell ref="H7:H9"/>
    <mergeCell ref="I6:I9"/>
  </mergeCells>
  <phoneticPr fontId="0" type="noConversion"/>
  <printOptions horizontalCentered="1"/>
  <pageMargins left="0.51181102362204722" right="0.51181102362204722" top="0.59055118110236227" bottom="0" header="0.31496062992125984" footer="0"/>
  <pageSetup scale="82" orientation="portrait" r:id="rId1"/>
  <headerFooter alignWithMargins="0">
    <oddHeader>&amp;C&amp;"Arial,Bold"&amp;10&amp;A</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I59"/>
  <sheetViews>
    <sheetView showGridLines="0" showZeros="0" workbookViewId="0"/>
  </sheetViews>
  <sheetFormatPr defaultColWidth="15.83203125" defaultRowHeight="12" x14ac:dyDescent="0.2"/>
  <cols>
    <col min="1" max="1" width="33.83203125" style="1" customWidth="1"/>
    <col min="2" max="2" width="16.83203125" style="1" customWidth="1"/>
    <col min="3" max="3" width="8.83203125" style="1" customWidth="1"/>
    <col min="4" max="4" width="15.83203125" style="1"/>
    <col min="5" max="5" width="8.83203125" style="1" customWidth="1"/>
    <col min="6" max="6" width="15.83203125" style="1"/>
    <col min="7" max="7" width="8.83203125" style="1" customWidth="1"/>
    <col min="8" max="8" width="15.83203125" style="1"/>
    <col min="9" max="9" width="8.83203125" style="1" customWidth="1"/>
    <col min="10" max="16384" width="15.83203125" style="1"/>
  </cols>
  <sheetData>
    <row r="1" spans="1:9" ht="6.95" customHeight="1" x14ac:dyDescent="0.2">
      <c r="A1" s="3"/>
    </row>
    <row r="2" spans="1:9" ht="15.95" customHeight="1" x14ac:dyDescent="0.2">
      <c r="A2" s="183"/>
      <c r="B2" s="53" t="str">
        <f>REVYEAR</f>
        <v>ANALYSIS OF OPERATING FUND REVENUE: 2017/2018 BUDGET</v>
      </c>
      <c r="C2" s="101"/>
      <c r="D2" s="101"/>
      <c r="E2" s="101"/>
      <c r="F2" s="101"/>
      <c r="G2" s="190"/>
      <c r="H2" s="191"/>
      <c r="I2" s="185" t="s">
        <v>2</v>
      </c>
    </row>
    <row r="3" spans="1:9" ht="15.95" customHeight="1" x14ac:dyDescent="0.2">
      <c r="A3" s="180"/>
    </row>
    <row r="4" spans="1:9" ht="15.95" customHeight="1" x14ac:dyDescent="0.2">
      <c r="B4" s="4"/>
      <c r="C4" s="4"/>
      <c r="D4" s="4"/>
      <c r="E4" s="4"/>
      <c r="F4" s="4"/>
      <c r="G4" s="4"/>
      <c r="H4" s="4"/>
      <c r="I4" s="55"/>
    </row>
    <row r="5" spans="1:9" ht="15.95" customHeight="1" x14ac:dyDescent="0.2">
      <c r="B5" s="4"/>
      <c r="C5" s="4"/>
      <c r="D5" s="4"/>
      <c r="E5" s="4"/>
      <c r="F5" s="4"/>
      <c r="G5" s="4"/>
      <c r="H5" s="4"/>
      <c r="I5" s="4"/>
    </row>
    <row r="6" spans="1:9" ht="15.95" customHeight="1" x14ac:dyDescent="0.2">
      <c r="B6" s="4"/>
      <c r="C6" s="4"/>
      <c r="D6" s="4"/>
      <c r="E6" s="4"/>
      <c r="F6" s="4"/>
      <c r="G6" s="4"/>
      <c r="H6" s="4"/>
      <c r="I6" s="4"/>
    </row>
    <row r="7" spans="1:9" ht="15.95" customHeight="1" x14ac:dyDescent="0.2">
      <c r="B7" s="691" t="s">
        <v>456</v>
      </c>
      <c r="C7" s="692"/>
      <c r="D7" s="739" t="s">
        <v>457</v>
      </c>
      <c r="E7" s="621"/>
      <c r="F7" s="624" t="s">
        <v>445</v>
      </c>
      <c r="G7" s="621"/>
      <c r="H7" s="278"/>
      <c r="I7" s="270"/>
    </row>
    <row r="8" spans="1:9" ht="15.95" customHeight="1" x14ac:dyDescent="0.2">
      <c r="A8" s="249"/>
      <c r="B8" s="693"/>
      <c r="C8" s="694"/>
      <c r="D8" s="740"/>
      <c r="E8" s="623"/>
      <c r="F8" s="622"/>
      <c r="G8" s="623"/>
      <c r="H8" s="627" t="s">
        <v>52</v>
      </c>
      <c r="I8" s="615"/>
    </row>
    <row r="9" spans="1:9" ht="15.95" customHeight="1" x14ac:dyDescent="0.2">
      <c r="A9" s="27" t="s">
        <v>37</v>
      </c>
      <c r="B9" s="473" t="s">
        <v>53</v>
      </c>
      <c r="C9" s="108" t="s">
        <v>39</v>
      </c>
      <c r="D9" s="181" t="s">
        <v>53</v>
      </c>
      <c r="E9" s="181" t="s">
        <v>39</v>
      </c>
      <c r="F9" s="181" t="s">
        <v>53</v>
      </c>
      <c r="G9" s="181" t="s">
        <v>39</v>
      </c>
      <c r="H9" s="189" t="s">
        <v>53</v>
      </c>
      <c r="I9" s="189" t="s">
        <v>39</v>
      </c>
    </row>
    <row r="10" spans="1:9" ht="5.0999999999999996" customHeight="1" x14ac:dyDescent="0.2">
      <c r="A10" s="29"/>
      <c r="B10" s="182"/>
      <c r="C10" s="182"/>
      <c r="D10" s="182"/>
      <c r="E10" s="182"/>
      <c r="F10" s="182"/>
      <c r="G10" s="182"/>
      <c r="H10" s="182"/>
      <c r="I10" s="182"/>
    </row>
    <row r="11" spans="1:9" ht="14.1" customHeight="1" x14ac:dyDescent="0.2">
      <c r="A11" s="271" t="s">
        <v>104</v>
      </c>
      <c r="B11" s="272">
        <v>0</v>
      </c>
      <c r="C11" s="273">
        <f>B11/'- 43 -'!$I11*100</f>
        <v>0</v>
      </c>
      <c r="D11" s="272">
        <v>7070870</v>
      </c>
      <c r="E11" s="273">
        <f>D11/'- 43 -'!$I11*100</f>
        <v>34.792427934163698</v>
      </c>
      <c r="F11" s="272">
        <v>30000</v>
      </c>
      <c r="G11" s="273">
        <f>F11/'- 43 -'!$I11*100</f>
        <v>0.14761589988571577</v>
      </c>
      <c r="H11" s="272">
        <v>0</v>
      </c>
      <c r="I11" s="273">
        <f>H11/'- 43 -'!$I11*100</f>
        <v>0</v>
      </c>
    </row>
    <row r="12" spans="1:9" ht="14.1" customHeight="1" x14ac:dyDescent="0.2">
      <c r="A12" s="15" t="s">
        <v>105</v>
      </c>
      <c r="B12" s="16">
        <v>0</v>
      </c>
      <c r="C12" s="267">
        <f>B12/'- 43 -'!$I12*100</f>
        <v>0</v>
      </c>
      <c r="D12" s="16">
        <v>11789336</v>
      </c>
      <c r="E12" s="267">
        <f>D12/'- 43 -'!$I12*100</f>
        <v>32.99109372195057</v>
      </c>
      <c r="F12" s="16">
        <v>614628</v>
      </c>
      <c r="G12" s="267">
        <f>F12/'- 43 -'!$I12*100</f>
        <v>1.7199653951787475</v>
      </c>
      <c r="H12" s="16">
        <v>1250023</v>
      </c>
      <c r="I12" s="267">
        <f>H12/'- 43 -'!$I12*100</f>
        <v>3.4980448387927714</v>
      </c>
    </row>
    <row r="13" spans="1:9" ht="14.1" customHeight="1" x14ac:dyDescent="0.2">
      <c r="A13" s="271" t="s">
        <v>106</v>
      </c>
      <c r="B13" s="272">
        <v>18500</v>
      </c>
      <c r="C13" s="273">
        <f>B13/'- 43 -'!$I13*100</f>
        <v>1.813641920421314E-2</v>
      </c>
      <c r="D13" s="272">
        <v>38900936</v>
      </c>
      <c r="E13" s="273">
        <f>D13/'- 43 -'!$I13*100</f>
        <v>38.136415282825205</v>
      </c>
      <c r="F13" s="272">
        <v>447500</v>
      </c>
      <c r="G13" s="273">
        <f>F13/'- 43 -'!$I13*100</f>
        <v>0.43870527534515569</v>
      </c>
      <c r="H13" s="272">
        <v>178200</v>
      </c>
      <c r="I13" s="273">
        <f>H13/'- 43 -'!$I13*100</f>
        <v>0.17469783255085305</v>
      </c>
    </row>
    <row r="14" spans="1:9" ht="14.1" customHeight="1" x14ac:dyDescent="0.2">
      <c r="A14" s="15" t="s">
        <v>315</v>
      </c>
      <c r="B14" s="16">
        <v>55000</v>
      </c>
      <c r="C14" s="267">
        <f>B14/'- 43 -'!$I14*100</f>
        <v>6.080689220252547E-2</v>
      </c>
      <c r="D14" s="16">
        <v>24471545</v>
      </c>
      <c r="E14" s="267">
        <f>D14/'- 43 -'!$I14*100</f>
        <v>27.055247251713656</v>
      </c>
      <c r="F14" s="16">
        <v>1834205</v>
      </c>
      <c r="G14" s="267">
        <f>F14/'- 43 -'!$I14*100</f>
        <v>2.0278601038606041</v>
      </c>
      <c r="H14" s="16">
        <v>0</v>
      </c>
      <c r="I14" s="267">
        <f>H14/'- 43 -'!$I14*100</f>
        <v>0</v>
      </c>
    </row>
    <row r="15" spans="1:9" ht="14.1" customHeight="1" x14ac:dyDescent="0.2">
      <c r="A15" s="271" t="s">
        <v>107</v>
      </c>
      <c r="B15" s="272">
        <v>0</v>
      </c>
      <c r="C15" s="273">
        <f>B15/'- 43 -'!$I15*100</f>
        <v>0</v>
      </c>
      <c r="D15" s="272">
        <v>8143755</v>
      </c>
      <c r="E15" s="273">
        <f>D15/'- 43 -'!$I15*100</f>
        <v>38.393890548661616</v>
      </c>
      <c r="F15" s="272">
        <v>55000</v>
      </c>
      <c r="G15" s="273">
        <f>F15/'- 43 -'!$I15*100</f>
        <v>0.259298564381712</v>
      </c>
      <c r="H15" s="272">
        <v>145000</v>
      </c>
      <c r="I15" s="273">
        <f>H15/'- 43 -'!$I15*100</f>
        <v>0.68360530609724079</v>
      </c>
    </row>
    <row r="16" spans="1:9" ht="14.1" customHeight="1" x14ac:dyDescent="0.2">
      <c r="A16" s="15" t="s">
        <v>108</v>
      </c>
      <c r="B16" s="16">
        <v>0</v>
      </c>
      <c r="C16" s="267">
        <f>B16/'- 43 -'!$I16*100</f>
        <v>0</v>
      </c>
      <c r="D16" s="16">
        <v>3284051</v>
      </c>
      <c r="E16" s="267">
        <f>D16/'- 43 -'!$I16*100</f>
        <v>22.513604957632712</v>
      </c>
      <c r="F16" s="16">
        <v>235947</v>
      </c>
      <c r="G16" s="267">
        <f>F16/'- 43 -'!$I16*100</f>
        <v>1.6175198098137227</v>
      </c>
      <c r="H16" s="16">
        <v>0</v>
      </c>
      <c r="I16" s="267">
        <f>H16/'- 43 -'!$I16*100</f>
        <v>0</v>
      </c>
    </row>
    <row r="17" spans="1:9" ht="14.1" customHeight="1" x14ac:dyDescent="0.2">
      <c r="A17" s="271" t="s">
        <v>109</v>
      </c>
      <c r="B17" s="272">
        <v>0</v>
      </c>
      <c r="C17" s="273">
        <f>B17/'- 43 -'!$I17*100</f>
        <v>0</v>
      </c>
      <c r="D17" s="272">
        <v>7740501</v>
      </c>
      <c r="E17" s="273">
        <f>D17/'- 43 -'!$I17*100</f>
        <v>40.806668200420106</v>
      </c>
      <c r="F17" s="272">
        <v>23700</v>
      </c>
      <c r="G17" s="273">
        <f>F17/'- 43 -'!$I17*100</f>
        <v>0.12494256332373789</v>
      </c>
      <c r="H17" s="272">
        <v>1030350</v>
      </c>
      <c r="I17" s="273">
        <f>H17/'- 43 -'!$I17*100</f>
        <v>5.4318384017136427</v>
      </c>
    </row>
    <row r="18" spans="1:9" ht="14.1" customHeight="1" x14ac:dyDescent="0.2">
      <c r="A18" s="15" t="s">
        <v>110</v>
      </c>
      <c r="B18" s="16">
        <v>0</v>
      </c>
      <c r="C18" s="374">
        <f>B18/'- 43 -'!$I18*100</f>
        <v>0</v>
      </c>
      <c r="D18" s="16">
        <v>3050784</v>
      </c>
      <c r="E18" s="267">
        <f>D18/'- 43 -'!$I18*100</f>
        <v>2.2205802562113814</v>
      </c>
      <c r="F18" s="16">
        <v>0</v>
      </c>
      <c r="G18" s="267">
        <f>F18/'- 43 -'!$I18*100</f>
        <v>0</v>
      </c>
      <c r="H18" s="16">
        <v>79528847</v>
      </c>
      <c r="I18" s="267">
        <f>H18/'- 43 -'!$I18*100</f>
        <v>57.886821042543737</v>
      </c>
    </row>
    <row r="19" spans="1:9" ht="14.1" customHeight="1" x14ac:dyDescent="0.2">
      <c r="A19" s="271" t="s">
        <v>111</v>
      </c>
      <c r="B19" s="272">
        <v>0</v>
      </c>
      <c r="C19" s="273">
        <f>B19/'- 43 -'!$I19*100</f>
        <v>0</v>
      </c>
      <c r="D19" s="272">
        <v>15790781</v>
      </c>
      <c r="E19" s="273">
        <f>D19/'- 43 -'!$I19*100</f>
        <v>31.552620043738681</v>
      </c>
      <c r="F19" s="272">
        <v>400000</v>
      </c>
      <c r="G19" s="273">
        <f>F19/'- 43 -'!$I19*100</f>
        <v>0.7992668644758909</v>
      </c>
      <c r="H19" s="272">
        <v>0</v>
      </c>
      <c r="I19" s="273">
        <f>H19/'- 43 -'!$I19*100</f>
        <v>0</v>
      </c>
    </row>
    <row r="20" spans="1:9" ht="14.1" customHeight="1" x14ac:dyDescent="0.2">
      <c r="A20" s="15" t="s">
        <v>112</v>
      </c>
      <c r="B20" s="16">
        <v>0</v>
      </c>
      <c r="C20" s="267">
        <f>B20/'- 43 -'!$I20*100</f>
        <v>0</v>
      </c>
      <c r="D20" s="16">
        <v>26220409</v>
      </c>
      <c r="E20" s="267">
        <f>D20/'- 43 -'!$I20*100</f>
        <v>29.858588423657377</v>
      </c>
      <c r="F20" s="16">
        <v>80000</v>
      </c>
      <c r="G20" s="267">
        <f>F20/'- 43 -'!$I20*100</f>
        <v>9.1100298011849865E-2</v>
      </c>
      <c r="H20" s="16">
        <v>0</v>
      </c>
      <c r="I20" s="267">
        <f>H20/'- 43 -'!$I20*100</f>
        <v>0</v>
      </c>
    </row>
    <row r="21" spans="1:9" ht="14.1" customHeight="1" x14ac:dyDescent="0.2">
      <c r="A21" s="271" t="s">
        <v>113</v>
      </c>
      <c r="B21" s="272">
        <v>0</v>
      </c>
      <c r="C21" s="273">
        <f>B21/'- 43 -'!$I21*100</f>
        <v>0</v>
      </c>
      <c r="D21" s="272">
        <v>14989005</v>
      </c>
      <c r="E21" s="273">
        <f>D21/'- 43 -'!$I21*100</f>
        <v>39.341220472440945</v>
      </c>
      <c r="F21" s="272">
        <v>63000</v>
      </c>
      <c r="G21" s="273">
        <f>F21/'- 43 -'!$I21*100</f>
        <v>0.1653543307086614</v>
      </c>
      <c r="H21" s="272">
        <v>0</v>
      </c>
      <c r="I21" s="273">
        <f>H21/'- 43 -'!$I21*100</f>
        <v>0</v>
      </c>
    </row>
    <row r="22" spans="1:9" ht="14.1" customHeight="1" x14ac:dyDescent="0.2">
      <c r="A22" s="15" t="s">
        <v>114</v>
      </c>
      <c r="B22" s="16">
        <v>24000</v>
      </c>
      <c r="C22" s="267">
        <f>B22/'- 43 -'!$I22*100</f>
        <v>0.11467226904407764</v>
      </c>
      <c r="D22" s="16">
        <v>3694429</v>
      </c>
      <c r="E22" s="267">
        <f>D22/'- 43 -'!$I22*100</f>
        <v>17.65202317717678</v>
      </c>
      <c r="F22" s="16">
        <v>15000</v>
      </c>
      <c r="G22" s="267">
        <f>F22/'- 43 -'!$I22*100</f>
        <v>7.1670168152548522E-2</v>
      </c>
      <c r="H22" s="16">
        <v>0</v>
      </c>
      <c r="I22" s="267">
        <f>H22/'- 43 -'!$I22*100</f>
        <v>0</v>
      </c>
    </row>
    <row r="23" spans="1:9" ht="14.1" customHeight="1" x14ac:dyDescent="0.2">
      <c r="A23" s="271" t="s">
        <v>115</v>
      </c>
      <c r="B23" s="272">
        <v>0</v>
      </c>
      <c r="C23" s="273">
        <f>B23/'- 43 -'!$I23*100</f>
        <v>0</v>
      </c>
      <c r="D23" s="272">
        <v>3691647</v>
      </c>
      <c r="E23" s="273">
        <f>D23/'- 43 -'!$I23*100</f>
        <v>21.950820109801462</v>
      </c>
      <c r="F23" s="272">
        <v>90000</v>
      </c>
      <c r="G23" s="273">
        <f>F23/'- 43 -'!$I23*100</f>
        <v>0.53514699804237287</v>
      </c>
      <c r="H23" s="272">
        <v>994000</v>
      </c>
      <c r="I23" s="273">
        <f>H23/'- 43 -'!$I23*100</f>
        <v>5.9104012894902063</v>
      </c>
    </row>
    <row r="24" spans="1:9" ht="14.1" customHeight="1" x14ac:dyDescent="0.2">
      <c r="A24" s="15" t="s">
        <v>116</v>
      </c>
      <c r="B24" s="16">
        <v>0</v>
      </c>
      <c r="C24" s="267">
        <f>B24/'- 43 -'!$I24*100</f>
        <v>0</v>
      </c>
      <c r="D24" s="16">
        <v>24042895</v>
      </c>
      <c r="E24" s="267">
        <f>D24/'- 43 -'!$I24*100</f>
        <v>40.865447373137243</v>
      </c>
      <c r="F24" s="16">
        <v>172805</v>
      </c>
      <c r="G24" s="267">
        <f>F24/'- 43 -'!$I24*100</f>
        <v>0.29371478074146151</v>
      </c>
      <c r="H24" s="16">
        <v>409965</v>
      </c>
      <c r="I24" s="267">
        <f>H24/'- 43 -'!$I24*100</f>
        <v>0.69681305567936846</v>
      </c>
    </row>
    <row r="25" spans="1:9" ht="14.1" customHeight="1" x14ac:dyDescent="0.2">
      <c r="A25" s="271" t="s">
        <v>117</v>
      </c>
      <c r="B25" s="272">
        <v>0</v>
      </c>
      <c r="C25" s="273">
        <f>B25/'- 43 -'!$I25*100</f>
        <v>0</v>
      </c>
      <c r="D25" s="272">
        <v>71653987</v>
      </c>
      <c r="E25" s="273">
        <f>D25/'- 43 -'!$I25*100</f>
        <v>38.938005829670566</v>
      </c>
      <c r="F25" s="272">
        <v>495000</v>
      </c>
      <c r="G25" s="273">
        <f>F25/'- 43 -'!$I25*100</f>
        <v>0.26899149220666441</v>
      </c>
      <c r="H25" s="272">
        <v>0</v>
      </c>
      <c r="I25" s="273">
        <f>H25/'- 43 -'!$I25*100</f>
        <v>0</v>
      </c>
    </row>
    <row r="26" spans="1:9" ht="14.1" customHeight="1" x14ac:dyDescent="0.2">
      <c r="A26" s="15" t="s">
        <v>118</v>
      </c>
      <c r="B26" s="16">
        <v>20010</v>
      </c>
      <c r="C26" s="267">
        <f>B26/'- 43 -'!$I26*100</f>
        <v>4.7431359581166635E-2</v>
      </c>
      <c r="D26" s="16">
        <v>12742577</v>
      </c>
      <c r="E26" s="267">
        <f>D26/'- 43 -'!$I26*100</f>
        <v>30.204785191289535</v>
      </c>
      <c r="F26" s="16">
        <v>540828</v>
      </c>
      <c r="G26" s="267">
        <f>F26/'- 43 -'!$I26*100</f>
        <v>1.281969382287016</v>
      </c>
      <c r="H26" s="16">
        <v>1094300</v>
      </c>
      <c r="I26" s="267">
        <f>H26/'- 43 -'!$I26*100</f>
        <v>2.593909884541262</v>
      </c>
    </row>
    <row r="27" spans="1:9" ht="14.1" customHeight="1" x14ac:dyDescent="0.2">
      <c r="A27" s="271" t="s">
        <v>119</v>
      </c>
      <c r="B27" s="272">
        <v>0</v>
      </c>
      <c r="C27" s="273">
        <f>B27/'- 43 -'!$I27*100</f>
        <v>0</v>
      </c>
      <c r="D27" s="272">
        <v>8468295</v>
      </c>
      <c r="E27" s="273">
        <f>D27/'- 43 -'!$I27*100</f>
        <v>19.204345074365943</v>
      </c>
      <c r="F27" s="272">
        <v>110000</v>
      </c>
      <c r="G27" s="273">
        <f>F27/'- 43 -'!$I27*100</f>
        <v>0.24945729431724489</v>
      </c>
      <c r="H27" s="272">
        <v>350000</v>
      </c>
      <c r="I27" s="273">
        <f>H27/'- 43 -'!$I27*100</f>
        <v>0.79372775464577916</v>
      </c>
    </row>
    <row r="28" spans="1:9" ht="14.1" customHeight="1" x14ac:dyDescent="0.2">
      <c r="A28" s="15" t="s">
        <v>120</v>
      </c>
      <c r="B28" s="16">
        <v>0</v>
      </c>
      <c r="C28" s="267">
        <f>B28/'- 43 -'!$I28*100</f>
        <v>0</v>
      </c>
      <c r="D28" s="16">
        <v>7849228</v>
      </c>
      <c r="E28" s="267">
        <f>D28/'- 43 -'!$I28*100</f>
        <v>26.739753885583205</v>
      </c>
      <c r="F28" s="16">
        <v>67600</v>
      </c>
      <c r="G28" s="267">
        <f>F28/'- 43 -'!$I28*100</f>
        <v>0.23029110157908839</v>
      </c>
      <c r="H28" s="16">
        <v>7788664</v>
      </c>
      <c r="I28" s="267">
        <f>H28/'- 43 -'!$I28*100</f>
        <v>26.533432135937701</v>
      </c>
    </row>
    <row r="29" spans="1:9" ht="14.1" customHeight="1" x14ac:dyDescent="0.2">
      <c r="A29" s="271" t="s">
        <v>121</v>
      </c>
      <c r="B29" s="272">
        <v>0</v>
      </c>
      <c r="C29" s="273">
        <f>B29/'- 43 -'!$I29*100</f>
        <v>0</v>
      </c>
      <c r="D29" s="272">
        <v>81157025</v>
      </c>
      <c r="E29" s="273">
        <f>D29/'- 43 -'!$I29*100</f>
        <v>48.149415629119765</v>
      </c>
      <c r="F29" s="272">
        <v>592000</v>
      </c>
      <c r="G29" s="273">
        <f>F29/'- 43 -'!$I29*100</f>
        <v>0.35122596044444582</v>
      </c>
      <c r="H29" s="272">
        <v>0</v>
      </c>
      <c r="I29" s="273">
        <f>H29/'- 43 -'!$I29*100</f>
        <v>0</v>
      </c>
    </row>
    <row r="30" spans="1:9" ht="14.1" customHeight="1" x14ac:dyDescent="0.2">
      <c r="A30" s="15" t="s">
        <v>122</v>
      </c>
      <c r="B30" s="16">
        <v>0</v>
      </c>
      <c r="C30" s="267">
        <f>B30/'- 43 -'!$I30*100</f>
        <v>0</v>
      </c>
      <c r="D30" s="16">
        <v>6330497</v>
      </c>
      <c r="E30" s="267">
        <f>D30/'- 43 -'!$I30*100</f>
        <v>40.919174169811583</v>
      </c>
      <c r="F30" s="16">
        <v>37500</v>
      </c>
      <c r="G30" s="267">
        <f>F30/'- 43 -'!$I30*100</f>
        <v>0.24239313775331295</v>
      </c>
      <c r="H30" s="16">
        <v>0</v>
      </c>
      <c r="I30" s="267">
        <f>H30/'- 43 -'!$I30*100</f>
        <v>0</v>
      </c>
    </row>
    <row r="31" spans="1:9" ht="14.1" customHeight="1" x14ac:dyDescent="0.2">
      <c r="A31" s="271" t="s">
        <v>123</v>
      </c>
      <c r="B31" s="272">
        <v>0</v>
      </c>
      <c r="C31" s="273">
        <f>B31/'- 43 -'!$I31*100</f>
        <v>0</v>
      </c>
      <c r="D31" s="272">
        <v>14787229</v>
      </c>
      <c r="E31" s="273">
        <f>D31/'- 43 -'!$I31*100</f>
        <v>37.48347021546261</v>
      </c>
      <c r="F31" s="272">
        <v>180000</v>
      </c>
      <c r="G31" s="273">
        <f>F31/'- 43 -'!$I31*100</f>
        <v>0.45627376425855515</v>
      </c>
      <c r="H31" s="272">
        <v>865260</v>
      </c>
      <c r="I31" s="273">
        <f>H31/'- 43 -'!$I31*100</f>
        <v>2.1933079847908745</v>
      </c>
    </row>
    <row r="32" spans="1:9" ht="14.1" customHeight="1" x14ac:dyDescent="0.2">
      <c r="A32" s="15" t="s">
        <v>124</v>
      </c>
      <c r="B32" s="16">
        <v>0</v>
      </c>
      <c r="C32" s="267">
        <f>B32/'- 43 -'!$I32*100</f>
        <v>0</v>
      </c>
      <c r="D32" s="16">
        <v>13890617</v>
      </c>
      <c r="E32" s="267">
        <f>D32/'- 43 -'!$I32*100</f>
        <v>44.573593735098669</v>
      </c>
      <c r="F32" s="16">
        <v>78000</v>
      </c>
      <c r="G32" s="267">
        <f>F32/'- 43 -'!$I32*100</f>
        <v>0.25029415981577324</v>
      </c>
      <c r="H32" s="16">
        <v>0</v>
      </c>
      <c r="I32" s="267">
        <f>H32/'- 43 -'!$I32*100</f>
        <v>0</v>
      </c>
    </row>
    <row r="33" spans="1:9" ht="14.1" customHeight="1" x14ac:dyDescent="0.2">
      <c r="A33" s="271" t="s">
        <v>125</v>
      </c>
      <c r="B33" s="272">
        <v>0</v>
      </c>
      <c r="C33" s="273">
        <f>B33/'- 43 -'!$I33*100</f>
        <v>0</v>
      </c>
      <c r="D33" s="272">
        <v>11176127</v>
      </c>
      <c r="E33" s="273">
        <f>D33/'- 43 -'!$I33*100</f>
        <v>38.732127099125911</v>
      </c>
      <c r="F33" s="272">
        <v>39000</v>
      </c>
      <c r="G33" s="273">
        <f>F33/'- 43 -'!$I33*100</f>
        <v>0.13515889331482281</v>
      </c>
      <c r="H33" s="272">
        <v>200000</v>
      </c>
      <c r="I33" s="273">
        <f>H33/'- 43 -'!$I33*100</f>
        <v>0.69312252981960409</v>
      </c>
    </row>
    <row r="34" spans="1:9" ht="14.1" customHeight="1" x14ac:dyDescent="0.2">
      <c r="A34" s="15" t="s">
        <v>126</v>
      </c>
      <c r="B34" s="16">
        <v>21225</v>
      </c>
      <c r="C34" s="267">
        <f>B34/'- 43 -'!$I34*100</f>
        <v>6.6996401543571837E-2</v>
      </c>
      <c r="D34" s="16">
        <v>14442873</v>
      </c>
      <c r="E34" s="267">
        <f>D34/'- 43 -'!$I34*100</f>
        <v>45.588717029484663</v>
      </c>
      <c r="F34" s="16">
        <v>1069700</v>
      </c>
      <c r="G34" s="267">
        <f>F34/'- 43 -'!$I34*100</f>
        <v>3.3764923783820402</v>
      </c>
      <c r="H34" s="16">
        <v>0</v>
      </c>
      <c r="I34" s="267">
        <f>H34/'- 43 -'!$I34*100</f>
        <v>0</v>
      </c>
    </row>
    <row r="35" spans="1:9" ht="14.1" customHeight="1" x14ac:dyDescent="0.2">
      <c r="A35" s="271" t="s">
        <v>127</v>
      </c>
      <c r="B35" s="272">
        <v>0</v>
      </c>
      <c r="C35" s="273">
        <f>B35/'- 43 -'!$I35*100</f>
        <v>0</v>
      </c>
      <c r="D35" s="272">
        <v>64938157</v>
      </c>
      <c r="E35" s="273">
        <f>D35/'- 43 -'!$I35*100</f>
        <v>34.59927931715729</v>
      </c>
      <c r="F35" s="272">
        <v>215000</v>
      </c>
      <c r="G35" s="273">
        <f>F35/'- 43 -'!$I35*100</f>
        <v>0.11455275906873701</v>
      </c>
      <c r="H35" s="272">
        <v>0</v>
      </c>
      <c r="I35" s="273">
        <f>H35/'- 43 -'!$I35*100</f>
        <v>0</v>
      </c>
    </row>
    <row r="36" spans="1:9" ht="14.1" customHeight="1" x14ac:dyDescent="0.2">
      <c r="A36" s="15" t="s">
        <v>128</v>
      </c>
      <c r="B36" s="16">
        <v>46855</v>
      </c>
      <c r="C36" s="267">
        <f>B36/'- 43 -'!$I36*100</f>
        <v>0.19102848996983215</v>
      </c>
      <c r="D36" s="16">
        <v>9618313</v>
      </c>
      <c r="E36" s="267">
        <f>D36/'- 43 -'!$I36*100</f>
        <v>39.213996552069283</v>
      </c>
      <c r="F36" s="16">
        <v>74100</v>
      </c>
      <c r="G36" s="267">
        <f>F36/'- 43 -'!$I36*100</f>
        <v>0.30210673581825981</v>
      </c>
      <c r="H36" s="16">
        <v>1226600</v>
      </c>
      <c r="I36" s="267">
        <f>H36/'- 43 -'!$I36*100</f>
        <v>5.000865346216969</v>
      </c>
    </row>
    <row r="37" spans="1:9" ht="14.1" customHeight="1" x14ac:dyDescent="0.2">
      <c r="A37" s="271" t="s">
        <v>129</v>
      </c>
      <c r="B37" s="272">
        <v>15000</v>
      </c>
      <c r="C37" s="273">
        <f>B37/'- 43 -'!$I37*100</f>
        <v>2.8087783686615235E-2</v>
      </c>
      <c r="D37" s="272">
        <v>16176562</v>
      </c>
      <c r="E37" s="273">
        <f>D37/'- 43 -'!$I37*100</f>
        <v>30.29091828327466</v>
      </c>
      <c r="F37" s="272">
        <v>250000</v>
      </c>
      <c r="G37" s="273">
        <f>F37/'- 43 -'!$I37*100</f>
        <v>0.46812972811025388</v>
      </c>
      <c r="H37" s="272">
        <v>0</v>
      </c>
      <c r="I37" s="273">
        <f>H37/'- 43 -'!$I37*100</f>
        <v>0</v>
      </c>
    </row>
    <row r="38" spans="1:9" ht="14.1" customHeight="1" x14ac:dyDescent="0.2">
      <c r="A38" s="15" t="s">
        <v>130</v>
      </c>
      <c r="B38" s="16">
        <v>906000</v>
      </c>
      <c r="C38" s="267">
        <f>B38/'- 43 -'!$I38*100</f>
        <v>0.62550632527737338</v>
      </c>
      <c r="D38" s="16">
        <v>42844760</v>
      </c>
      <c r="E38" s="267">
        <f>D38/'- 43 -'!$I38*100</f>
        <v>29.580207930453639</v>
      </c>
      <c r="F38" s="16">
        <v>1052100</v>
      </c>
      <c r="G38" s="267">
        <f>F38/'- 43 -'!$I38*100</f>
        <v>0.72637439826084382</v>
      </c>
      <c r="H38" s="16">
        <v>650000</v>
      </c>
      <c r="I38" s="267">
        <f>H38/'- 43 -'!$I38*100</f>
        <v>0.44876281614822594</v>
      </c>
    </row>
    <row r="39" spans="1:9" ht="14.1" customHeight="1" x14ac:dyDescent="0.2">
      <c r="A39" s="271" t="s">
        <v>131</v>
      </c>
      <c r="B39" s="272">
        <v>0</v>
      </c>
      <c r="C39" s="273">
        <f>B39/'- 43 -'!$I39*100</f>
        <v>0</v>
      </c>
      <c r="D39" s="272">
        <v>11188806</v>
      </c>
      <c r="E39" s="273">
        <f>D39/'- 43 -'!$I39*100</f>
        <v>47.661528696878243</v>
      </c>
      <c r="F39" s="272">
        <v>100000</v>
      </c>
      <c r="G39" s="273">
        <f>F39/'- 43 -'!$I39*100</f>
        <v>0.42597511027430668</v>
      </c>
      <c r="H39" s="272">
        <v>0</v>
      </c>
      <c r="I39" s="273">
        <f>H39/'- 43 -'!$I39*100</f>
        <v>0</v>
      </c>
    </row>
    <row r="40" spans="1:9" ht="14.1" customHeight="1" x14ac:dyDescent="0.2">
      <c r="A40" s="15" t="s">
        <v>132</v>
      </c>
      <c r="B40" s="16">
        <v>0</v>
      </c>
      <c r="C40" s="267">
        <f>B40/'- 43 -'!$I40*100</f>
        <v>0</v>
      </c>
      <c r="D40" s="16">
        <v>47852773</v>
      </c>
      <c r="E40" s="267">
        <f>D40/'- 43 -'!$I40*100</f>
        <v>43.748804405776824</v>
      </c>
      <c r="F40" s="16">
        <v>704460</v>
      </c>
      <c r="G40" s="267">
        <f>F40/'- 43 -'!$I40*100</f>
        <v>0.64404382065159616</v>
      </c>
      <c r="H40" s="16">
        <v>175000</v>
      </c>
      <c r="I40" s="267">
        <f>H40/'- 43 -'!$I40*100</f>
        <v>0.15999158023738655</v>
      </c>
    </row>
    <row r="41" spans="1:9" ht="14.1" customHeight="1" x14ac:dyDescent="0.2">
      <c r="A41" s="271" t="s">
        <v>133</v>
      </c>
      <c r="B41" s="272">
        <v>0</v>
      </c>
      <c r="C41" s="273">
        <f>B41/'- 43 -'!$I41*100</f>
        <v>0</v>
      </c>
      <c r="D41" s="272">
        <v>28233480</v>
      </c>
      <c r="E41" s="273">
        <f>D41/'- 43 -'!$I41*100</f>
        <v>42.304259594769746</v>
      </c>
      <c r="F41" s="272">
        <v>150000</v>
      </c>
      <c r="G41" s="273">
        <f>F41/'- 43 -'!$I41*100</f>
        <v>0.2247558196586274</v>
      </c>
      <c r="H41" s="272">
        <v>420000</v>
      </c>
      <c r="I41" s="273">
        <f>H41/'- 43 -'!$I41*100</f>
        <v>0.62931629504415665</v>
      </c>
    </row>
    <row r="42" spans="1:9" ht="14.1" customHeight="1" x14ac:dyDescent="0.2">
      <c r="A42" s="15" t="s">
        <v>134</v>
      </c>
      <c r="B42" s="16">
        <v>0</v>
      </c>
      <c r="C42" s="267">
        <f>B42/'- 43 -'!$I42*100</f>
        <v>0</v>
      </c>
      <c r="D42" s="16">
        <v>6217082</v>
      </c>
      <c r="E42" s="267">
        <f>D42/'- 43 -'!$I42*100</f>
        <v>28.871367332615733</v>
      </c>
      <c r="F42" s="16">
        <v>26000</v>
      </c>
      <c r="G42" s="267">
        <f>F42/'- 43 -'!$I42*100</f>
        <v>0.12074081548996926</v>
      </c>
      <c r="H42" s="16">
        <v>180200</v>
      </c>
      <c r="I42" s="267">
        <f>H42/'- 43 -'!$I42*100</f>
        <v>0.83682672889586385</v>
      </c>
    </row>
    <row r="43" spans="1:9" ht="14.1" customHeight="1" x14ac:dyDescent="0.2">
      <c r="A43" s="271" t="s">
        <v>135</v>
      </c>
      <c r="B43" s="272">
        <v>0</v>
      </c>
      <c r="C43" s="273">
        <f>B43/'- 43 -'!$I43*100</f>
        <v>0</v>
      </c>
      <c r="D43" s="272">
        <v>5909581</v>
      </c>
      <c r="E43" s="273">
        <f>D43/'- 43 -'!$I43*100</f>
        <v>43.150727342107885</v>
      </c>
      <c r="F43" s="272">
        <v>35000</v>
      </c>
      <c r="G43" s="273">
        <f>F43/'- 43 -'!$I43*100</f>
        <v>0.25556388125888724</v>
      </c>
      <c r="H43" s="272">
        <v>0</v>
      </c>
      <c r="I43" s="273">
        <f>H43/'- 43 -'!$I43*100</f>
        <v>0</v>
      </c>
    </row>
    <row r="44" spans="1:9" ht="14.1" customHeight="1" x14ac:dyDescent="0.2">
      <c r="A44" s="15" t="s">
        <v>136</v>
      </c>
      <c r="B44" s="16">
        <v>0</v>
      </c>
      <c r="C44" s="267">
        <f>B44/'- 43 -'!$I44*100</f>
        <v>0</v>
      </c>
      <c r="D44" s="16">
        <v>2582787</v>
      </c>
      <c r="E44" s="267">
        <f>D44/'- 43 -'!$I44*100</f>
        <v>22.530790694460947</v>
      </c>
      <c r="F44" s="16">
        <v>52000</v>
      </c>
      <c r="G44" s="267">
        <f>F44/'- 43 -'!$I44*100</f>
        <v>0.45361894577910189</v>
      </c>
      <c r="H44" s="16">
        <v>0</v>
      </c>
      <c r="I44" s="267">
        <f>H44/'- 43 -'!$I44*100</f>
        <v>0</v>
      </c>
    </row>
    <row r="45" spans="1:9" ht="14.1" customHeight="1" x14ac:dyDescent="0.2">
      <c r="A45" s="271" t="s">
        <v>137</v>
      </c>
      <c r="B45" s="272">
        <v>20000</v>
      </c>
      <c r="C45" s="273">
        <f>B45/'- 43 -'!$I45*100</f>
        <v>9.7153197574045794E-2</v>
      </c>
      <c r="D45" s="272">
        <v>7068808</v>
      </c>
      <c r="E45" s="273">
        <f>D45/'- 43 -'!$I45*100</f>
        <v>34.337865011849779</v>
      </c>
      <c r="F45" s="272">
        <v>55250</v>
      </c>
      <c r="G45" s="273">
        <f>F45/'- 43 -'!$I45*100</f>
        <v>0.2683857082983015</v>
      </c>
      <c r="H45" s="272">
        <v>0</v>
      </c>
      <c r="I45" s="273">
        <f>H45/'- 43 -'!$I45*100</f>
        <v>0</v>
      </c>
    </row>
    <row r="46" spans="1:9" ht="14.1" customHeight="1" x14ac:dyDescent="0.2">
      <c r="A46" s="15" t="s">
        <v>138</v>
      </c>
      <c r="B46" s="16">
        <v>4290800</v>
      </c>
      <c r="C46" s="267">
        <f>B46/'- 43 -'!$I46*100</f>
        <v>1.0553028055983091</v>
      </c>
      <c r="D46" s="16">
        <v>150480779</v>
      </c>
      <c r="E46" s="267">
        <f>D46/'- 43 -'!$I46*100</f>
        <v>37.010065318196865</v>
      </c>
      <c r="F46" s="16">
        <v>2422000</v>
      </c>
      <c r="G46" s="267">
        <f>F46/'- 43 -'!$I46*100</f>
        <v>0.59567991870026671</v>
      </c>
      <c r="H46" s="16">
        <v>2140000</v>
      </c>
      <c r="I46" s="267">
        <f>H46/'- 43 -'!$I46*100</f>
        <v>0.52632329728264693</v>
      </c>
    </row>
    <row r="47" spans="1:9" ht="5.0999999999999996" customHeight="1" x14ac:dyDescent="0.2">
      <c r="A47"/>
      <c r="B47"/>
      <c r="C47"/>
      <c r="D47" s="508"/>
      <c r="E47"/>
      <c r="F47" s="508"/>
      <c r="G47"/>
      <c r="H47" s="508"/>
      <c r="I47"/>
    </row>
    <row r="48" spans="1:9" ht="14.1" customHeight="1" x14ac:dyDescent="0.2">
      <c r="A48" s="274" t="s">
        <v>139</v>
      </c>
      <c r="B48" s="275">
        <f>SUM(B11:B46)</f>
        <v>5417390</v>
      </c>
      <c r="C48" s="276">
        <f>B48/'- 43 -'!$I48*100</f>
        <v>0.22460457260479846</v>
      </c>
      <c r="D48" s="275">
        <f>SUM(D11:D46)</f>
        <v>828491287</v>
      </c>
      <c r="E48" s="276">
        <f>D48/'- 43 -'!$I48*100</f>
        <v>34.349185017773209</v>
      </c>
      <c r="F48" s="275">
        <f>SUM(F11:F46)</f>
        <v>12407323</v>
      </c>
      <c r="G48" s="276">
        <f>F48/'- 43 -'!$I48*100</f>
        <v>0.51440665700359134</v>
      </c>
      <c r="H48" s="275">
        <f>SUM(H11:H46)</f>
        <v>98626409</v>
      </c>
      <c r="I48" s="276">
        <f>H48/'- 43 -'!$I48*100</f>
        <v>4.089043329166083</v>
      </c>
    </row>
    <row r="49" spans="1:9" ht="5.0999999999999996" customHeight="1" x14ac:dyDescent="0.2">
      <c r="A49" s="17" t="s">
        <v>1</v>
      </c>
      <c r="B49" s="18"/>
      <c r="C49" s="266"/>
      <c r="D49" s="18"/>
      <c r="E49" s="266"/>
      <c r="F49" s="18"/>
      <c r="G49" s="266"/>
      <c r="H49" s="18"/>
      <c r="I49" s="266"/>
    </row>
    <row r="50" spans="1:9" ht="14.1" customHeight="1" x14ac:dyDescent="0.2">
      <c r="A50" s="15" t="s">
        <v>140</v>
      </c>
      <c r="B50" s="16">
        <v>0</v>
      </c>
      <c r="C50" s="267">
        <f>B50/'- 43 -'!$I50*100</f>
        <v>0</v>
      </c>
      <c r="D50" s="16">
        <v>2026853</v>
      </c>
      <c r="E50" s="267">
        <f>D50/'- 43 -'!$I50*100</f>
        <v>56.827123110998969</v>
      </c>
      <c r="F50" s="16">
        <v>33200</v>
      </c>
      <c r="G50" s="267">
        <f>F50/'- 43 -'!$I50*100</f>
        <v>0.93083242212689599</v>
      </c>
      <c r="H50" s="16">
        <v>0</v>
      </c>
      <c r="I50" s="267">
        <f>H50/'- 43 -'!$I50*100</f>
        <v>0</v>
      </c>
    </row>
    <row r="51" spans="1:9" ht="14.1" customHeight="1" x14ac:dyDescent="0.2">
      <c r="A51" s="360" t="s">
        <v>516</v>
      </c>
      <c r="B51" s="272">
        <v>2320000</v>
      </c>
      <c r="C51" s="273">
        <f>B51/'- 43 -'!$I51*100</f>
        <v>7.434716698037219</v>
      </c>
      <c r="D51" s="272">
        <v>0</v>
      </c>
      <c r="E51" s="273">
        <f>D51/'- 43 -'!$I51*100</f>
        <v>0</v>
      </c>
      <c r="F51" s="272">
        <v>1967957</v>
      </c>
      <c r="G51" s="273">
        <f>F51/'- 43 -'!$I51*100</f>
        <v>6.3065529176375996</v>
      </c>
      <c r="H51" s="272">
        <v>0</v>
      </c>
      <c r="I51" s="273">
        <f>H51/'- 43 -'!$I51*100</f>
        <v>0</v>
      </c>
    </row>
    <row r="52" spans="1:9" ht="50.1" customHeight="1" x14ac:dyDescent="0.2">
      <c r="A52" s="19"/>
      <c r="B52" s="19"/>
      <c r="C52" s="19"/>
      <c r="D52" s="19"/>
      <c r="E52" s="19"/>
      <c r="F52" s="19"/>
      <c r="G52" s="19"/>
      <c r="H52" s="19"/>
      <c r="I52" s="19"/>
    </row>
    <row r="53" spans="1:9" ht="14.45" customHeight="1" x14ac:dyDescent="0.2">
      <c r="A53" s="741" t="str">
        <f>"(1)  Municipal Government revenue is net of "&amp;"$"&amp;TEXT('- 41 -'!C48,"00,0")&amp;" in Education Property Tax Credit (EPTC) revenue paid directly to school divisions. See 
       page 41 for EPTC revenue."</f>
        <v>(1)  Municipal Government revenue is net of $206,700,408 in Education Property Tax Credit (EPTC) revenue paid directly to school divisions. See 
       page 41 for EPTC revenue.</v>
      </c>
      <c r="B53" s="741"/>
      <c r="C53" s="741"/>
      <c r="D53" s="741"/>
      <c r="E53" s="741"/>
      <c r="F53" s="741"/>
      <c r="G53" s="741"/>
      <c r="H53" s="741"/>
      <c r="I53" s="741"/>
    </row>
    <row r="54" spans="1:9" ht="12" customHeight="1" x14ac:dyDescent="0.2">
      <c r="A54" s="742"/>
      <c r="B54" s="742"/>
      <c r="C54" s="742"/>
      <c r="D54" s="742"/>
      <c r="E54" s="742"/>
      <c r="F54" s="742"/>
      <c r="G54" s="742"/>
      <c r="H54" s="742"/>
      <c r="I54" s="742"/>
    </row>
    <row r="55" spans="1:9" ht="14.45" customHeight="1" x14ac:dyDescent="0.2"/>
    <row r="56" spans="1:9" ht="14.45" customHeight="1" x14ac:dyDescent="0.2"/>
    <row r="57" spans="1:9" ht="14.45" customHeight="1" x14ac:dyDescent="0.2"/>
    <row r="58" spans="1:9" ht="14.45" customHeight="1" x14ac:dyDescent="0.2"/>
    <row r="59" spans="1:9" ht="14.45" customHeight="1" x14ac:dyDescent="0.2"/>
  </sheetData>
  <mergeCells count="5">
    <mergeCell ref="B7:C8"/>
    <mergeCell ref="D7:E8"/>
    <mergeCell ref="F7:G8"/>
    <mergeCell ref="H8:I8"/>
    <mergeCell ref="A53:I54"/>
  </mergeCells>
  <phoneticPr fontId="0" type="noConversion"/>
  <printOptions horizontalCentered="1"/>
  <pageMargins left="0.51181102362204722" right="0.51181102362204722" top="0.59055118110236227" bottom="0" header="0.31496062992125984" footer="0"/>
  <pageSetup scale="85" orientation="portrait" r:id="rId1"/>
  <headerFooter alignWithMargins="0">
    <oddHeader>&amp;C&amp;"Arial,Bold"&amp;10&amp;A</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K63"/>
  <sheetViews>
    <sheetView showGridLines="0" showZeros="0" workbookViewId="0"/>
  </sheetViews>
  <sheetFormatPr defaultColWidth="15.83203125" defaultRowHeight="12" x14ac:dyDescent="0.2"/>
  <cols>
    <col min="1" max="1" width="33.83203125" style="1" customWidth="1"/>
    <col min="2" max="2" width="16.83203125" style="1" customWidth="1"/>
    <col min="3" max="3" width="8.83203125" style="1" customWidth="1"/>
    <col min="4" max="4" width="15.83203125" style="1"/>
    <col min="5" max="5" width="8.83203125" style="1" customWidth="1"/>
    <col min="6" max="6" width="15.83203125" style="1"/>
    <col min="7" max="7" width="8.83203125" style="1" customWidth="1"/>
    <col min="8" max="8" width="4.83203125" style="1" customWidth="1"/>
    <col min="9" max="9" width="19.83203125" style="1" customWidth="1"/>
    <col min="10" max="16384" width="15.83203125" style="1"/>
  </cols>
  <sheetData>
    <row r="1" spans="1:9" ht="6.95" customHeight="1" x14ac:dyDescent="0.2">
      <c r="A1" s="3"/>
    </row>
    <row r="2" spans="1:9" ht="15.95" customHeight="1" x14ac:dyDescent="0.2">
      <c r="A2" s="183"/>
      <c r="B2" s="53" t="str">
        <f>REVYEAR</f>
        <v>ANALYSIS OF OPERATING FUND REVENUE: 2017/2018 BUDGET</v>
      </c>
      <c r="C2" s="101"/>
      <c r="D2" s="101"/>
      <c r="E2" s="101"/>
      <c r="F2" s="101"/>
      <c r="G2" s="188"/>
      <c r="H2" s="102"/>
      <c r="I2" s="185" t="s">
        <v>3</v>
      </c>
    </row>
    <row r="3" spans="1:9" ht="15.95" customHeight="1" x14ac:dyDescent="0.2">
      <c r="A3" s="180"/>
    </row>
    <row r="4" spans="1:9" ht="15.95" customHeight="1" x14ac:dyDescent="0.2">
      <c r="B4" s="55"/>
      <c r="C4" s="4"/>
      <c r="D4" s="4"/>
      <c r="E4" s="4"/>
      <c r="F4" s="4"/>
      <c r="G4" s="4"/>
      <c r="H4" s="4"/>
      <c r="I4" s="4"/>
    </row>
    <row r="5" spans="1:9" ht="15.95" customHeight="1" x14ac:dyDescent="0.2">
      <c r="B5" s="4"/>
      <c r="C5" s="4"/>
      <c r="D5" s="4"/>
      <c r="E5" s="4"/>
      <c r="F5" s="4"/>
      <c r="G5" s="4"/>
      <c r="H5" s="4"/>
      <c r="I5" s="4"/>
    </row>
    <row r="6" spans="1:9" ht="15.95" customHeight="1" x14ac:dyDescent="0.2">
      <c r="B6" s="691" t="s">
        <v>458</v>
      </c>
      <c r="C6" s="709"/>
      <c r="D6" s="278"/>
      <c r="E6" s="278"/>
      <c r="F6" s="620" t="s">
        <v>459</v>
      </c>
      <c r="G6" s="621"/>
      <c r="H6" s="4"/>
      <c r="I6" s="743" t="s">
        <v>460</v>
      </c>
    </row>
    <row r="7" spans="1:9" ht="15.95" customHeight="1" x14ac:dyDescent="0.2">
      <c r="B7" s="681"/>
      <c r="C7" s="682"/>
      <c r="D7" s="315"/>
      <c r="E7" s="315"/>
      <c r="F7" s="687"/>
      <c r="G7" s="686"/>
      <c r="H7" s="4"/>
      <c r="I7" s="744"/>
    </row>
    <row r="8" spans="1:9" ht="15.95" customHeight="1" x14ac:dyDescent="0.2">
      <c r="A8" s="249"/>
      <c r="B8" s="683"/>
      <c r="C8" s="684"/>
      <c r="D8" s="614" t="s">
        <v>19</v>
      </c>
      <c r="E8" s="615"/>
      <c r="F8" s="622"/>
      <c r="G8" s="623"/>
      <c r="H8" s="4"/>
      <c r="I8" s="745"/>
    </row>
    <row r="9" spans="1:9" ht="15.95" customHeight="1" x14ac:dyDescent="0.2">
      <c r="A9" s="27" t="s">
        <v>37</v>
      </c>
      <c r="B9" s="473" t="s">
        <v>53</v>
      </c>
      <c r="C9" s="108" t="s">
        <v>39</v>
      </c>
      <c r="D9" s="189" t="s">
        <v>53</v>
      </c>
      <c r="E9" s="189" t="s">
        <v>39</v>
      </c>
      <c r="F9" s="181" t="s">
        <v>53</v>
      </c>
      <c r="G9" s="189" t="s">
        <v>39</v>
      </c>
      <c r="H9" s="4"/>
      <c r="I9" s="189" t="s">
        <v>53</v>
      </c>
    </row>
    <row r="10" spans="1:9" ht="5.0999999999999996" customHeight="1" x14ac:dyDescent="0.2">
      <c r="A10" s="29"/>
      <c r="B10" s="182"/>
      <c r="C10" s="182"/>
      <c r="D10" s="182"/>
      <c r="E10" s="182"/>
      <c r="F10" s="182"/>
      <c r="G10" s="3"/>
      <c r="H10" s="3"/>
      <c r="I10" s="182"/>
    </row>
    <row r="11" spans="1:9" ht="14.1" customHeight="1" x14ac:dyDescent="0.2">
      <c r="A11" s="271" t="s">
        <v>104</v>
      </c>
      <c r="B11" s="272">
        <v>14000</v>
      </c>
      <c r="C11" s="273">
        <f>B11/I11*100</f>
        <v>6.8887419946667361E-2</v>
      </c>
      <c r="D11" s="272">
        <v>77000</v>
      </c>
      <c r="E11" s="273">
        <f>D11/I11*100</f>
        <v>0.37888080970667048</v>
      </c>
      <c r="F11" s="272">
        <f>SUM('- 42 -'!$B11,'- 42 -'!$D11,'- 42 -'!$F11,'- 42 -'!$H11,B11,D11)</f>
        <v>7191870</v>
      </c>
      <c r="G11" s="273">
        <f>F11/I11*100</f>
        <v>35.387812063702754</v>
      </c>
      <c r="I11" s="272">
        <f>SUM('- 41 -'!$H11,F11)</f>
        <v>20323014</v>
      </c>
    </row>
    <row r="12" spans="1:9" ht="14.1" customHeight="1" x14ac:dyDescent="0.2">
      <c r="A12" s="15" t="s">
        <v>105</v>
      </c>
      <c r="B12" s="16">
        <v>142114</v>
      </c>
      <c r="C12" s="267">
        <f t="shared" ref="C12:C46" si="0">B12/I12*100</f>
        <v>0.39768959788755565</v>
      </c>
      <c r="D12" s="16">
        <v>202456</v>
      </c>
      <c r="E12" s="267">
        <f t="shared" ref="E12:E48" si="1">D12/I12*100</f>
        <v>0.56654970819147266</v>
      </c>
      <c r="F12" s="16">
        <f>SUM('- 42 -'!$B12,'- 42 -'!$D12,'- 42 -'!$F12,'- 42 -'!$H12,B12,D12)</f>
        <v>13998557</v>
      </c>
      <c r="G12" s="267">
        <f t="shared" ref="G12:G48" si="2">F12/I12*100</f>
        <v>39.173343262001111</v>
      </c>
      <c r="I12" s="16">
        <f>SUM('- 41 -'!$H12,F12)</f>
        <v>35734905</v>
      </c>
    </row>
    <row r="13" spans="1:9" ht="14.1" customHeight="1" x14ac:dyDescent="0.2">
      <c r="A13" s="271" t="s">
        <v>106</v>
      </c>
      <c r="B13" s="272">
        <v>796900</v>
      </c>
      <c r="C13" s="273">
        <f t="shared" si="0"/>
        <v>0.7812385115587811</v>
      </c>
      <c r="D13" s="272">
        <v>87900</v>
      </c>
      <c r="E13" s="273">
        <f t="shared" si="1"/>
        <v>8.6172499894612703E-2</v>
      </c>
      <c r="F13" s="272">
        <f>SUM('- 42 -'!$B13,'- 42 -'!$D13,'- 42 -'!$F13,'- 42 -'!$H13,B13,D13)</f>
        <v>40429936</v>
      </c>
      <c r="G13" s="273">
        <f t="shared" si="2"/>
        <v>39.635365821378819</v>
      </c>
      <c r="I13" s="272">
        <f>SUM('- 41 -'!$H13,F13)</f>
        <v>102004700</v>
      </c>
    </row>
    <row r="14" spans="1:9" ht="14.1" customHeight="1" x14ac:dyDescent="0.2">
      <c r="A14" s="15" t="s">
        <v>315</v>
      </c>
      <c r="B14" s="16">
        <v>90000</v>
      </c>
      <c r="C14" s="267">
        <f t="shared" si="0"/>
        <v>9.9502187240496226E-2</v>
      </c>
      <c r="D14" s="16">
        <v>10000</v>
      </c>
      <c r="E14" s="267">
        <f t="shared" si="1"/>
        <v>1.1055798582277359E-2</v>
      </c>
      <c r="F14" s="16">
        <f>SUM('- 42 -'!$B14,'- 42 -'!$D14,'- 42 -'!$F14,'- 42 -'!$H14,B14,D14)</f>
        <v>26460750</v>
      </c>
      <c r="G14" s="267">
        <f t="shared" si="2"/>
        <v>29.254472233599561</v>
      </c>
      <c r="I14" s="16">
        <f>SUM('- 41 -'!$H14,F14)</f>
        <v>90450273</v>
      </c>
    </row>
    <row r="15" spans="1:9" ht="14.1" customHeight="1" x14ac:dyDescent="0.2">
      <c r="A15" s="271" t="s">
        <v>107</v>
      </c>
      <c r="B15" s="272">
        <v>58000</v>
      </c>
      <c r="C15" s="273">
        <f t="shared" si="0"/>
        <v>0.27344212243889632</v>
      </c>
      <c r="D15" s="272">
        <v>12000</v>
      </c>
      <c r="E15" s="273">
        <f t="shared" si="1"/>
        <v>5.6574232228737163E-2</v>
      </c>
      <c r="F15" s="272">
        <f>SUM('- 42 -'!$B15,'- 42 -'!$D15,'- 42 -'!$F15,'- 42 -'!$H15,B15,D15)</f>
        <v>8413755</v>
      </c>
      <c r="G15" s="273">
        <f t="shared" si="2"/>
        <v>39.666810773808201</v>
      </c>
      <c r="I15" s="272">
        <f>SUM('- 41 -'!$H15,F15)</f>
        <v>21211070</v>
      </c>
    </row>
    <row r="16" spans="1:9" ht="14.1" customHeight="1" x14ac:dyDescent="0.2">
      <c r="A16" s="15" t="s">
        <v>108</v>
      </c>
      <c r="B16" s="16">
        <v>191114</v>
      </c>
      <c r="C16" s="267">
        <f t="shared" si="0"/>
        <v>1.3101699997573175</v>
      </c>
      <c r="D16" s="16">
        <v>92481</v>
      </c>
      <c r="E16" s="267">
        <f t="shared" si="1"/>
        <v>0.63399767545839902</v>
      </c>
      <c r="F16" s="16">
        <f>SUM('- 42 -'!$B16,'- 42 -'!$D16,'- 42 -'!$F16,'- 42 -'!$H16,B16,D16)</f>
        <v>3803593</v>
      </c>
      <c r="G16" s="267">
        <f t="shared" si="2"/>
        <v>26.07529244266215</v>
      </c>
      <c r="I16" s="16">
        <f>SUM('- 41 -'!$H16,F16)</f>
        <v>14586962</v>
      </c>
    </row>
    <row r="17" spans="1:9" ht="14.1" customHeight="1" x14ac:dyDescent="0.2">
      <c r="A17" s="271" t="s">
        <v>109</v>
      </c>
      <c r="B17" s="272">
        <v>16600</v>
      </c>
      <c r="C17" s="273">
        <f t="shared" si="0"/>
        <v>8.7512512707765777E-2</v>
      </c>
      <c r="D17" s="272">
        <v>8500</v>
      </c>
      <c r="E17" s="273">
        <f t="shared" si="1"/>
        <v>4.4810623976868018E-2</v>
      </c>
      <c r="F17" s="272">
        <f>SUM('- 42 -'!$B17,'- 42 -'!$D17,'- 42 -'!$F17,'- 42 -'!$H17,B17,D17)</f>
        <v>8819651</v>
      </c>
      <c r="G17" s="273">
        <f t="shared" si="2"/>
        <v>46.495772302142122</v>
      </c>
      <c r="I17" s="272">
        <f>SUM('- 41 -'!$H17,F17)</f>
        <v>18968716</v>
      </c>
    </row>
    <row r="18" spans="1:9" ht="14.1" customHeight="1" x14ac:dyDescent="0.2">
      <c r="A18" s="15" t="s">
        <v>110</v>
      </c>
      <c r="B18" s="16">
        <v>4519576</v>
      </c>
      <c r="C18" s="267">
        <f t="shared" si="0"/>
        <v>3.2896728290324093</v>
      </c>
      <c r="D18" s="16">
        <v>400000</v>
      </c>
      <c r="E18" s="267">
        <f t="shared" si="1"/>
        <v>0.29114880059832243</v>
      </c>
      <c r="F18" s="16">
        <f>SUM('- 42 -'!$B18,'- 42 -'!$D18,'- 42 -'!$F18,'- 42 -'!$H18,B18,D18)</f>
        <v>87499207</v>
      </c>
      <c r="G18" s="267">
        <f t="shared" si="2"/>
        <v>63.688222928385841</v>
      </c>
      <c r="I18" s="16">
        <f>SUM('- 41 -'!$H18,F18)</f>
        <v>137386793</v>
      </c>
    </row>
    <row r="19" spans="1:9" ht="14.1" customHeight="1" x14ac:dyDescent="0.2">
      <c r="A19" s="271" t="s">
        <v>111</v>
      </c>
      <c r="B19" s="272">
        <v>10000</v>
      </c>
      <c r="C19" s="273">
        <f t="shared" si="0"/>
        <v>1.9981671611897268E-2</v>
      </c>
      <c r="D19" s="272">
        <v>410000</v>
      </c>
      <c r="E19" s="273">
        <f t="shared" si="1"/>
        <v>0.81924853608778803</v>
      </c>
      <c r="F19" s="272">
        <f>SUM('- 42 -'!$B19,'- 42 -'!$D19,'- 42 -'!$F19,'- 42 -'!$H19,B19,D19)</f>
        <v>16610781</v>
      </c>
      <c r="G19" s="273">
        <f t="shared" si="2"/>
        <v>33.191117115914253</v>
      </c>
      <c r="I19" s="272">
        <f>SUM('- 41 -'!$H19,F19)</f>
        <v>50045863</v>
      </c>
    </row>
    <row r="20" spans="1:9" ht="14.1" customHeight="1" x14ac:dyDescent="0.2">
      <c r="A20" s="15" t="s">
        <v>112</v>
      </c>
      <c r="B20" s="16">
        <v>408000</v>
      </c>
      <c r="C20" s="267">
        <f t="shared" si="0"/>
        <v>0.46461151986043431</v>
      </c>
      <c r="D20" s="16">
        <v>126900</v>
      </c>
      <c r="E20" s="267">
        <f t="shared" si="1"/>
        <v>0.14450784772129685</v>
      </c>
      <c r="F20" s="16">
        <f>SUM('- 42 -'!$B20,'- 42 -'!$D20,'- 42 -'!$F20,'- 42 -'!$H20,B20,D20)</f>
        <v>26835309</v>
      </c>
      <c r="G20" s="267">
        <f t="shared" si="2"/>
        <v>30.558808089250959</v>
      </c>
      <c r="I20" s="16">
        <f>SUM('- 41 -'!$H20,F20)</f>
        <v>87815300</v>
      </c>
    </row>
    <row r="21" spans="1:9" ht="14.1" customHeight="1" x14ac:dyDescent="0.2">
      <c r="A21" s="271" t="s">
        <v>113</v>
      </c>
      <c r="B21" s="272">
        <v>204600</v>
      </c>
      <c r="C21" s="273">
        <f t="shared" si="0"/>
        <v>0.53700787401574801</v>
      </c>
      <c r="D21" s="272">
        <v>136726</v>
      </c>
      <c r="E21" s="273">
        <f t="shared" si="1"/>
        <v>0.35886089238845148</v>
      </c>
      <c r="F21" s="272">
        <f>SUM('- 42 -'!$B21,'- 42 -'!$D21,'- 42 -'!$F21,'- 42 -'!$H21,B21,D21)</f>
        <v>15393331</v>
      </c>
      <c r="G21" s="273">
        <f t="shared" si="2"/>
        <v>40.402443569553803</v>
      </c>
      <c r="I21" s="272">
        <f>SUM('- 41 -'!$H21,F21)</f>
        <v>38100000</v>
      </c>
    </row>
    <row r="22" spans="1:9" ht="14.1" customHeight="1" x14ac:dyDescent="0.2">
      <c r="A22" s="15" t="s">
        <v>114</v>
      </c>
      <c r="B22" s="16">
        <v>0</v>
      </c>
      <c r="C22" s="267">
        <f t="shared" si="0"/>
        <v>0</v>
      </c>
      <c r="D22" s="16">
        <v>158500</v>
      </c>
      <c r="E22" s="267">
        <f t="shared" si="1"/>
        <v>0.75731477681192938</v>
      </c>
      <c r="F22" s="16">
        <f>SUM('- 42 -'!$B22,'- 42 -'!$D22,'- 42 -'!$F22,'- 42 -'!$H22,B22,D22)</f>
        <v>3891929</v>
      </c>
      <c r="G22" s="267">
        <f t="shared" si="2"/>
        <v>18.595680391185336</v>
      </c>
      <c r="I22" s="16">
        <f>SUM('- 41 -'!$H22,F22)</f>
        <v>20929210</v>
      </c>
    </row>
    <row r="23" spans="1:9" ht="14.1" customHeight="1" x14ac:dyDescent="0.2">
      <c r="A23" s="271" t="s">
        <v>115</v>
      </c>
      <c r="B23" s="272">
        <v>251830</v>
      </c>
      <c r="C23" s="273">
        <f t="shared" si="0"/>
        <v>1.4974007613001195</v>
      </c>
      <c r="D23" s="272">
        <v>40000</v>
      </c>
      <c r="E23" s="273">
        <f t="shared" si="1"/>
        <v>0.23784311024105462</v>
      </c>
      <c r="F23" s="272">
        <f>SUM('- 42 -'!$B23,'- 42 -'!$D23,'- 42 -'!$F23,'- 42 -'!$H23,B23,D23)</f>
        <v>5067477</v>
      </c>
      <c r="G23" s="273">
        <f t="shared" si="2"/>
        <v>30.131612268875212</v>
      </c>
      <c r="I23" s="272">
        <f>SUM('- 41 -'!$H23,F23)</f>
        <v>16817809</v>
      </c>
    </row>
    <row r="24" spans="1:9" ht="14.1" customHeight="1" x14ac:dyDescent="0.2">
      <c r="A24" s="15" t="s">
        <v>116</v>
      </c>
      <c r="B24" s="16">
        <v>365200</v>
      </c>
      <c r="C24" s="267">
        <f t="shared" si="0"/>
        <v>0.62072647161124817</v>
      </c>
      <c r="D24" s="16">
        <v>102100</v>
      </c>
      <c r="E24" s="267">
        <f t="shared" si="1"/>
        <v>0.17353826054629914</v>
      </c>
      <c r="F24" s="16">
        <f>SUM('- 42 -'!$B24,'- 42 -'!$D24,'- 42 -'!$F24,'- 42 -'!$H24,B24,D24)</f>
        <v>25092965</v>
      </c>
      <c r="G24" s="267">
        <f t="shared" si="2"/>
        <v>42.650239941715618</v>
      </c>
      <c r="I24" s="16">
        <f>SUM('- 41 -'!$H24,F24)</f>
        <v>58834288</v>
      </c>
    </row>
    <row r="25" spans="1:9" ht="14.1" customHeight="1" x14ac:dyDescent="0.2">
      <c r="A25" s="271" t="s">
        <v>117</v>
      </c>
      <c r="B25" s="272">
        <v>2268071</v>
      </c>
      <c r="C25" s="273">
        <f t="shared" si="0"/>
        <v>1.2325086923649726</v>
      </c>
      <c r="D25" s="272">
        <v>75000</v>
      </c>
      <c r="E25" s="273">
        <f t="shared" si="1"/>
        <v>4.0756286697979448E-2</v>
      </c>
      <c r="F25" s="272">
        <f>SUM('- 42 -'!$B25,'- 42 -'!$D25,'- 42 -'!$F25,'- 42 -'!$H25,B25,D25)</f>
        <v>74492058</v>
      </c>
      <c r="G25" s="273">
        <f t="shared" si="2"/>
        <v>40.480262300940183</v>
      </c>
      <c r="I25" s="272">
        <f>SUM('- 41 -'!$H25,F25)</f>
        <v>184020690</v>
      </c>
    </row>
    <row r="26" spans="1:9" ht="14.1" customHeight="1" x14ac:dyDescent="0.2">
      <c r="A26" s="15" t="s">
        <v>118</v>
      </c>
      <c r="B26" s="16">
        <v>542893</v>
      </c>
      <c r="C26" s="267">
        <f t="shared" si="0"/>
        <v>1.2868642227435432</v>
      </c>
      <c r="D26" s="16">
        <v>228000</v>
      </c>
      <c r="E26" s="267">
        <f t="shared" si="1"/>
        <v>0.54044727558750594</v>
      </c>
      <c r="F26" s="16">
        <f>SUM('- 42 -'!$B26,'- 42 -'!$D26,'- 42 -'!$F26,'- 42 -'!$H26,B26,D26)</f>
        <v>15168608</v>
      </c>
      <c r="G26" s="267">
        <f t="shared" si="2"/>
        <v>35.955407316030033</v>
      </c>
      <c r="I26" s="16">
        <f>SUM('- 41 -'!$H26,F26)</f>
        <v>42187279</v>
      </c>
    </row>
    <row r="27" spans="1:9" ht="14.1" customHeight="1" x14ac:dyDescent="0.2">
      <c r="A27" s="271" t="s">
        <v>119</v>
      </c>
      <c r="B27" s="272">
        <v>251500</v>
      </c>
      <c r="C27" s="273">
        <f t="shared" si="0"/>
        <v>0.57035008655260999</v>
      </c>
      <c r="D27" s="272">
        <v>49000</v>
      </c>
      <c r="E27" s="273">
        <f t="shared" si="1"/>
        <v>0.11112188565040909</v>
      </c>
      <c r="F27" s="272">
        <f>SUM('- 42 -'!$B27,'- 42 -'!$D27,'- 42 -'!$F27,'- 42 -'!$H27,B27,D27)</f>
        <v>9228795</v>
      </c>
      <c r="G27" s="273">
        <f t="shared" si="2"/>
        <v>20.929002095531985</v>
      </c>
      <c r="I27" s="272">
        <f>SUM('- 41 -'!$H27,F27)</f>
        <v>44095724</v>
      </c>
    </row>
    <row r="28" spans="1:9" ht="14.1" customHeight="1" x14ac:dyDescent="0.2">
      <c r="A28" s="15" t="s">
        <v>120</v>
      </c>
      <c r="B28" s="16">
        <v>14000</v>
      </c>
      <c r="C28" s="267">
        <f t="shared" si="0"/>
        <v>4.7693423403953217E-2</v>
      </c>
      <c r="D28" s="16">
        <v>7000</v>
      </c>
      <c r="E28" s="267">
        <f t="shared" si="1"/>
        <v>2.3846711701976608E-2</v>
      </c>
      <c r="F28" s="16">
        <f>SUM('- 42 -'!$B28,'- 42 -'!$D28,'- 42 -'!$F28,'- 42 -'!$H28,B28,D28)</f>
        <v>15726492</v>
      </c>
      <c r="G28" s="267">
        <f t="shared" si="2"/>
        <v>53.575017258205925</v>
      </c>
      <c r="I28" s="16">
        <f>SUM('- 41 -'!$H28,F28)</f>
        <v>29354152</v>
      </c>
    </row>
    <row r="29" spans="1:9" ht="14.1" customHeight="1" x14ac:dyDescent="0.2">
      <c r="A29" s="271" t="s">
        <v>121</v>
      </c>
      <c r="B29" s="272">
        <v>3190000</v>
      </c>
      <c r="C29" s="273">
        <f t="shared" si="0"/>
        <v>1.8925858341516593</v>
      </c>
      <c r="D29" s="272">
        <v>132000</v>
      </c>
      <c r="E29" s="273">
        <f t="shared" si="1"/>
        <v>7.8313896585585907E-2</v>
      </c>
      <c r="F29" s="272">
        <f>SUM('- 42 -'!$B29,'- 42 -'!$D29,'- 42 -'!$F29,'- 42 -'!$H29,B29,D29)</f>
        <v>85071025</v>
      </c>
      <c r="G29" s="273">
        <f t="shared" si="2"/>
        <v>50.471541320301462</v>
      </c>
      <c r="I29" s="272">
        <f>SUM('- 41 -'!$H29,F29)</f>
        <v>168552461</v>
      </c>
    </row>
    <row r="30" spans="1:9" ht="14.1" customHeight="1" x14ac:dyDescent="0.2">
      <c r="A30" s="15" t="s">
        <v>122</v>
      </c>
      <c r="B30" s="16">
        <v>0</v>
      </c>
      <c r="C30" s="267">
        <f t="shared" si="0"/>
        <v>0</v>
      </c>
      <c r="D30" s="16">
        <v>11800</v>
      </c>
      <c r="E30" s="267">
        <f t="shared" si="1"/>
        <v>7.627304067970915E-2</v>
      </c>
      <c r="F30" s="16">
        <f>SUM('- 42 -'!$B30,'- 42 -'!$D30,'- 42 -'!$F30,'- 42 -'!$H30,B30,D30)</f>
        <v>6379797</v>
      </c>
      <c r="G30" s="267">
        <f t="shared" si="2"/>
        <v>41.237840348244603</v>
      </c>
      <c r="I30" s="16">
        <f>SUM('- 41 -'!$H30,F30)</f>
        <v>15470735</v>
      </c>
    </row>
    <row r="31" spans="1:9" ht="14.1" customHeight="1" x14ac:dyDescent="0.2">
      <c r="A31" s="271" t="s">
        <v>123</v>
      </c>
      <c r="B31" s="272">
        <v>5000</v>
      </c>
      <c r="C31" s="273">
        <f t="shared" si="0"/>
        <v>1.2674271229404309E-2</v>
      </c>
      <c r="D31" s="272">
        <v>28000</v>
      </c>
      <c r="E31" s="273">
        <f t="shared" si="1"/>
        <v>7.0975918884664133E-2</v>
      </c>
      <c r="F31" s="272">
        <f>SUM('- 42 -'!$B31,'- 42 -'!$D31,'- 42 -'!$F31,'- 42 -'!$H31,B31,D31)</f>
        <v>15865489</v>
      </c>
      <c r="G31" s="273">
        <f t="shared" si="2"/>
        <v>40.216702154626113</v>
      </c>
      <c r="I31" s="272">
        <f>SUM('- 41 -'!$H31,F31)</f>
        <v>39450000</v>
      </c>
    </row>
    <row r="32" spans="1:9" ht="14.1" customHeight="1" x14ac:dyDescent="0.2">
      <c r="A32" s="15" t="s">
        <v>124</v>
      </c>
      <c r="B32" s="16">
        <v>3400</v>
      </c>
      <c r="C32" s="267">
        <f t="shared" si="0"/>
        <v>1.0910258248379857E-2</v>
      </c>
      <c r="D32" s="16">
        <v>102000</v>
      </c>
      <c r="E32" s="267">
        <f t="shared" si="1"/>
        <v>0.32730774745139579</v>
      </c>
      <c r="F32" s="16">
        <f>SUM('- 42 -'!$B32,'- 42 -'!$D32,'- 42 -'!$F32,'- 42 -'!$H32,B32,D32)</f>
        <v>14074017</v>
      </c>
      <c r="G32" s="267">
        <f t="shared" si="2"/>
        <v>45.162105900614222</v>
      </c>
      <c r="I32" s="16">
        <f>SUM('- 41 -'!$H32,F32)</f>
        <v>31163332</v>
      </c>
    </row>
    <row r="33" spans="1:11" ht="14.1" customHeight="1" x14ac:dyDescent="0.2">
      <c r="A33" s="271" t="s">
        <v>125</v>
      </c>
      <c r="B33" s="272">
        <v>110000</v>
      </c>
      <c r="C33" s="273">
        <f t="shared" si="0"/>
        <v>0.38121739140078226</v>
      </c>
      <c r="D33" s="272">
        <v>67500</v>
      </c>
      <c r="E33" s="273">
        <f t="shared" si="1"/>
        <v>0.23392885381411638</v>
      </c>
      <c r="F33" s="272">
        <f>SUM('- 42 -'!$B33,'- 42 -'!$D33,'- 42 -'!$F33,'- 42 -'!$H33,B33,D33)</f>
        <v>11592627</v>
      </c>
      <c r="G33" s="273">
        <f t="shared" si="2"/>
        <v>40.175554767475241</v>
      </c>
      <c r="I33" s="272">
        <f>SUM('- 41 -'!$H33,F33)</f>
        <v>28854927</v>
      </c>
    </row>
    <row r="34" spans="1:11" ht="14.1" customHeight="1" x14ac:dyDescent="0.2">
      <c r="A34" s="15" t="s">
        <v>126</v>
      </c>
      <c r="B34" s="16">
        <v>205600</v>
      </c>
      <c r="C34" s="267">
        <f t="shared" si="0"/>
        <v>0.64897338786140735</v>
      </c>
      <c r="D34" s="16">
        <v>37381</v>
      </c>
      <c r="E34" s="267">
        <f t="shared" si="1"/>
        <v>0.11799257885042444</v>
      </c>
      <c r="F34" s="16">
        <f>SUM('- 42 -'!$B34,'- 42 -'!$D34,'- 42 -'!$F34,'- 42 -'!$H34,B34,D34)</f>
        <v>15776779</v>
      </c>
      <c r="G34" s="267">
        <f t="shared" si="2"/>
        <v>49.799171776122108</v>
      </c>
      <c r="I34" s="16">
        <f>SUM('- 41 -'!$H34,F34)</f>
        <v>31680806</v>
      </c>
    </row>
    <row r="35" spans="1:11" ht="14.1" customHeight="1" x14ac:dyDescent="0.2">
      <c r="A35" s="271" t="s">
        <v>127</v>
      </c>
      <c r="B35" s="272">
        <v>735000</v>
      </c>
      <c r="C35" s="273">
        <f t="shared" si="0"/>
        <v>0.39161059495591488</v>
      </c>
      <c r="D35" s="272">
        <v>20000</v>
      </c>
      <c r="E35" s="273">
        <f t="shared" si="1"/>
        <v>1.0656070611045303E-2</v>
      </c>
      <c r="F35" s="272">
        <f>SUM('- 42 -'!$B35,'- 42 -'!$D35,'- 42 -'!$F35,'- 42 -'!$H35,B35,D35)</f>
        <v>65908157</v>
      </c>
      <c r="G35" s="273">
        <f t="shared" si="2"/>
        <v>35.116098741792989</v>
      </c>
      <c r="I35" s="272">
        <f>SUM('- 41 -'!$H35,F35)</f>
        <v>187686444</v>
      </c>
    </row>
    <row r="36" spans="1:11" ht="14.1" customHeight="1" x14ac:dyDescent="0.2">
      <c r="A36" s="15" t="s">
        <v>128</v>
      </c>
      <c r="B36" s="16">
        <v>25000</v>
      </c>
      <c r="C36" s="267">
        <f t="shared" si="0"/>
        <v>0.10192534946634946</v>
      </c>
      <c r="D36" s="16">
        <v>70000</v>
      </c>
      <c r="E36" s="267">
        <f t="shared" si="1"/>
        <v>0.28539097850577844</v>
      </c>
      <c r="F36" s="16">
        <f>SUM('- 42 -'!$B36,'- 42 -'!$D36,'- 42 -'!$F36,'- 42 -'!$H36,B36,D36)</f>
        <v>11060868</v>
      </c>
      <c r="G36" s="267">
        <f t="shared" si="2"/>
        <v>45.095313452046462</v>
      </c>
      <c r="I36" s="16">
        <f>SUM('- 41 -'!$H36,F36)</f>
        <v>24527755</v>
      </c>
    </row>
    <row r="37" spans="1:11" ht="14.1" customHeight="1" x14ac:dyDescent="0.2">
      <c r="A37" s="271" t="s">
        <v>129</v>
      </c>
      <c r="B37" s="272">
        <v>0</v>
      </c>
      <c r="C37" s="273">
        <f t="shared" si="0"/>
        <v>0</v>
      </c>
      <c r="D37" s="272">
        <v>56000</v>
      </c>
      <c r="E37" s="273">
        <f t="shared" si="1"/>
        <v>0.10486105909669687</v>
      </c>
      <c r="F37" s="272">
        <f>SUM('- 42 -'!$B37,'- 42 -'!$D37,'- 42 -'!$F37,'- 42 -'!$H37,B37,D37)</f>
        <v>16497562</v>
      </c>
      <c r="G37" s="273">
        <f t="shared" si="2"/>
        <v>30.891996854168223</v>
      </c>
      <c r="I37" s="272">
        <f>SUM('- 41 -'!$H37,F37)</f>
        <v>53404000</v>
      </c>
    </row>
    <row r="38" spans="1:11" ht="14.1" customHeight="1" x14ac:dyDescent="0.2">
      <c r="A38" s="15" t="s">
        <v>130</v>
      </c>
      <c r="B38" s="16">
        <v>1052900</v>
      </c>
      <c r="C38" s="267">
        <f t="shared" si="0"/>
        <v>0.72692672172687245</v>
      </c>
      <c r="D38" s="16">
        <v>53000</v>
      </c>
      <c r="E38" s="267">
        <f t="shared" si="1"/>
        <v>3.6591429624393809E-2</v>
      </c>
      <c r="F38" s="16">
        <f>SUM('- 42 -'!$B38,'- 42 -'!$D38,'- 42 -'!$F38,'- 42 -'!$H38,B38,D38)</f>
        <v>46558760</v>
      </c>
      <c r="G38" s="267">
        <f t="shared" si="2"/>
        <v>32.14436962149135</v>
      </c>
      <c r="I38" s="16">
        <f>SUM('- 41 -'!$H38,F38)</f>
        <v>144842660</v>
      </c>
    </row>
    <row r="39" spans="1:11" ht="14.1" customHeight="1" x14ac:dyDescent="0.2">
      <c r="A39" s="271" t="s">
        <v>131</v>
      </c>
      <c r="B39" s="272">
        <v>0</v>
      </c>
      <c r="C39" s="273">
        <f t="shared" si="0"/>
        <v>0</v>
      </c>
      <c r="D39" s="272">
        <v>59000</v>
      </c>
      <c r="E39" s="273">
        <f t="shared" si="1"/>
        <v>0.25132531506184091</v>
      </c>
      <c r="F39" s="272">
        <f>SUM('- 42 -'!$B39,'- 42 -'!$D39,'- 42 -'!$F39,'- 42 -'!$H39,B39,D39)</f>
        <v>11347806</v>
      </c>
      <c r="G39" s="273">
        <f t="shared" si="2"/>
        <v>48.338829122214392</v>
      </c>
      <c r="I39" s="272">
        <f>SUM('- 41 -'!$H39,F39)</f>
        <v>23475550</v>
      </c>
    </row>
    <row r="40" spans="1:11" ht="14.1" customHeight="1" x14ac:dyDescent="0.2">
      <c r="A40" s="15" t="s">
        <v>132</v>
      </c>
      <c r="B40" s="16">
        <v>1938242</v>
      </c>
      <c r="C40" s="267">
        <f t="shared" si="0"/>
        <v>1.7720137169284147</v>
      </c>
      <c r="D40" s="16">
        <v>730585</v>
      </c>
      <c r="E40" s="267">
        <f t="shared" si="1"/>
        <v>0.66792827798703458</v>
      </c>
      <c r="F40" s="16">
        <f>SUM('- 42 -'!$B40,'- 42 -'!$D40,'- 42 -'!$F40,'- 42 -'!$H40,B40,D40)</f>
        <v>51401060</v>
      </c>
      <c r="G40" s="267">
        <f t="shared" si="2"/>
        <v>46.992781801581259</v>
      </c>
      <c r="I40" s="16">
        <f>SUM('- 41 -'!$H40,F40)</f>
        <v>109380756</v>
      </c>
    </row>
    <row r="41" spans="1:11" ht="14.1" customHeight="1" x14ac:dyDescent="0.2">
      <c r="A41" s="271" t="s">
        <v>133</v>
      </c>
      <c r="B41" s="272">
        <v>0</v>
      </c>
      <c r="C41" s="273">
        <f t="shared" si="0"/>
        <v>0</v>
      </c>
      <c r="D41" s="272">
        <v>84000</v>
      </c>
      <c r="E41" s="273">
        <f t="shared" si="1"/>
        <v>0.12586325900883133</v>
      </c>
      <c r="F41" s="272">
        <f>SUM('- 42 -'!$B41,'- 42 -'!$D41,'- 42 -'!$F41,'- 42 -'!$H41,B41,D41)</f>
        <v>28887480</v>
      </c>
      <c r="G41" s="273">
        <f t="shared" si="2"/>
        <v>43.284194968481366</v>
      </c>
      <c r="I41" s="272">
        <f>SUM('- 41 -'!$H41,F41)</f>
        <v>66739095</v>
      </c>
    </row>
    <row r="42" spans="1:11" ht="14.1" customHeight="1" x14ac:dyDescent="0.2">
      <c r="A42" s="15" t="s">
        <v>134</v>
      </c>
      <c r="B42" s="16">
        <v>273200</v>
      </c>
      <c r="C42" s="267">
        <f t="shared" si="0"/>
        <v>1.2687073381484459</v>
      </c>
      <c r="D42" s="16">
        <v>73200</v>
      </c>
      <c r="E42" s="267">
        <f t="shared" si="1"/>
        <v>0.3399318343794519</v>
      </c>
      <c r="F42" s="16">
        <f>SUM('- 42 -'!$B42,'- 42 -'!$D42,'- 42 -'!$F42,'- 42 -'!$H42,B42,D42)</f>
        <v>6769682</v>
      </c>
      <c r="G42" s="267">
        <f t="shared" si="2"/>
        <v>31.437574049529459</v>
      </c>
      <c r="I42" s="16">
        <f>SUM('- 41 -'!$H42,F42)</f>
        <v>21533729</v>
      </c>
    </row>
    <row r="43" spans="1:11" ht="14.1" customHeight="1" x14ac:dyDescent="0.2">
      <c r="A43" s="271" t="s">
        <v>135</v>
      </c>
      <c r="B43" s="272">
        <v>10330</v>
      </c>
      <c r="C43" s="273">
        <f t="shared" si="0"/>
        <v>7.5427854097265865E-2</v>
      </c>
      <c r="D43" s="272">
        <v>15725</v>
      </c>
      <c r="E43" s="273">
        <f t="shared" si="1"/>
        <v>0.11482120093702862</v>
      </c>
      <c r="F43" s="272">
        <f>SUM('- 42 -'!$B43,'- 42 -'!$D43,'- 42 -'!$F43,'- 42 -'!$H43,B43,D43)</f>
        <v>5970636</v>
      </c>
      <c r="G43" s="273">
        <f t="shared" si="2"/>
        <v>43.596540278401072</v>
      </c>
      <c r="I43" s="272">
        <f>SUM('- 41 -'!$H43,F43)</f>
        <v>13695206</v>
      </c>
    </row>
    <row r="44" spans="1:11" ht="14.1" customHeight="1" x14ac:dyDescent="0.2">
      <c r="A44" s="15" t="s">
        <v>136</v>
      </c>
      <c r="B44" s="16">
        <v>0</v>
      </c>
      <c r="C44" s="267">
        <f t="shared" si="0"/>
        <v>0</v>
      </c>
      <c r="D44" s="16">
        <v>17200</v>
      </c>
      <c r="E44" s="267">
        <f t="shared" si="1"/>
        <v>0.15004318975770295</v>
      </c>
      <c r="F44" s="16">
        <f>SUM('- 42 -'!$B44,'- 42 -'!$D44,'- 42 -'!$F44,'- 42 -'!$H44,B44,D44)</f>
        <v>2651987</v>
      </c>
      <c r="G44" s="267">
        <f t="shared" si="2"/>
        <v>23.134452829997752</v>
      </c>
      <c r="I44" s="16">
        <f>SUM('- 41 -'!$H44,F44)</f>
        <v>11463366</v>
      </c>
    </row>
    <row r="45" spans="1:11" ht="14.1" customHeight="1" x14ac:dyDescent="0.2">
      <c r="A45" s="271" t="s">
        <v>137</v>
      </c>
      <c r="B45" s="272">
        <v>294300</v>
      </c>
      <c r="C45" s="273">
        <f t="shared" si="0"/>
        <v>1.4296093023020837</v>
      </c>
      <c r="D45" s="272">
        <v>16100</v>
      </c>
      <c r="E45" s="273">
        <f t="shared" si="1"/>
        <v>7.820832404710687E-2</v>
      </c>
      <c r="F45" s="272">
        <f>SUM('- 42 -'!$B45,'- 42 -'!$D45,'- 42 -'!$F45,'- 42 -'!$H45,B45,D45)</f>
        <v>7454458</v>
      </c>
      <c r="G45" s="273">
        <f t="shared" si="2"/>
        <v>36.211221544071314</v>
      </c>
      <c r="I45" s="272">
        <f>SUM('- 41 -'!$H45,F45)</f>
        <v>20586044</v>
      </c>
    </row>
    <row r="46" spans="1:11" ht="14.1" customHeight="1" x14ac:dyDescent="0.2">
      <c r="A46" s="15" t="s">
        <v>138</v>
      </c>
      <c r="B46" s="16">
        <v>666200</v>
      </c>
      <c r="C46" s="267">
        <f t="shared" si="0"/>
        <v>0.16384886946247634</v>
      </c>
      <c r="D46" s="16">
        <v>970000</v>
      </c>
      <c r="E46" s="267">
        <f t="shared" si="1"/>
        <v>0.23856710203933063</v>
      </c>
      <c r="F46" s="16">
        <f>SUM('- 42 -'!$B46,'- 42 -'!$D46,'- 42 -'!$F46,'- 42 -'!$H46,B46,D46)</f>
        <v>160969779</v>
      </c>
      <c r="G46" s="267">
        <f t="shared" si="2"/>
        <v>39.589787311279892</v>
      </c>
      <c r="I46" s="16">
        <f>SUM('- 41 -'!$H46,F46)</f>
        <v>406594200</v>
      </c>
    </row>
    <row r="47" spans="1:11" ht="5.0999999999999996" customHeight="1" x14ac:dyDescent="0.2">
      <c r="A47"/>
      <c r="B47" s="508"/>
      <c r="C47"/>
      <c r="D47" s="508"/>
      <c r="E47"/>
      <c r="F47"/>
      <c r="G47"/>
      <c r="I47"/>
    </row>
    <row r="48" spans="1:11" ht="14.1" customHeight="1" x14ac:dyDescent="0.2">
      <c r="A48" s="274" t="s">
        <v>139</v>
      </c>
      <c r="B48" s="275">
        <f>SUM(B11:B46)</f>
        <v>18653570</v>
      </c>
      <c r="C48" s="276">
        <f>B48/I48*100</f>
        <v>0.77337557705900628</v>
      </c>
      <c r="D48" s="275">
        <f>SUM(D11:D46)</f>
        <v>4767054</v>
      </c>
      <c r="E48" s="276">
        <f t="shared" si="1"/>
        <v>0.19764169207939522</v>
      </c>
      <c r="F48" s="275">
        <f>SUM(F11:F46)</f>
        <v>968363033</v>
      </c>
      <c r="G48" s="276">
        <f t="shared" si="2"/>
        <v>40.148256845686085</v>
      </c>
      <c r="I48" s="275">
        <f>SUM(I11:I46)</f>
        <v>2411967814</v>
      </c>
      <c r="K48" s="1">
        <v>0</v>
      </c>
    </row>
    <row r="49" spans="1:9" ht="5.0999999999999996" customHeight="1" x14ac:dyDescent="0.2">
      <c r="A49" s="17" t="s">
        <v>1</v>
      </c>
      <c r="B49" s="18"/>
      <c r="C49" s="266"/>
      <c r="D49" s="18"/>
      <c r="E49" s="266"/>
      <c r="F49" s="18"/>
      <c r="G49" s="266"/>
      <c r="I49" s="18"/>
    </row>
    <row r="50" spans="1:9" ht="14.1" customHeight="1" x14ac:dyDescent="0.2">
      <c r="A50" s="15" t="s">
        <v>140</v>
      </c>
      <c r="B50" s="16">
        <v>14957</v>
      </c>
      <c r="C50" s="267">
        <f>B50/I50*100</f>
        <v>0.41935122101662603</v>
      </c>
      <c r="D50" s="16">
        <v>50000</v>
      </c>
      <c r="E50" s="267">
        <f>D50/I50*100</f>
        <v>1.4018560574200241</v>
      </c>
      <c r="F50" s="16">
        <f>SUM('- 42 -'!$B50,'- 42 -'!$D50,'- 42 -'!$F50,'- 42 -'!$H50,B50,D50)</f>
        <v>2125010</v>
      </c>
      <c r="G50" s="267">
        <f>F50/I50*100</f>
        <v>59.579162811562512</v>
      </c>
      <c r="I50" s="16">
        <f>SUM('- 41 -'!$H50,F50)</f>
        <v>3566700</v>
      </c>
    </row>
    <row r="51" spans="1:9" ht="14.1" customHeight="1" x14ac:dyDescent="0.2">
      <c r="A51" s="360" t="s">
        <v>516</v>
      </c>
      <c r="B51" s="272">
        <v>15408467</v>
      </c>
      <c r="C51" s="273">
        <f>B51/I51*100</f>
        <v>49.378270213817004</v>
      </c>
      <c r="D51" s="272">
        <v>1227718</v>
      </c>
      <c r="E51" s="273">
        <f>D51/I51*100</f>
        <v>3.93436875650037</v>
      </c>
      <c r="F51" s="272">
        <f>SUM('- 42 -'!$B51,'- 42 -'!$D51,'- 42 -'!$F51,'- 42 -'!$H51,B51,D51)</f>
        <v>20924142</v>
      </c>
      <c r="G51" s="273">
        <f>F51/I51*100</f>
        <v>67.05390858599219</v>
      </c>
      <c r="I51" s="272">
        <f>SUM('- 41 -'!$H51,F51)</f>
        <v>31204955</v>
      </c>
    </row>
    <row r="52" spans="1:9" ht="50.1" customHeight="1" x14ac:dyDescent="0.2"/>
    <row r="53" spans="1:9" ht="14.45" customHeight="1" x14ac:dyDescent="0.2">
      <c r="I53" s="72"/>
    </row>
    <row r="54" spans="1:9" ht="14.45" customHeight="1" x14ac:dyDescent="0.2"/>
    <row r="55" spans="1:9" ht="14.45" customHeight="1" x14ac:dyDescent="0.2"/>
    <row r="56" spans="1:9" ht="14.45" customHeight="1" x14ac:dyDescent="0.2"/>
    <row r="57" spans="1:9" ht="14.45" customHeight="1" x14ac:dyDescent="0.2"/>
    <row r="58" spans="1:9" ht="14.45" customHeight="1" x14ac:dyDescent="0.2"/>
    <row r="59" spans="1:9" ht="14.45" customHeight="1" x14ac:dyDescent="0.2"/>
    <row r="63" spans="1:9" x14ac:dyDescent="0.2">
      <c r="I63" s="1">
        <v>0</v>
      </c>
    </row>
  </sheetData>
  <mergeCells count="4">
    <mergeCell ref="B6:C8"/>
    <mergeCell ref="D8:E8"/>
    <mergeCell ref="F6:G8"/>
    <mergeCell ref="I6:I8"/>
  </mergeCells>
  <phoneticPr fontId="0" type="noConversion"/>
  <printOptions horizontalCentered="1"/>
  <pageMargins left="0.51181102362204722" right="0.51181102362204722" top="0.59055118110236227" bottom="0" header="0.31496062992125984" footer="0"/>
  <pageSetup scale="85" orientation="portrait" r:id="rId1"/>
  <headerFooter alignWithMargins="0">
    <oddHeader>&amp;C&amp;"Arial,Bold"&amp;10&amp;A</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BB60"/>
  <sheetViews>
    <sheetView showGridLines="0" showZeros="0" workbookViewId="0"/>
  </sheetViews>
  <sheetFormatPr defaultColWidth="19.83203125" defaultRowHeight="12" x14ac:dyDescent="0.2"/>
  <cols>
    <col min="1" max="1" width="38.83203125" style="1" customWidth="1"/>
    <col min="2" max="2" width="40.83203125" style="1" customWidth="1"/>
    <col min="3" max="3" width="53.83203125" style="1" customWidth="1"/>
    <col min="4" max="16384" width="19.83203125" style="1"/>
  </cols>
  <sheetData>
    <row r="1" spans="1:54" ht="6.95" customHeight="1" x14ac:dyDescent="0.2">
      <c r="A1" s="3"/>
    </row>
    <row r="2" spans="1:54" ht="15.95" customHeight="1" x14ac:dyDescent="0.2">
      <c r="A2" s="193" t="str">
        <f>IF(Lang=1,BA2,BB2)</f>
        <v>NET TRANSFERS TO/(FROM) CAPITAL FUND</v>
      </c>
      <c r="B2" s="193"/>
      <c r="C2" s="194"/>
      <c r="BA2" s="456" t="s">
        <v>316</v>
      </c>
      <c r="BB2" s="474" t="s">
        <v>461</v>
      </c>
    </row>
    <row r="3" spans="1:54" ht="15.95" customHeight="1" x14ac:dyDescent="0.2">
      <c r="A3" s="195" t="str">
        <f>IF(Lang=1,BA3,BB3)</f>
        <v>2017/2018 BUDGET</v>
      </c>
      <c r="B3" s="195"/>
      <c r="C3" s="196"/>
      <c r="BA3" s="456" t="str">
        <f>REPLACE(REVYEAR,1,36,"")</f>
        <v>2017/2018 BUDGET</v>
      </c>
      <c r="BB3" s="475" t="str">
        <f>"BUDGET "&amp;YEAR&amp;" -"&amp;YEAR+1</f>
        <v>BUDGET 2017 -2018</v>
      </c>
    </row>
    <row r="4" spans="1:54" ht="15.95" customHeight="1" x14ac:dyDescent="0.2">
      <c r="B4" s="4"/>
    </row>
    <row r="5" spans="1:54" ht="15.95" customHeight="1" x14ac:dyDescent="0.2">
      <c r="A5"/>
      <c r="B5"/>
      <c r="C5"/>
    </row>
    <row r="6" spans="1:54" ht="15.95" customHeight="1" x14ac:dyDescent="0.2">
      <c r="A6"/>
      <c r="B6"/>
      <c r="C6"/>
    </row>
    <row r="7" spans="1:54" ht="15.95" customHeight="1" x14ac:dyDescent="0.2">
      <c r="B7" s="743" t="s">
        <v>462</v>
      </c>
      <c r="C7"/>
    </row>
    <row r="8" spans="1:54" ht="15.95" customHeight="1" x14ac:dyDescent="0.2">
      <c r="A8" s="249"/>
      <c r="B8" s="723"/>
      <c r="C8"/>
    </row>
    <row r="9" spans="1:54" ht="15.95" customHeight="1" x14ac:dyDescent="0.2">
      <c r="A9" s="250" t="s">
        <v>37</v>
      </c>
      <c r="B9" s="607"/>
      <c r="C9"/>
    </row>
    <row r="10" spans="1:54" ht="5.0999999999999996" customHeight="1" x14ac:dyDescent="0.2">
      <c r="A10" s="29"/>
      <c r="B10" s="182"/>
      <c r="C10"/>
    </row>
    <row r="11" spans="1:54" ht="14.1" customHeight="1" x14ac:dyDescent="0.2">
      <c r="A11" s="271" t="s">
        <v>104</v>
      </c>
      <c r="B11" s="272">
        <v>79000</v>
      </c>
      <c r="C11"/>
    </row>
    <row r="12" spans="1:54" ht="14.1" customHeight="1" x14ac:dyDescent="0.2">
      <c r="A12" s="15" t="s">
        <v>105</v>
      </c>
      <c r="B12" s="16">
        <v>298260</v>
      </c>
      <c r="C12"/>
    </row>
    <row r="13" spans="1:54" ht="14.1" customHeight="1" x14ac:dyDescent="0.2">
      <c r="A13" s="271" t="s">
        <v>106</v>
      </c>
      <c r="B13" s="272">
        <v>37500</v>
      </c>
      <c r="C13"/>
    </row>
    <row r="14" spans="1:54" ht="14.1" customHeight="1" x14ac:dyDescent="0.2">
      <c r="A14" s="15" t="s">
        <v>315</v>
      </c>
      <c r="B14" s="16">
        <v>32500</v>
      </c>
      <c r="C14"/>
    </row>
    <row r="15" spans="1:54" ht="14.1" customHeight="1" x14ac:dyDescent="0.2">
      <c r="A15" s="271" t="s">
        <v>107</v>
      </c>
      <c r="B15" s="272">
        <v>407534</v>
      </c>
      <c r="C15"/>
    </row>
    <row r="16" spans="1:54" ht="14.1" customHeight="1" x14ac:dyDescent="0.2">
      <c r="A16" s="15" t="s">
        <v>108</v>
      </c>
      <c r="B16" s="16">
        <v>42500</v>
      </c>
      <c r="C16"/>
    </row>
    <row r="17" spans="1:3" ht="14.1" customHeight="1" x14ac:dyDescent="0.2">
      <c r="A17" s="271" t="s">
        <v>109</v>
      </c>
      <c r="B17" s="272">
        <v>200000</v>
      </c>
      <c r="C17"/>
    </row>
    <row r="18" spans="1:3" ht="14.1" customHeight="1" x14ac:dyDescent="0.2">
      <c r="A18" s="15" t="s">
        <v>110</v>
      </c>
      <c r="B18" s="16">
        <v>800000</v>
      </c>
      <c r="C18"/>
    </row>
    <row r="19" spans="1:3" ht="14.1" customHeight="1" x14ac:dyDescent="0.2">
      <c r="A19" s="271" t="s">
        <v>111</v>
      </c>
      <c r="B19" s="272">
        <v>836900</v>
      </c>
      <c r="C19"/>
    </row>
    <row r="20" spans="1:3" ht="14.1" customHeight="1" x14ac:dyDescent="0.2">
      <c r="A20" s="15" t="s">
        <v>112</v>
      </c>
      <c r="B20" s="16">
        <v>1178500</v>
      </c>
      <c r="C20"/>
    </row>
    <row r="21" spans="1:3" ht="14.1" customHeight="1" x14ac:dyDescent="0.2">
      <c r="A21" s="271" t="s">
        <v>113</v>
      </c>
      <c r="B21" s="272">
        <v>558400</v>
      </c>
      <c r="C21"/>
    </row>
    <row r="22" spans="1:3" ht="14.1" customHeight="1" x14ac:dyDescent="0.2">
      <c r="A22" s="15" t="s">
        <v>114</v>
      </c>
      <c r="B22" s="16">
        <v>200000</v>
      </c>
      <c r="C22"/>
    </row>
    <row r="23" spans="1:3" ht="14.1" customHeight="1" x14ac:dyDescent="0.2">
      <c r="A23" s="271" t="s">
        <v>115</v>
      </c>
      <c r="B23" s="272">
        <v>0</v>
      </c>
      <c r="C23"/>
    </row>
    <row r="24" spans="1:3" ht="14.1" customHeight="1" x14ac:dyDescent="0.2">
      <c r="A24" s="15" t="s">
        <v>116</v>
      </c>
      <c r="B24" s="16">
        <v>379170</v>
      </c>
      <c r="C24"/>
    </row>
    <row r="25" spans="1:3" ht="14.1" customHeight="1" x14ac:dyDescent="0.2">
      <c r="A25" s="271" t="s">
        <v>117</v>
      </c>
      <c r="B25" s="272">
        <v>1151218</v>
      </c>
      <c r="C25"/>
    </row>
    <row r="26" spans="1:3" ht="14.1" customHeight="1" x14ac:dyDescent="0.2">
      <c r="A26" s="15" t="s">
        <v>118</v>
      </c>
      <c r="B26" s="16">
        <v>1010322</v>
      </c>
      <c r="C26"/>
    </row>
    <row r="27" spans="1:3" ht="14.1" customHeight="1" x14ac:dyDescent="0.2">
      <c r="A27" s="271" t="s">
        <v>119</v>
      </c>
      <c r="B27" s="272">
        <v>40000</v>
      </c>
      <c r="C27"/>
    </row>
    <row r="28" spans="1:3" ht="14.1" customHeight="1" x14ac:dyDescent="0.2">
      <c r="A28" s="15" t="s">
        <v>120</v>
      </c>
      <c r="B28" s="16">
        <v>135000</v>
      </c>
      <c r="C28"/>
    </row>
    <row r="29" spans="1:3" ht="14.1" customHeight="1" x14ac:dyDescent="0.2">
      <c r="A29" s="271" t="s">
        <v>121</v>
      </c>
      <c r="B29" s="272">
        <v>2131500</v>
      </c>
      <c r="C29"/>
    </row>
    <row r="30" spans="1:3" ht="14.1" customHeight="1" x14ac:dyDescent="0.2">
      <c r="A30" s="15" t="s">
        <v>122</v>
      </c>
      <c r="B30" s="16">
        <v>282181</v>
      </c>
      <c r="C30"/>
    </row>
    <row r="31" spans="1:3" ht="14.1" customHeight="1" x14ac:dyDescent="0.2">
      <c r="A31" s="271" t="s">
        <v>123</v>
      </c>
      <c r="B31" s="272">
        <v>920000</v>
      </c>
      <c r="C31"/>
    </row>
    <row r="32" spans="1:3" ht="14.1" customHeight="1" x14ac:dyDescent="0.2">
      <c r="A32" s="15" t="s">
        <v>124</v>
      </c>
      <c r="B32" s="16">
        <v>413600</v>
      </c>
      <c r="C32"/>
    </row>
    <row r="33" spans="1:3" ht="14.1" customHeight="1" x14ac:dyDescent="0.2">
      <c r="A33" s="271" t="s">
        <v>125</v>
      </c>
      <c r="B33" s="272">
        <v>384327</v>
      </c>
      <c r="C33"/>
    </row>
    <row r="34" spans="1:3" ht="14.1" customHeight="1" x14ac:dyDescent="0.2">
      <c r="A34" s="15" t="s">
        <v>126</v>
      </c>
      <c r="B34" s="16">
        <v>507076</v>
      </c>
      <c r="C34"/>
    </row>
    <row r="35" spans="1:3" ht="14.1" customHeight="1" x14ac:dyDescent="0.2">
      <c r="A35" s="271" t="s">
        <v>127</v>
      </c>
      <c r="B35" s="272">
        <v>2420085</v>
      </c>
      <c r="C35"/>
    </row>
    <row r="36" spans="1:3" ht="14.1" customHeight="1" x14ac:dyDescent="0.2">
      <c r="A36" s="15" t="s">
        <v>128</v>
      </c>
      <c r="B36" s="16">
        <v>165000</v>
      </c>
      <c r="C36"/>
    </row>
    <row r="37" spans="1:3" ht="14.1" customHeight="1" x14ac:dyDescent="0.2">
      <c r="A37" s="271" t="s">
        <v>129</v>
      </c>
      <c r="B37" s="272">
        <v>833000</v>
      </c>
      <c r="C37"/>
    </row>
    <row r="38" spans="1:3" ht="14.1" customHeight="1" x14ac:dyDescent="0.2">
      <c r="A38" s="15" t="s">
        <v>130</v>
      </c>
      <c r="B38" s="16">
        <v>2395200</v>
      </c>
      <c r="C38"/>
    </row>
    <row r="39" spans="1:3" ht="14.1" customHeight="1" x14ac:dyDescent="0.2">
      <c r="A39" s="271" t="s">
        <v>131</v>
      </c>
      <c r="B39" s="272">
        <v>0</v>
      </c>
      <c r="C39"/>
    </row>
    <row r="40" spans="1:3" ht="14.1" customHeight="1" x14ac:dyDescent="0.2">
      <c r="A40" s="15" t="s">
        <v>132</v>
      </c>
      <c r="B40" s="16">
        <v>1261879</v>
      </c>
      <c r="C40"/>
    </row>
    <row r="41" spans="1:3" ht="14.1" customHeight="1" x14ac:dyDescent="0.2">
      <c r="A41" s="271" t="s">
        <v>133</v>
      </c>
      <c r="B41" s="272">
        <v>1430000</v>
      </c>
      <c r="C41"/>
    </row>
    <row r="42" spans="1:3" ht="14.1" customHeight="1" x14ac:dyDescent="0.2">
      <c r="A42" s="15" t="s">
        <v>134</v>
      </c>
      <c r="B42" s="16">
        <v>45000</v>
      </c>
      <c r="C42"/>
    </row>
    <row r="43" spans="1:3" ht="14.1" customHeight="1" x14ac:dyDescent="0.2">
      <c r="A43" s="271" t="s">
        <v>135</v>
      </c>
      <c r="B43" s="272">
        <v>0</v>
      </c>
      <c r="C43"/>
    </row>
    <row r="44" spans="1:3" ht="14.1" customHeight="1" x14ac:dyDescent="0.2">
      <c r="A44" s="15" t="s">
        <v>136</v>
      </c>
      <c r="B44" s="16">
        <v>0</v>
      </c>
      <c r="C44"/>
    </row>
    <row r="45" spans="1:3" ht="14.1" customHeight="1" x14ac:dyDescent="0.2">
      <c r="A45" s="271" t="s">
        <v>137</v>
      </c>
      <c r="B45" s="272">
        <v>90000</v>
      </c>
      <c r="C45"/>
    </row>
    <row r="46" spans="1:3" ht="14.1" customHeight="1" x14ac:dyDescent="0.2">
      <c r="A46" s="15" t="s">
        <v>138</v>
      </c>
      <c r="B46" s="16">
        <v>1544700</v>
      </c>
      <c r="C46"/>
    </row>
    <row r="47" spans="1:3" ht="5.0999999999999996" customHeight="1" x14ac:dyDescent="0.2">
      <c r="A47"/>
      <c r="B47" s="368"/>
      <c r="C47"/>
    </row>
    <row r="48" spans="1:3" ht="14.1" customHeight="1" x14ac:dyDescent="0.2">
      <c r="A48" s="274" t="s">
        <v>139</v>
      </c>
      <c r="B48" s="275">
        <f>SUM(B11:B46)</f>
        <v>22210352</v>
      </c>
      <c r="C48"/>
    </row>
    <row r="49" spans="1:3" ht="5.0999999999999996" customHeight="1" x14ac:dyDescent="0.2">
      <c r="A49" s="17" t="s">
        <v>1</v>
      </c>
      <c r="B49" s="369"/>
      <c r="C49"/>
    </row>
    <row r="50" spans="1:3" ht="14.1" customHeight="1" x14ac:dyDescent="0.2">
      <c r="A50" s="15" t="s">
        <v>140</v>
      </c>
      <c r="B50" s="16">
        <v>0</v>
      </c>
      <c r="C50"/>
    </row>
    <row r="51" spans="1:3" ht="14.1" customHeight="1" x14ac:dyDescent="0.2">
      <c r="A51" s="360" t="s">
        <v>516</v>
      </c>
      <c r="B51" s="272">
        <v>424410</v>
      </c>
      <c r="C51"/>
    </row>
    <row r="52" spans="1:3" ht="14.1" customHeight="1" x14ac:dyDescent="0.2">
      <c r="A52" s="239"/>
      <c r="B52" s="240"/>
      <c r="C52"/>
    </row>
    <row r="53" spans="1:3" ht="50.1" customHeight="1" x14ac:dyDescent="0.2">
      <c r="A53" s="19"/>
      <c r="B53" s="19"/>
      <c r="C53" s="429"/>
    </row>
    <row r="54" spans="1:3" ht="14.45" customHeight="1" x14ac:dyDescent="0.2">
      <c r="A54" s="127" t="s">
        <v>329</v>
      </c>
    </row>
    <row r="55" spans="1:3" ht="14.45" customHeight="1" x14ac:dyDescent="0.2"/>
    <row r="56" spans="1:3" ht="14.45" customHeight="1" x14ac:dyDescent="0.2"/>
    <row r="57" spans="1:3" ht="14.45" customHeight="1" x14ac:dyDescent="0.2"/>
    <row r="58" spans="1:3" ht="14.45" customHeight="1" x14ac:dyDescent="0.2"/>
    <row r="59" spans="1:3" ht="14.45" customHeight="1" x14ac:dyDescent="0.2"/>
    <row r="60" spans="1:3" ht="14.45" customHeight="1" x14ac:dyDescent="0.2"/>
  </sheetData>
  <mergeCells count="1">
    <mergeCell ref="B7:B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C59"/>
  <sheetViews>
    <sheetView showGridLines="0" showZeros="0" workbookViewId="0"/>
  </sheetViews>
  <sheetFormatPr defaultColWidth="12.83203125" defaultRowHeight="12" x14ac:dyDescent="0.2"/>
  <cols>
    <col min="1" max="1" width="29.83203125" style="1" customWidth="1"/>
    <col min="2" max="8" width="14.83203125" style="1" customWidth="1"/>
    <col min="9" max="9" width="15.83203125" style="1" customWidth="1"/>
    <col min="10" max="16384" width="12.83203125" style="1"/>
  </cols>
  <sheetData>
    <row r="1" spans="1:55" ht="6.95" customHeight="1" x14ac:dyDescent="0.2">
      <c r="A1" s="3"/>
      <c r="B1" s="32"/>
      <c r="C1" s="32"/>
      <c r="D1" s="32"/>
      <c r="E1" s="32"/>
      <c r="F1" s="32"/>
      <c r="G1" s="32"/>
      <c r="H1" s="32"/>
      <c r="I1" s="32"/>
      <c r="BA1" s="164"/>
      <c r="BB1" s="164"/>
      <c r="BC1" s="164"/>
    </row>
    <row r="2" spans="1:55" ht="15.95" customHeight="1" x14ac:dyDescent="0.2">
      <c r="A2" s="33"/>
      <c r="B2" s="34" t="str">
        <f>IF(Lang=1,BA2,BB2)</f>
        <v>FRAME STUDENT STATISTICS</v>
      </c>
      <c r="C2" s="35"/>
      <c r="D2" s="35"/>
      <c r="E2" s="35"/>
      <c r="F2" s="35"/>
      <c r="G2" s="35"/>
      <c r="H2" s="36" t="s">
        <v>71</v>
      </c>
      <c r="BA2" s="461" t="s">
        <v>70</v>
      </c>
      <c r="BB2" s="461" t="s">
        <v>374</v>
      </c>
      <c r="BC2" s="164"/>
    </row>
    <row r="3" spans="1:55" ht="15.95" customHeight="1" x14ac:dyDescent="0.2">
      <c r="A3" s="37"/>
      <c r="B3" s="38" t="str">
        <f>IF(Lang=1,BA3,BB3)</f>
        <v>ESTIMATE SEPTEMBER 30, 2017</v>
      </c>
      <c r="C3" s="39"/>
      <c r="D3" s="40"/>
      <c r="E3" s="39"/>
      <c r="F3" s="40"/>
      <c r="G3" s="39"/>
      <c r="H3" s="41"/>
      <c r="BA3" s="462" t="str">
        <f>"ESTIMATE SEPTEMBER 30, "&amp;YEAR</f>
        <v>ESTIMATE SEPTEMBER 30, 2017</v>
      </c>
      <c r="BB3" s="462" t="str">
        <f>"PRÉVISIONS AU 30 SEPTEMBRE "&amp;YEAR</f>
        <v>PRÉVISIONS AU 30 SEPTEMBRE 2017</v>
      </c>
      <c r="BC3" s="164"/>
    </row>
    <row r="4" spans="1:55" ht="15.95" customHeight="1" x14ac:dyDescent="0.2">
      <c r="B4" s="32"/>
      <c r="C4" s="32"/>
      <c r="D4" s="32"/>
      <c r="E4" s="32"/>
      <c r="F4" s="32"/>
      <c r="G4" s="42"/>
      <c r="H4" s="32"/>
      <c r="I4" s="32"/>
      <c r="BA4" s="164"/>
      <c r="BB4" s="164"/>
      <c r="BC4" s="164"/>
    </row>
    <row r="5" spans="1:55" ht="15.95" customHeight="1" x14ac:dyDescent="0.2">
      <c r="B5" s="32"/>
      <c r="C5" s="32"/>
      <c r="D5" s="32"/>
      <c r="E5" s="32"/>
      <c r="F5" s="32"/>
      <c r="G5" s="32"/>
      <c r="H5" s="32"/>
      <c r="I5" s="32"/>
    </row>
    <row r="6" spans="1:55" ht="15.95" customHeight="1" x14ac:dyDescent="0.2">
      <c r="B6" s="557" t="s">
        <v>21</v>
      </c>
      <c r="C6" s="558"/>
      <c r="D6" s="558"/>
      <c r="E6" s="558"/>
      <c r="F6" s="558"/>
      <c r="G6" s="558"/>
      <c r="H6" s="559"/>
    </row>
    <row r="7" spans="1:55" ht="15.95" customHeight="1" x14ac:dyDescent="0.2">
      <c r="B7" s="555" t="s">
        <v>227</v>
      </c>
      <c r="C7" s="553"/>
      <c r="D7" s="556"/>
      <c r="E7" s="552" t="s">
        <v>228</v>
      </c>
      <c r="F7" s="553"/>
      <c r="G7" s="553"/>
      <c r="H7" s="554"/>
    </row>
    <row r="8" spans="1:55" ht="15.95" customHeight="1" x14ac:dyDescent="0.2">
      <c r="A8" s="44"/>
      <c r="B8" s="560" t="s">
        <v>15</v>
      </c>
      <c r="C8" s="550" t="s">
        <v>16</v>
      </c>
      <c r="D8" s="562" t="s">
        <v>17</v>
      </c>
      <c r="E8" s="564" t="s">
        <v>15</v>
      </c>
      <c r="F8" s="550" t="s">
        <v>372</v>
      </c>
      <c r="G8" s="550" t="s">
        <v>17</v>
      </c>
      <c r="H8" s="550" t="s">
        <v>373</v>
      </c>
    </row>
    <row r="9" spans="1:55" ht="15.95" customHeight="1" x14ac:dyDescent="0.2">
      <c r="A9" s="45" t="s">
        <v>37</v>
      </c>
      <c r="B9" s="561"/>
      <c r="C9" s="551"/>
      <c r="D9" s="563"/>
      <c r="E9" s="565"/>
      <c r="F9" s="551"/>
      <c r="G9" s="551"/>
      <c r="H9" s="551"/>
    </row>
    <row r="10" spans="1:55" ht="5.0999999999999996" customHeight="1" x14ac:dyDescent="0.2">
      <c r="A10" s="29"/>
      <c r="B10" s="46"/>
      <c r="C10" s="46"/>
      <c r="D10" s="46"/>
      <c r="E10" s="46"/>
      <c r="F10" s="46"/>
      <c r="G10" s="46"/>
      <c r="H10" s="46"/>
    </row>
    <row r="11" spans="1:55" ht="14.1" customHeight="1" x14ac:dyDescent="0.2">
      <c r="A11" s="271" t="s">
        <v>104</v>
      </c>
      <c r="B11" s="292">
        <v>1796</v>
      </c>
      <c r="C11" s="292">
        <v>0</v>
      </c>
      <c r="D11" s="295">
        <v>0</v>
      </c>
      <c r="E11" s="296">
        <v>0</v>
      </c>
      <c r="F11" s="292">
        <v>0</v>
      </c>
      <c r="G11" s="292">
        <v>0</v>
      </c>
      <c r="H11" s="292">
        <v>0</v>
      </c>
    </row>
    <row r="12" spans="1:55" ht="14.1" customHeight="1" x14ac:dyDescent="0.2">
      <c r="A12" s="15" t="s">
        <v>105</v>
      </c>
      <c r="B12" s="47">
        <v>1962</v>
      </c>
      <c r="C12" s="47">
        <v>0</v>
      </c>
      <c r="D12" s="48">
        <v>0</v>
      </c>
      <c r="E12" s="49">
        <v>0</v>
      </c>
      <c r="F12" s="47">
        <v>0</v>
      </c>
      <c r="G12" s="47">
        <v>0</v>
      </c>
      <c r="H12" s="47">
        <v>0</v>
      </c>
    </row>
    <row r="13" spans="1:55" ht="14.1" customHeight="1" x14ac:dyDescent="0.2">
      <c r="A13" s="271" t="s">
        <v>106</v>
      </c>
      <c r="B13" s="292">
        <v>6257.5</v>
      </c>
      <c r="C13" s="292">
        <v>0</v>
      </c>
      <c r="D13" s="295">
        <v>348</v>
      </c>
      <c r="E13" s="296">
        <v>1067</v>
      </c>
      <c r="F13" s="292">
        <v>0</v>
      </c>
      <c r="G13" s="292">
        <v>424.5</v>
      </c>
      <c r="H13" s="292">
        <v>0</v>
      </c>
    </row>
    <row r="14" spans="1:55" ht="14.1" customHeight="1" x14ac:dyDescent="0.2">
      <c r="A14" s="15" t="s">
        <v>315</v>
      </c>
      <c r="B14" s="47">
        <v>0</v>
      </c>
      <c r="C14" s="47">
        <v>5550</v>
      </c>
      <c r="D14" s="48">
        <v>0</v>
      </c>
      <c r="E14" s="49">
        <v>0</v>
      </c>
      <c r="F14" s="47">
        <v>0</v>
      </c>
      <c r="G14" s="47">
        <v>0</v>
      </c>
      <c r="H14" s="47">
        <v>0</v>
      </c>
    </row>
    <row r="15" spans="1:55" ht="14.1" customHeight="1" x14ac:dyDescent="0.2">
      <c r="A15" s="271" t="s">
        <v>107</v>
      </c>
      <c r="B15" s="292">
        <v>1358</v>
      </c>
      <c r="C15" s="292">
        <v>0</v>
      </c>
      <c r="D15" s="295">
        <v>0</v>
      </c>
      <c r="E15" s="296">
        <v>0</v>
      </c>
      <c r="F15" s="292">
        <v>0</v>
      </c>
      <c r="G15" s="292">
        <v>0</v>
      </c>
      <c r="H15" s="292">
        <v>0</v>
      </c>
    </row>
    <row r="16" spans="1:55" ht="14.1" customHeight="1" x14ac:dyDescent="0.2">
      <c r="A16" s="15" t="s">
        <v>108</v>
      </c>
      <c r="B16" s="47">
        <v>551.5</v>
      </c>
      <c r="C16" s="47">
        <v>0</v>
      </c>
      <c r="D16" s="48">
        <v>0</v>
      </c>
      <c r="E16" s="49">
        <v>268.5</v>
      </c>
      <c r="F16" s="47">
        <v>0</v>
      </c>
      <c r="G16" s="47">
        <v>96.5</v>
      </c>
      <c r="H16" s="47">
        <v>0</v>
      </c>
    </row>
    <row r="17" spans="1:8" ht="14.1" customHeight="1" x14ac:dyDescent="0.2">
      <c r="A17" s="271" t="s">
        <v>109</v>
      </c>
      <c r="B17" s="292">
        <v>1378.5</v>
      </c>
      <c r="C17" s="292">
        <v>0</v>
      </c>
      <c r="D17" s="295">
        <v>0</v>
      </c>
      <c r="E17" s="296">
        <v>0</v>
      </c>
      <c r="F17" s="292">
        <v>0</v>
      </c>
      <c r="G17" s="292">
        <v>0</v>
      </c>
      <c r="H17" s="292">
        <v>0</v>
      </c>
    </row>
    <row r="18" spans="1:8" ht="14.1" customHeight="1" x14ac:dyDescent="0.2">
      <c r="A18" s="15" t="s">
        <v>110</v>
      </c>
      <c r="B18" s="47">
        <v>6065.8</v>
      </c>
      <c r="C18" s="47">
        <v>0</v>
      </c>
      <c r="D18" s="48">
        <v>0</v>
      </c>
      <c r="E18" s="49">
        <v>0</v>
      </c>
      <c r="F18" s="47">
        <v>0</v>
      </c>
      <c r="G18" s="47">
        <v>0</v>
      </c>
      <c r="H18" s="47">
        <v>0</v>
      </c>
    </row>
    <row r="19" spans="1:8" ht="14.1" customHeight="1" x14ac:dyDescent="0.2">
      <c r="A19" s="271" t="s">
        <v>111</v>
      </c>
      <c r="B19" s="292">
        <v>4213.5</v>
      </c>
      <c r="C19" s="292">
        <v>0</v>
      </c>
      <c r="D19" s="295">
        <v>0</v>
      </c>
      <c r="E19" s="296">
        <v>0</v>
      </c>
      <c r="F19" s="292">
        <v>0</v>
      </c>
      <c r="G19" s="292">
        <v>0</v>
      </c>
      <c r="H19" s="292">
        <v>0</v>
      </c>
    </row>
    <row r="20" spans="1:8" ht="14.1" customHeight="1" x14ac:dyDescent="0.2">
      <c r="A20" s="15" t="s">
        <v>112</v>
      </c>
      <c r="B20" s="47">
        <v>7252.3</v>
      </c>
      <c r="C20" s="47">
        <v>0</v>
      </c>
      <c r="D20" s="48">
        <v>0</v>
      </c>
      <c r="E20" s="49">
        <v>0</v>
      </c>
      <c r="F20" s="47">
        <v>0</v>
      </c>
      <c r="G20" s="47">
        <v>0</v>
      </c>
      <c r="H20" s="47">
        <v>0</v>
      </c>
    </row>
    <row r="21" spans="1:8" ht="14.1" customHeight="1" x14ac:dyDescent="0.2">
      <c r="A21" s="271" t="s">
        <v>113</v>
      </c>
      <c r="B21" s="292">
        <v>2048</v>
      </c>
      <c r="C21" s="292">
        <v>0</v>
      </c>
      <c r="D21" s="295">
        <v>0</v>
      </c>
      <c r="E21" s="296">
        <v>440</v>
      </c>
      <c r="F21" s="292">
        <v>0</v>
      </c>
      <c r="G21" s="292">
        <v>267.5</v>
      </c>
      <c r="H21" s="292">
        <v>0</v>
      </c>
    </row>
    <row r="22" spans="1:8" ht="14.1" customHeight="1" x14ac:dyDescent="0.2">
      <c r="A22" s="15" t="s">
        <v>114</v>
      </c>
      <c r="B22" s="47">
        <v>889.7</v>
      </c>
      <c r="C22" s="47">
        <v>0</v>
      </c>
      <c r="D22" s="48">
        <v>0</v>
      </c>
      <c r="E22" s="49">
        <v>496</v>
      </c>
      <c r="F22" s="47">
        <v>0</v>
      </c>
      <c r="G22" s="47">
        <v>133.5</v>
      </c>
      <c r="H22" s="47">
        <v>0</v>
      </c>
    </row>
    <row r="23" spans="1:8" ht="14.1" customHeight="1" x14ac:dyDescent="0.2">
      <c r="A23" s="271" t="s">
        <v>115</v>
      </c>
      <c r="B23" s="292">
        <v>1091</v>
      </c>
      <c r="C23" s="292">
        <v>0</v>
      </c>
      <c r="D23" s="295">
        <v>0</v>
      </c>
      <c r="E23" s="296">
        <v>0</v>
      </c>
      <c r="F23" s="292">
        <v>0</v>
      </c>
      <c r="G23" s="292">
        <v>0</v>
      </c>
      <c r="H23" s="292">
        <v>0</v>
      </c>
    </row>
    <row r="24" spans="1:8" ht="14.1" customHeight="1" x14ac:dyDescent="0.2">
      <c r="A24" s="15" t="s">
        <v>116</v>
      </c>
      <c r="B24" s="47">
        <v>2760.5</v>
      </c>
      <c r="C24" s="47">
        <v>0</v>
      </c>
      <c r="D24" s="48">
        <v>238</v>
      </c>
      <c r="E24" s="49">
        <v>455.5</v>
      </c>
      <c r="F24" s="47">
        <v>0</v>
      </c>
      <c r="G24" s="47">
        <v>94</v>
      </c>
      <c r="H24" s="47">
        <v>80.5</v>
      </c>
    </row>
    <row r="25" spans="1:8" ht="14.1" customHeight="1" x14ac:dyDescent="0.2">
      <c r="A25" s="271" t="s">
        <v>117</v>
      </c>
      <c r="B25" s="292">
        <v>9380.1</v>
      </c>
      <c r="C25" s="292">
        <v>0</v>
      </c>
      <c r="D25" s="295">
        <v>4446.5</v>
      </c>
      <c r="E25" s="296">
        <v>263</v>
      </c>
      <c r="F25" s="292">
        <v>0</v>
      </c>
      <c r="G25" s="292">
        <v>239</v>
      </c>
      <c r="H25" s="292">
        <v>0</v>
      </c>
    </row>
    <row r="26" spans="1:8" ht="14.1" customHeight="1" x14ac:dyDescent="0.2">
      <c r="A26" s="15" t="s">
        <v>118</v>
      </c>
      <c r="B26" s="47">
        <v>2386.4</v>
      </c>
      <c r="C26" s="47">
        <v>0</v>
      </c>
      <c r="D26" s="48">
        <v>200</v>
      </c>
      <c r="E26" s="49">
        <v>204</v>
      </c>
      <c r="F26" s="47">
        <v>0</v>
      </c>
      <c r="G26" s="47">
        <v>49</v>
      </c>
      <c r="H26" s="47">
        <v>75</v>
      </c>
    </row>
    <row r="27" spans="1:8" ht="14.1" customHeight="1" x14ac:dyDescent="0.2">
      <c r="A27" s="271" t="s">
        <v>119</v>
      </c>
      <c r="B27" s="292">
        <v>2427.6</v>
      </c>
      <c r="C27" s="292">
        <v>0</v>
      </c>
      <c r="D27" s="295">
        <v>0</v>
      </c>
      <c r="E27" s="296">
        <v>124.5</v>
      </c>
      <c r="F27" s="292">
        <v>0</v>
      </c>
      <c r="G27" s="292">
        <v>232.5</v>
      </c>
      <c r="H27" s="292">
        <v>0</v>
      </c>
    </row>
    <row r="28" spans="1:8" ht="14.1" customHeight="1" x14ac:dyDescent="0.2">
      <c r="A28" s="15" t="s">
        <v>120</v>
      </c>
      <c r="B28" s="47">
        <v>1959</v>
      </c>
      <c r="C28" s="47">
        <v>0</v>
      </c>
      <c r="D28" s="48">
        <v>0</v>
      </c>
      <c r="E28" s="49">
        <v>0</v>
      </c>
      <c r="F28" s="47">
        <v>0</v>
      </c>
      <c r="G28" s="47">
        <v>0</v>
      </c>
      <c r="H28" s="47">
        <v>0</v>
      </c>
    </row>
    <row r="29" spans="1:8" ht="14.1" customHeight="1" x14ac:dyDescent="0.2">
      <c r="A29" s="271" t="s">
        <v>121</v>
      </c>
      <c r="B29" s="292">
        <v>7823.5</v>
      </c>
      <c r="C29" s="292">
        <v>0</v>
      </c>
      <c r="D29" s="295">
        <v>1144</v>
      </c>
      <c r="E29" s="296">
        <v>2463.4</v>
      </c>
      <c r="F29" s="292">
        <v>0</v>
      </c>
      <c r="G29" s="292">
        <v>1633</v>
      </c>
      <c r="H29" s="292">
        <v>0</v>
      </c>
    </row>
    <row r="30" spans="1:8" ht="14.1" customHeight="1" x14ac:dyDescent="0.2">
      <c r="A30" s="15" t="s">
        <v>122</v>
      </c>
      <c r="B30" s="47">
        <v>1015.5</v>
      </c>
      <c r="C30" s="47">
        <v>0</v>
      </c>
      <c r="D30" s="48">
        <v>0</v>
      </c>
      <c r="E30" s="49">
        <v>0</v>
      </c>
      <c r="F30" s="47">
        <v>0</v>
      </c>
      <c r="G30" s="47">
        <v>0</v>
      </c>
      <c r="H30" s="47">
        <v>0</v>
      </c>
    </row>
    <row r="31" spans="1:8" ht="14.1" customHeight="1" x14ac:dyDescent="0.2">
      <c r="A31" s="271" t="s">
        <v>123</v>
      </c>
      <c r="B31" s="292">
        <v>2430.5</v>
      </c>
      <c r="C31" s="292">
        <v>0</v>
      </c>
      <c r="D31" s="295">
        <v>0</v>
      </c>
      <c r="E31" s="296">
        <v>402</v>
      </c>
      <c r="F31" s="292">
        <v>0</v>
      </c>
      <c r="G31" s="292">
        <v>304</v>
      </c>
      <c r="H31" s="292">
        <v>0</v>
      </c>
    </row>
    <row r="32" spans="1:8" ht="14.1" customHeight="1" x14ac:dyDescent="0.2">
      <c r="A32" s="15" t="s">
        <v>124</v>
      </c>
      <c r="B32" s="47">
        <v>1775.6</v>
      </c>
      <c r="C32" s="47">
        <v>0</v>
      </c>
      <c r="D32" s="48">
        <v>126.5</v>
      </c>
      <c r="E32" s="49">
        <v>134</v>
      </c>
      <c r="F32" s="47">
        <v>0</v>
      </c>
      <c r="G32" s="47">
        <v>57</v>
      </c>
      <c r="H32" s="47">
        <v>0</v>
      </c>
    </row>
    <row r="33" spans="1:9" ht="14.1" customHeight="1" x14ac:dyDescent="0.2">
      <c r="A33" s="271" t="s">
        <v>125</v>
      </c>
      <c r="B33" s="292">
        <v>1499</v>
      </c>
      <c r="C33" s="292">
        <v>0</v>
      </c>
      <c r="D33" s="295">
        <v>0</v>
      </c>
      <c r="E33" s="296">
        <v>235</v>
      </c>
      <c r="F33" s="292">
        <v>100</v>
      </c>
      <c r="G33" s="292">
        <v>100</v>
      </c>
      <c r="H33" s="292">
        <v>0</v>
      </c>
    </row>
    <row r="34" spans="1:9" ht="14.1" customHeight="1" x14ac:dyDescent="0.2">
      <c r="A34" s="15" t="s">
        <v>126</v>
      </c>
      <c r="B34" s="47">
        <v>1587.5</v>
      </c>
      <c r="C34" s="47">
        <v>0</v>
      </c>
      <c r="D34" s="48">
        <v>239</v>
      </c>
      <c r="E34" s="49">
        <v>66</v>
      </c>
      <c r="F34" s="47">
        <v>140</v>
      </c>
      <c r="G34" s="47">
        <v>0</v>
      </c>
      <c r="H34" s="47">
        <v>0</v>
      </c>
    </row>
    <row r="35" spans="1:9" ht="14.1" customHeight="1" x14ac:dyDescent="0.2">
      <c r="A35" s="271" t="s">
        <v>127</v>
      </c>
      <c r="B35" s="292">
        <v>9184.5</v>
      </c>
      <c r="C35" s="292">
        <v>0</v>
      </c>
      <c r="D35" s="295">
        <v>1252</v>
      </c>
      <c r="E35" s="296">
        <v>2371</v>
      </c>
      <c r="F35" s="292">
        <v>0</v>
      </c>
      <c r="G35" s="292">
        <v>1792</v>
      </c>
      <c r="H35" s="292">
        <v>389</v>
      </c>
    </row>
    <row r="36" spans="1:9" ht="14.1" customHeight="1" x14ac:dyDescent="0.2">
      <c r="A36" s="15" t="s">
        <v>128</v>
      </c>
      <c r="B36" s="47">
        <v>1674.6</v>
      </c>
      <c r="C36" s="47">
        <v>0</v>
      </c>
      <c r="D36" s="48">
        <v>0</v>
      </c>
      <c r="E36" s="49">
        <v>0</v>
      </c>
      <c r="F36" s="47">
        <v>0</v>
      </c>
      <c r="G36" s="47">
        <v>0</v>
      </c>
      <c r="H36" s="47">
        <v>0</v>
      </c>
    </row>
    <row r="37" spans="1:9" ht="14.1" customHeight="1" x14ac:dyDescent="0.2">
      <c r="A37" s="271" t="s">
        <v>129</v>
      </c>
      <c r="B37" s="292">
        <v>2151.5</v>
      </c>
      <c r="C37" s="292">
        <v>0</v>
      </c>
      <c r="D37" s="295">
        <v>776.7</v>
      </c>
      <c r="E37" s="296">
        <v>765</v>
      </c>
      <c r="F37" s="292">
        <v>0</v>
      </c>
      <c r="G37" s="292">
        <v>560.5</v>
      </c>
      <c r="H37" s="292">
        <v>0</v>
      </c>
    </row>
    <row r="38" spans="1:9" ht="14.1" customHeight="1" x14ac:dyDescent="0.2">
      <c r="A38" s="15" t="s">
        <v>130</v>
      </c>
      <c r="B38" s="47">
        <v>6566</v>
      </c>
      <c r="C38" s="47">
        <v>0</v>
      </c>
      <c r="D38" s="48">
        <v>644.5</v>
      </c>
      <c r="E38" s="49">
        <v>2471.5</v>
      </c>
      <c r="F38" s="47">
        <v>0</v>
      </c>
      <c r="G38" s="47">
        <v>1216.5</v>
      </c>
      <c r="H38" s="47">
        <v>181.5</v>
      </c>
    </row>
    <row r="39" spans="1:9" ht="14.1" customHeight="1" x14ac:dyDescent="0.2">
      <c r="A39" s="271" t="s">
        <v>131</v>
      </c>
      <c r="B39" s="292">
        <v>1472</v>
      </c>
      <c r="C39" s="292">
        <v>0</v>
      </c>
      <c r="D39" s="295">
        <v>0</v>
      </c>
      <c r="E39" s="296">
        <v>0</v>
      </c>
      <c r="F39" s="292">
        <v>0</v>
      </c>
      <c r="G39" s="292">
        <v>0</v>
      </c>
      <c r="H39" s="292">
        <v>0</v>
      </c>
    </row>
    <row r="40" spans="1:9" ht="14.1" customHeight="1" x14ac:dyDescent="0.2">
      <c r="A40" s="15" t="s">
        <v>132</v>
      </c>
      <c r="B40" s="47">
        <v>5449</v>
      </c>
      <c r="C40" s="47">
        <v>0</v>
      </c>
      <c r="D40" s="48">
        <v>963.5</v>
      </c>
      <c r="E40" s="49">
        <v>927.6</v>
      </c>
      <c r="F40" s="47">
        <v>0</v>
      </c>
      <c r="G40" s="47">
        <v>625.70000000000005</v>
      </c>
      <c r="H40" s="47">
        <v>0</v>
      </c>
    </row>
    <row r="41" spans="1:9" ht="14.1" customHeight="1" x14ac:dyDescent="0.2">
      <c r="A41" s="271" t="s">
        <v>133</v>
      </c>
      <c r="B41" s="292">
        <v>2066.5</v>
      </c>
      <c r="C41" s="292">
        <v>0</v>
      </c>
      <c r="D41" s="295">
        <v>0</v>
      </c>
      <c r="E41" s="296">
        <v>1550.5</v>
      </c>
      <c r="F41" s="292">
        <v>0</v>
      </c>
      <c r="G41" s="292">
        <v>732</v>
      </c>
      <c r="H41" s="292">
        <v>79</v>
      </c>
    </row>
    <row r="42" spans="1:9" ht="14.1" customHeight="1" x14ac:dyDescent="0.2">
      <c r="A42" s="15" t="s">
        <v>134</v>
      </c>
      <c r="B42" s="47">
        <v>994.5</v>
      </c>
      <c r="C42" s="47">
        <v>0</v>
      </c>
      <c r="D42" s="48">
        <v>0</v>
      </c>
      <c r="E42" s="49">
        <v>185.5</v>
      </c>
      <c r="F42" s="47">
        <v>0</v>
      </c>
      <c r="G42" s="47">
        <v>82</v>
      </c>
      <c r="H42" s="47">
        <v>0</v>
      </c>
    </row>
    <row r="43" spans="1:9" ht="14.1" customHeight="1" x14ac:dyDescent="0.2">
      <c r="A43" s="271" t="s">
        <v>135</v>
      </c>
      <c r="B43" s="292">
        <v>921.5</v>
      </c>
      <c r="C43" s="292">
        <v>0</v>
      </c>
      <c r="D43" s="295">
        <v>0</v>
      </c>
      <c r="E43" s="296">
        <v>0</v>
      </c>
      <c r="F43" s="292">
        <v>0</v>
      </c>
      <c r="G43" s="292">
        <v>0</v>
      </c>
      <c r="H43" s="292">
        <v>0</v>
      </c>
    </row>
    <row r="44" spans="1:9" ht="14.1" customHeight="1" x14ac:dyDescent="0.2">
      <c r="A44" s="15" t="s">
        <v>136</v>
      </c>
      <c r="B44" s="47">
        <v>682</v>
      </c>
      <c r="C44" s="47">
        <v>0</v>
      </c>
      <c r="D44" s="48">
        <v>34</v>
      </c>
      <c r="E44" s="49">
        <v>0</v>
      </c>
      <c r="F44" s="47">
        <v>0</v>
      </c>
      <c r="G44" s="47">
        <v>0</v>
      </c>
      <c r="H44" s="47">
        <v>0</v>
      </c>
    </row>
    <row r="45" spans="1:9" ht="14.1" customHeight="1" x14ac:dyDescent="0.2">
      <c r="A45" s="271" t="s">
        <v>137</v>
      </c>
      <c r="B45" s="292">
        <v>768</v>
      </c>
      <c r="C45" s="292">
        <v>0</v>
      </c>
      <c r="D45" s="295">
        <v>0</v>
      </c>
      <c r="E45" s="296">
        <v>664.5</v>
      </c>
      <c r="F45" s="292">
        <v>0</v>
      </c>
      <c r="G45" s="292">
        <v>259.5</v>
      </c>
      <c r="H45" s="292">
        <v>0</v>
      </c>
    </row>
    <row r="46" spans="1:9" ht="14.1" customHeight="1" x14ac:dyDescent="0.2">
      <c r="A46" s="15" t="s">
        <v>138</v>
      </c>
      <c r="B46" s="47">
        <v>22502.400000000001</v>
      </c>
      <c r="C46" s="47">
        <v>0</v>
      </c>
      <c r="D46" s="48">
        <v>1303</v>
      </c>
      <c r="E46" s="49">
        <v>3021.5</v>
      </c>
      <c r="F46" s="47">
        <v>0</v>
      </c>
      <c r="G46" s="47">
        <v>2487.5</v>
      </c>
      <c r="H46" s="47">
        <v>248</v>
      </c>
    </row>
    <row r="47" spans="1:9" ht="5.0999999999999996" customHeight="1" x14ac:dyDescent="0.2">
      <c r="A47"/>
      <c r="B47"/>
      <c r="C47"/>
      <c r="D47"/>
      <c r="E47"/>
      <c r="F47"/>
      <c r="G47"/>
      <c r="H47"/>
      <c r="I47"/>
    </row>
    <row r="48" spans="1:9" ht="14.1" customHeight="1" x14ac:dyDescent="0.2">
      <c r="A48" s="274" t="s">
        <v>139</v>
      </c>
      <c r="B48" s="293">
        <f>SUM(B11:B46)</f>
        <v>124341.5</v>
      </c>
      <c r="C48" s="293">
        <f t="shared" ref="C48:H48" si="0">SUM(C11:C46)</f>
        <v>5550</v>
      </c>
      <c r="D48" s="358">
        <f t="shared" si="0"/>
        <v>11715.7</v>
      </c>
      <c r="E48" s="357">
        <f t="shared" si="0"/>
        <v>18576</v>
      </c>
      <c r="F48" s="293">
        <f t="shared" si="0"/>
        <v>240</v>
      </c>
      <c r="G48" s="293">
        <f t="shared" si="0"/>
        <v>11386.2</v>
      </c>
      <c r="H48" s="293">
        <f t="shared" si="0"/>
        <v>1053</v>
      </c>
    </row>
    <row r="49" spans="1:9" ht="5.0999999999999996" customHeight="1" x14ac:dyDescent="0.2">
      <c r="A49" s="17" t="s">
        <v>1</v>
      </c>
      <c r="B49" s="50"/>
      <c r="C49" s="50"/>
      <c r="D49" s="50"/>
      <c r="E49" s="50"/>
      <c r="F49" s="50"/>
      <c r="G49" s="50"/>
      <c r="H49" s="50"/>
    </row>
    <row r="50" spans="1:9" ht="14.1" customHeight="1" x14ac:dyDescent="0.2">
      <c r="A50" s="15" t="s">
        <v>140</v>
      </c>
      <c r="B50" s="47">
        <v>162</v>
      </c>
      <c r="C50" s="47">
        <v>0</v>
      </c>
      <c r="D50" s="48">
        <v>0</v>
      </c>
      <c r="E50" s="49">
        <v>0</v>
      </c>
      <c r="F50" s="47">
        <v>0</v>
      </c>
      <c r="G50" s="47">
        <v>0</v>
      </c>
      <c r="H50" s="47">
        <v>0</v>
      </c>
    </row>
    <row r="51" spans="1:9" ht="14.1" customHeight="1" x14ac:dyDescent="0.2">
      <c r="A51" s="360" t="s">
        <v>516</v>
      </c>
      <c r="B51" s="292">
        <v>118.5</v>
      </c>
      <c r="C51" s="292">
        <v>0</v>
      </c>
      <c r="D51" s="295">
        <v>0</v>
      </c>
      <c r="E51" s="296">
        <v>0</v>
      </c>
      <c r="F51" s="292">
        <v>0</v>
      </c>
      <c r="G51" s="292">
        <v>0</v>
      </c>
      <c r="H51" s="292">
        <v>0</v>
      </c>
    </row>
    <row r="52" spans="1:9" ht="50.1" customHeight="1" x14ac:dyDescent="0.2">
      <c r="A52" s="19"/>
      <c r="B52" s="51"/>
      <c r="C52" s="51"/>
      <c r="D52" s="51"/>
      <c r="E52" s="51"/>
      <c r="F52" s="51"/>
      <c r="G52" s="51"/>
      <c r="H52" s="51"/>
      <c r="I52" s="46"/>
    </row>
    <row r="53" spans="1:9" ht="15" customHeight="1" x14ac:dyDescent="0.2">
      <c r="A53" s="46" t="s">
        <v>337</v>
      </c>
      <c r="C53" s="46"/>
      <c r="D53" s="46"/>
      <c r="E53" s="46"/>
      <c r="F53" s="46"/>
      <c r="G53" s="46"/>
      <c r="H53" s="46"/>
      <c r="I53" s="46"/>
    </row>
    <row r="54" spans="1:9" ht="12" customHeight="1" x14ac:dyDescent="0.2">
      <c r="A54" s="46" t="s">
        <v>338</v>
      </c>
      <c r="C54" s="46"/>
      <c r="D54" s="46"/>
      <c r="E54" s="46"/>
      <c r="F54" s="46"/>
      <c r="G54" s="46"/>
      <c r="H54" s="46"/>
      <c r="I54" s="46"/>
    </row>
    <row r="55" spans="1:9" ht="14.45" customHeight="1" x14ac:dyDescent="0.2"/>
    <row r="56" spans="1:9" ht="14.45" customHeight="1" x14ac:dyDescent="0.2"/>
    <row r="57" spans="1:9" ht="14.45" customHeight="1" x14ac:dyDescent="0.2"/>
    <row r="58" spans="1:9" ht="14.45" customHeight="1" x14ac:dyDescent="0.2"/>
    <row r="59" spans="1:9" ht="14.45" customHeight="1" x14ac:dyDescent="0.2"/>
  </sheetData>
  <mergeCells count="10">
    <mergeCell ref="H8:H9"/>
    <mergeCell ref="E7:H7"/>
    <mergeCell ref="B7:D7"/>
    <mergeCell ref="B6:H6"/>
    <mergeCell ref="B8:B9"/>
    <mergeCell ref="C8:C9"/>
    <mergeCell ref="D8:D9"/>
    <mergeCell ref="E8:E9"/>
    <mergeCell ref="F8:F9"/>
    <mergeCell ref="G8:G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BB59"/>
  <sheetViews>
    <sheetView showGridLines="0" showZeros="0" workbookViewId="0"/>
  </sheetViews>
  <sheetFormatPr defaultColWidth="15.83203125" defaultRowHeight="12" x14ac:dyDescent="0.2"/>
  <cols>
    <col min="1" max="1" width="35.83203125" style="1" customWidth="1"/>
    <col min="2" max="3" width="25.83203125" style="1" customWidth="1"/>
    <col min="4" max="4" width="45.83203125" style="1" customWidth="1"/>
    <col min="5" max="52" width="15.83203125" style="1"/>
    <col min="53" max="53" width="73.5" style="1" bestFit="1" customWidth="1"/>
    <col min="54" max="16384" width="15.83203125" style="1"/>
  </cols>
  <sheetData>
    <row r="1" spans="1:54" ht="6.95" customHeight="1" x14ac:dyDescent="0.2">
      <c r="A1" s="3"/>
    </row>
    <row r="2" spans="1:54" ht="17.100000000000001" customHeight="1" x14ac:dyDescent="0.2">
      <c r="A2" s="241"/>
      <c r="B2" s="242" t="s">
        <v>553</v>
      </c>
      <c r="C2" s="133"/>
      <c r="D2" s="141"/>
      <c r="BA2" s="131" t="s">
        <v>465</v>
      </c>
      <c r="BB2" s="1" t="s">
        <v>461</v>
      </c>
    </row>
    <row r="3" spans="1:54" ht="15" customHeight="1" x14ac:dyDescent="0.2">
      <c r="A3" s="243"/>
      <c r="B3" s="195" t="str">
        <f>IF(Lang=1,BA3,BB3)</f>
        <v xml:space="preserve">FOR THE 2017 TAXATION YEAR </v>
      </c>
      <c r="C3" s="144"/>
      <c r="D3" s="244"/>
      <c r="BA3" s="1" t="str">
        <f>"FOR THE "&amp;YEAR&amp;" TAXATION YEAR "</f>
        <v xml:space="preserve">FOR THE 2017 TAXATION YEAR </v>
      </c>
      <c r="BB3" s="131" t="s">
        <v>596</v>
      </c>
    </row>
    <row r="4" spans="1:54" ht="15.95" customHeight="1" x14ac:dyDescent="0.2">
      <c r="A4" s="131"/>
      <c r="B4" s="4"/>
      <c r="C4" s="55"/>
      <c r="BA4" s="1" t="s">
        <v>595</v>
      </c>
      <c r="BB4" s="1" t="s">
        <v>597</v>
      </c>
    </row>
    <row r="5" spans="1:54" ht="15.95" customHeight="1" x14ac:dyDescent="0.2">
      <c r="A5" s="1" t="str">
        <f>REPLACE(A4,5,5,"")</f>
        <v/>
      </c>
      <c r="B5" s="4"/>
      <c r="C5" s="4"/>
    </row>
    <row r="6" spans="1:54" ht="15.95" customHeight="1" x14ac:dyDescent="0.2">
      <c r="B6"/>
      <c r="C6"/>
    </row>
    <row r="7" spans="1:54" ht="15.95" customHeight="1" x14ac:dyDescent="0.2">
      <c r="B7" s="746" t="s">
        <v>463</v>
      </c>
      <c r="C7" s="476"/>
    </row>
    <row r="8" spans="1:54" ht="15.95" customHeight="1" x14ac:dyDescent="0.2">
      <c r="A8" s="249"/>
      <c r="B8" s="747"/>
      <c r="C8" s="749" t="s">
        <v>464</v>
      </c>
    </row>
    <row r="9" spans="1:54" ht="15.95" customHeight="1" x14ac:dyDescent="0.2">
      <c r="A9" s="250" t="s">
        <v>37</v>
      </c>
      <c r="B9" s="748"/>
      <c r="C9" s="750"/>
    </row>
    <row r="10" spans="1:54" ht="5.0999999999999996" customHeight="1" x14ac:dyDescent="0.2">
      <c r="A10" s="29"/>
      <c r="B10" s="182"/>
      <c r="C10" s="422">
        <v>1.0500000000000001E-2</v>
      </c>
    </row>
    <row r="11" spans="1:54" ht="14.1" customHeight="1" x14ac:dyDescent="0.2">
      <c r="A11" s="271" t="s">
        <v>104</v>
      </c>
      <c r="B11" s="272">
        <f>'- 47 -'!D11</f>
        <v>150835410</v>
      </c>
      <c r="C11" s="272">
        <f t="shared" ref="C11:C46" si="0">B11*C$10</f>
        <v>1583771.8050000002</v>
      </c>
    </row>
    <row r="12" spans="1:54" ht="14.1" customHeight="1" x14ac:dyDescent="0.2">
      <c r="A12" s="15" t="s">
        <v>105</v>
      </c>
      <c r="B12" s="16">
        <f>'- 47 -'!D12</f>
        <v>206168980</v>
      </c>
      <c r="C12" s="16">
        <f t="shared" si="0"/>
        <v>2164774.29</v>
      </c>
    </row>
    <row r="13" spans="1:54" ht="14.1" customHeight="1" x14ac:dyDescent="0.2">
      <c r="A13" s="271" t="s">
        <v>106</v>
      </c>
      <c r="B13" s="272">
        <f>'- 47 -'!D13</f>
        <v>905533120</v>
      </c>
      <c r="C13" s="272">
        <f t="shared" si="0"/>
        <v>9508097.7599999998</v>
      </c>
    </row>
    <row r="14" spans="1:54" ht="14.1" customHeight="1" x14ac:dyDescent="0.2">
      <c r="A14" s="15" t="s">
        <v>315</v>
      </c>
      <c r="B14" s="16">
        <f>'- 47 -'!D14</f>
        <v>0</v>
      </c>
      <c r="C14" s="16">
        <f t="shared" si="0"/>
        <v>0</v>
      </c>
    </row>
    <row r="15" spans="1:54" ht="14.1" customHeight="1" x14ac:dyDescent="0.2">
      <c r="A15" s="271" t="s">
        <v>107</v>
      </c>
      <c r="B15" s="272">
        <f>'- 47 -'!D15</f>
        <v>122537140</v>
      </c>
      <c r="C15" s="272">
        <f t="shared" si="0"/>
        <v>1286639.97</v>
      </c>
    </row>
    <row r="16" spans="1:54" ht="14.1" customHeight="1" x14ac:dyDescent="0.2">
      <c r="A16" s="15" t="s">
        <v>108</v>
      </c>
      <c r="B16" s="16">
        <f>'- 47 -'!D16</f>
        <v>35034770</v>
      </c>
      <c r="C16" s="16">
        <f t="shared" si="0"/>
        <v>367865.08500000002</v>
      </c>
    </row>
    <row r="17" spans="1:3" ht="14.1" customHeight="1" x14ac:dyDescent="0.2">
      <c r="A17" s="271" t="s">
        <v>109</v>
      </c>
      <c r="B17" s="272">
        <f>'- 47 -'!D17</f>
        <v>592361650</v>
      </c>
      <c r="C17" s="272">
        <f t="shared" si="0"/>
        <v>6219797.3250000002</v>
      </c>
    </row>
    <row r="18" spans="1:3" ht="14.1" customHeight="1" x14ac:dyDescent="0.2">
      <c r="A18" s="15" t="s">
        <v>110</v>
      </c>
      <c r="B18" s="16">
        <f>'- 47 -'!D18</f>
        <v>73759320</v>
      </c>
      <c r="C18" s="16">
        <f t="shared" si="0"/>
        <v>774472.8600000001</v>
      </c>
    </row>
    <row r="19" spans="1:3" ht="14.1" customHeight="1" x14ac:dyDescent="0.2">
      <c r="A19" s="271" t="s">
        <v>111</v>
      </c>
      <c r="B19" s="272">
        <f>'- 47 -'!D19</f>
        <v>307954040</v>
      </c>
      <c r="C19" s="272">
        <f t="shared" si="0"/>
        <v>3233517.4200000004</v>
      </c>
    </row>
    <row r="20" spans="1:3" ht="14.1" customHeight="1" x14ac:dyDescent="0.2">
      <c r="A20" s="15" t="s">
        <v>112</v>
      </c>
      <c r="B20" s="16">
        <f>'- 47 -'!D20</f>
        <v>416756990</v>
      </c>
      <c r="C20" s="16">
        <f t="shared" si="0"/>
        <v>4375948.3950000005</v>
      </c>
    </row>
    <row r="21" spans="1:3" ht="14.1" customHeight="1" x14ac:dyDescent="0.2">
      <c r="A21" s="271" t="s">
        <v>113</v>
      </c>
      <c r="B21" s="272">
        <f>'- 47 -'!D21</f>
        <v>277990420</v>
      </c>
      <c r="C21" s="272">
        <f t="shared" si="0"/>
        <v>2918899.41</v>
      </c>
    </row>
    <row r="22" spans="1:3" ht="14.1" customHeight="1" x14ac:dyDescent="0.2">
      <c r="A22" s="15" t="s">
        <v>114</v>
      </c>
      <c r="B22" s="16">
        <f>'- 47 -'!D22</f>
        <v>66771960</v>
      </c>
      <c r="C22" s="16">
        <f t="shared" si="0"/>
        <v>701105.58000000007</v>
      </c>
    </row>
    <row r="23" spans="1:3" ht="14.1" customHeight="1" x14ac:dyDescent="0.2">
      <c r="A23" s="271" t="s">
        <v>115</v>
      </c>
      <c r="B23" s="272">
        <f>'- 47 -'!D23</f>
        <v>33976370</v>
      </c>
      <c r="C23" s="272">
        <f t="shared" si="0"/>
        <v>356751.88500000001</v>
      </c>
    </row>
    <row r="24" spans="1:3" ht="14.1" customHeight="1" x14ac:dyDescent="0.2">
      <c r="A24" s="15" t="s">
        <v>116</v>
      </c>
      <c r="B24" s="16">
        <f>'- 47 -'!D24</f>
        <v>253050010</v>
      </c>
      <c r="C24" s="16">
        <f t="shared" si="0"/>
        <v>2657025.105</v>
      </c>
    </row>
    <row r="25" spans="1:3" ht="14.1" customHeight="1" x14ac:dyDescent="0.2">
      <c r="A25" s="271" t="s">
        <v>117</v>
      </c>
      <c r="B25" s="272">
        <f>'- 47 -'!D25</f>
        <v>1346983270</v>
      </c>
      <c r="C25" s="272">
        <f t="shared" si="0"/>
        <v>14143324.335000001</v>
      </c>
    </row>
    <row r="26" spans="1:3" ht="14.1" customHeight="1" x14ac:dyDescent="0.2">
      <c r="A26" s="15" t="s">
        <v>118</v>
      </c>
      <c r="B26" s="16">
        <f>'- 47 -'!D26</f>
        <v>139360080</v>
      </c>
      <c r="C26" s="16">
        <f t="shared" si="0"/>
        <v>1463280.84</v>
      </c>
    </row>
    <row r="27" spans="1:3" ht="14.1" customHeight="1" x14ac:dyDescent="0.2">
      <c r="A27" s="271" t="s">
        <v>119</v>
      </c>
      <c r="B27" s="272">
        <f>'- 47 -'!D27</f>
        <v>141679740</v>
      </c>
      <c r="C27" s="272">
        <f t="shared" si="0"/>
        <v>1487637.27</v>
      </c>
    </row>
    <row r="28" spans="1:3" ht="14.1" customHeight="1" x14ac:dyDescent="0.2">
      <c r="A28" s="15" t="s">
        <v>120</v>
      </c>
      <c r="B28" s="16">
        <f>'- 47 -'!D28</f>
        <v>196343170</v>
      </c>
      <c r="C28" s="16">
        <f t="shared" si="0"/>
        <v>2061603.2850000001</v>
      </c>
    </row>
    <row r="29" spans="1:3" ht="14.1" customHeight="1" x14ac:dyDescent="0.2">
      <c r="A29" s="271" t="s">
        <v>121</v>
      </c>
      <c r="B29" s="272">
        <f>'- 47 -'!D29</f>
        <v>1418113270</v>
      </c>
      <c r="C29" s="272">
        <f t="shared" si="0"/>
        <v>14890189.335000001</v>
      </c>
    </row>
    <row r="30" spans="1:3" ht="14.1" customHeight="1" x14ac:dyDescent="0.2">
      <c r="A30" s="15" t="s">
        <v>122</v>
      </c>
      <c r="B30" s="16">
        <f>'- 47 -'!D30</f>
        <v>104440780</v>
      </c>
      <c r="C30" s="16">
        <f t="shared" si="0"/>
        <v>1096628.1900000002</v>
      </c>
    </row>
    <row r="31" spans="1:3" ht="14.1" customHeight="1" x14ac:dyDescent="0.2">
      <c r="A31" s="271" t="s">
        <v>123</v>
      </c>
      <c r="B31" s="272">
        <f>'- 47 -'!D31</f>
        <v>354299980</v>
      </c>
      <c r="C31" s="272">
        <f t="shared" si="0"/>
        <v>3720149.79</v>
      </c>
    </row>
    <row r="32" spans="1:3" ht="14.1" customHeight="1" x14ac:dyDescent="0.2">
      <c r="A32" s="15" t="s">
        <v>124</v>
      </c>
      <c r="B32" s="16">
        <f>'- 47 -'!D32</f>
        <v>151347330</v>
      </c>
      <c r="C32" s="16">
        <f t="shared" si="0"/>
        <v>1589146.9650000001</v>
      </c>
    </row>
    <row r="33" spans="1:4" ht="14.1" customHeight="1" x14ac:dyDescent="0.2">
      <c r="A33" s="271" t="s">
        <v>125</v>
      </c>
      <c r="B33" s="272">
        <f>'- 47 -'!D33</f>
        <v>177767580</v>
      </c>
      <c r="C33" s="272">
        <f t="shared" si="0"/>
        <v>1866559.59</v>
      </c>
    </row>
    <row r="34" spans="1:4" ht="14.1" customHeight="1" x14ac:dyDescent="0.2">
      <c r="A34" s="15" t="s">
        <v>126</v>
      </c>
      <c r="B34" s="16">
        <f>'- 47 -'!D34</f>
        <v>281777360</v>
      </c>
      <c r="C34" s="16">
        <f t="shared" si="0"/>
        <v>2958662.2800000003</v>
      </c>
    </row>
    <row r="35" spans="1:4" ht="14.1" customHeight="1" x14ac:dyDescent="0.2">
      <c r="A35" s="271" t="s">
        <v>127</v>
      </c>
      <c r="B35" s="272">
        <f>'- 47 -'!D35</f>
        <v>1037017770</v>
      </c>
      <c r="C35" s="272">
        <f t="shared" si="0"/>
        <v>10888686.585000001</v>
      </c>
    </row>
    <row r="36" spans="1:4" ht="14.1" customHeight="1" x14ac:dyDescent="0.2">
      <c r="A36" s="15" t="s">
        <v>128</v>
      </c>
      <c r="B36" s="16">
        <f>'- 47 -'!D36</f>
        <v>178437850</v>
      </c>
      <c r="C36" s="16">
        <f t="shared" si="0"/>
        <v>1873597.425</v>
      </c>
    </row>
    <row r="37" spans="1:4" ht="14.1" customHeight="1" x14ac:dyDescent="0.2">
      <c r="A37" s="271" t="s">
        <v>129</v>
      </c>
      <c r="B37" s="272">
        <f>'- 47 -'!D37</f>
        <v>189819940</v>
      </c>
      <c r="C37" s="272">
        <f t="shared" si="0"/>
        <v>1993109.37</v>
      </c>
    </row>
    <row r="38" spans="1:4" ht="14.1" customHeight="1" x14ac:dyDescent="0.2">
      <c r="A38" s="15" t="s">
        <v>130</v>
      </c>
      <c r="B38" s="16">
        <f>'- 47 -'!D38</f>
        <v>377332040</v>
      </c>
      <c r="C38" s="16">
        <f t="shared" si="0"/>
        <v>3961986.4200000004</v>
      </c>
    </row>
    <row r="39" spans="1:4" ht="14.1" customHeight="1" x14ac:dyDescent="0.2">
      <c r="A39" s="271" t="s">
        <v>131</v>
      </c>
      <c r="B39" s="272">
        <f>'- 47 -'!D39</f>
        <v>403552910</v>
      </c>
      <c r="C39" s="272">
        <f t="shared" si="0"/>
        <v>4237305.5550000006</v>
      </c>
    </row>
    <row r="40" spans="1:4" ht="14.1" customHeight="1" x14ac:dyDescent="0.2">
      <c r="A40" s="15" t="s">
        <v>132</v>
      </c>
      <c r="B40" s="16">
        <f>'- 47 -'!D40</f>
        <v>1561926310</v>
      </c>
      <c r="C40" s="16">
        <f t="shared" si="0"/>
        <v>16400226.255000001</v>
      </c>
    </row>
    <row r="41" spans="1:4" ht="14.1" customHeight="1" x14ac:dyDescent="0.2">
      <c r="A41" s="271" t="s">
        <v>133</v>
      </c>
      <c r="B41" s="272">
        <f>'- 47 -'!D41</f>
        <v>443715340</v>
      </c>
      <c r="C41" s="272">
        <f t="shared" si="0"/>
        <v>4659011.07</v>
      </c>
    </row>
    <row r="42" spans="1:4" ht="14.1" customHeight="1" x14ac:dyDescent="0.2">
      <c r="A42" s="15" t="s">
        <v>134</v>
      </c>
      <c r="B42" s="16">
        <f>'- 47 -'!D42</f>
        <v>83217570</v>
      </c>
      <c r="C42" s="16">
        <f t="shared" si="0"/>
        <v>873784.4850000001</v>
      </c>
    </row>
    <row r="43" spans="1:4" ht="14.1" customHeight="1" x14ac:dyDescent="0.2">
      <c r="A43" s="271" t="s">
        <v>135</v>
      </c>
      <c r="B43" s="272">
        <f>'- 47 -'!D43</f>
        <v>65900690</v>
      </c>
      <c r="C43" s="272">
        <f t="shared" si="0"/>
        <v>691957.245</v>
      </c>
    </row>
    <row r="44" spans="1:4" ht="14.1" customHeight="1" x14ac:dyDescent="0.2">
      <c r="A44" s="15" t="s">
        <v>136</v>
      </c>
      <c r="B44" s="16">
        <f>'- 47 -'!D44</f>
        <v>13733610</v>
      </c>
      <c r="C44" s="16">
        <f t="shared" si="0"/>
        <v>144202.905</v>
      </c>
    </row>
    <row r="45" spans="1:4" ht="14.1" customHeight="1" x14ac:dyDescent="0.2">
      <c r="A45" s="271" t="s">
        <v>137</v>
      </c>
      <c r="B45" s="272">
        <f>'- 47 -'!D45</f>
        <v>100210140</v>
      </c>
      <c r="C45" s="272">
        <f t="shared" si="0"/>
        <v>1052206.47</v>
      </c>
    </row>
    <row r="46" spans="1:4" ht="14.1" customHeight="1" x14ac:dyDescent="0.2">
      <c r="A46" s="15" t="s">
        <v>138</v>
      </c>
      <c r="B46" s="16">
        <f>'- 47 -'!D46</f>
        <v>4703746830</v>
      </c>
      <c r="C46" s="16">
        <f t="shared" si="0"/>
        <v>49389341.715000004</v>
      </c>
      <c r="D46"/>
    </row>
    <row r="47" spans="1:4" ht="6" customHeight="1" x14ac:dyDescent="0.2">
      <c r="A47"/>
      <c r="B47"/>
      <c r="C47"/>
      <c r="D47"/>
    </row>
    <row r="48" spans="1:4" ht="14.1" customHeight="1" x14ac:dyDescent="0.2">
      <c r="A48" s="274" t="s">
        <v>143</v>
      </c>
      <c r="B48" s="275">
        <f>SUM(B11:B46)</f>
        <v>16913453740</v>
      </c>
      <c r="C48" s="275">
        <f>SUM(C11:C46)</f>
        <v>177591264.27000004</v>
      </c>
      <c r="D48"/>
    </row>
    <row r="49" spans="1:4" ht="6" customHeight="1" x14ac:dyDescent="0.2">
      <c r="A49" s="17"/>
      <c r="B49" s="18"/>
      <c r="C49" s="18"/>
      <c r="D49"/>
    </row>
    <row r="50" spans="1:4" ht="14.1" customHeight="1" x14ac:dyDescent="0.2">
      <c r="A50" s="15" t="s">
        <v>141</v>
      </c>
      <c r="B50" s="16">
        <f>'- 47 -'!D50</f>
        <v>4051520</v>
      </c>
      <c r="C50" s="16">
        <v>0</v>
      </c>
      <c r="D50"/>
    </row>
    <row r="51" spans="1:4" ht="14.1" customHeight="1" x14ac:dyDescent="0.2">
      <c r="A51" s="271" t="s">
        <v>142</v>
      </c>
      <c r="B51" s="272">
        <f>'- 47 -'!D51</f>
        <v>54039260</v>
      </c>
      <c r="C51" s="272">
        <f>B51*C$10</f>
        <v>567412.23</v>
      </c>
      <c r="D51"/>
    </row>
    <row r="52" spans="1:4" ht="6" customHeight="1" x14ac:dyDescent="0.2">
      <c r="A52" s="127"/>
      <c r="B52" s="140"/>
      <c r="C52" s="140"/>
      <c r="D52"/>
    </row>
    <row r="53" spans="1:4" ht="14.45" customHeight="1" x14ac:dyDescent="0.2">
      <c r="A53" s="274" t="s">
        <v>139</v>
      </c>
      <c r="B53" s="275">
        <f>SUM(B48,B50:B51)</f>
        <v>16971544520</v>
      </c>
      <c r="C53" s="275">
        <f>SUM(C48,C50:C51)</f>
        <v>178158676.50000003</v>
      </c>
      <c r="D53" s="428"/>
    </row>
    <row r="54" spans="1:4" ht="29.1" customHeight="1" x14ac:dyDescent="0.2">
      <c r="A54" s="245"/>
      <c r="B54" s="245"/>
      <c r="C54" s="245"/>
      <c r="D54" s="19"/>
    </row>
    <row r="55" spans="1:4" ht="14.45" customHeight="1" x14ac:dyDescent="0.2">
      <c r="A55" s="356" t="s">
        <v>583</v>
      </c>
      <c r="B55" s="31"/>
      <c r="C55" s="31"/>
      <c r="D55" s="31"/>
    </row>
    <row r="56" spans="1:4" ht="14.45" customHeight="1" x14ac:dyDescent="0.2">
      <c r="A56" s="20"/>
      <c r="B56" s="31"/>
      <c r="C56" s="31"/>
      <c r="D56" s="31"/>
    </row>
    <row r="57" spans="1:4" ht="14.45" customHeight="1" x14ac:dyDescent="0.2">
      <c r="A57" s="21"/>
      <c r="B57" s="31"/>
      <c r="C57" s="31"/>
      <c r="D57" s="31"/>
    </row>
    <row r="58" spans="1:4" ht="14.45" customHeight="1" x14ac:dyDescent="0.2">
      <c r="B58" s="90"/>
      <c r="C58" s="90"/>
    </row>
    <row r="59" spans="1:4" ht="14.45" customHeight="1" x14ac:dyDescent="0.2"/>
  </sheetData>
  <mergeCells count="2">
    <mergeCell ref="B7:B9"/>
    <mergeCell ref="C8:C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BB57"/>
  <sheetViews>
    <sheetView showGridLines="0" showZeros="0" workbookViewId="0">
      <selection activeCell="K5" sqref="K5"/>
    </sheetView>
  </sheetViews>
  <sheetFormatPr defaultColWidth="15.83203125" defaultRowHeight="12" x14ac:dyDescent="0.2"/>
  <cols>
    <col min="1" max="1" width="30.83203125" style="1" customWidth="1"/>
    <col min="2" max="2" width="18.83203125" style="1" customWidth="1"/>
    <col min="3" max="3" width="15.83203125" style="1"/>
    <col min="4" max="4" width="16.83203125" style="1" customWidth="1"/>
    <col min="5" max="5" width="17.83203125" style="1" customWidth="1"/>
    <col min="6" max="6" width="15.83203125" style="1"/>
    <col min="7" max="7" width="16" style="1" customWidth="1"/>
    <col min="8" max="8" width="15.83203125" style="1"/>
    <col min="9" max="9" width="21" style="1" customWidth="1"/>
    <col min="10" max="16384" width="15.83203125" style="1"/>
  </cols>
  <sheetData>
    <row r="1" spans="1:54" ht="6.95" customHeight="1" x14ac:dyDescent="0.2">
      <c r="A1" s="3"/>
    </row>
    <row r="2" spans="1:54" ht="15.95" customHeight="1" x14ac:dyDescent="0.2">
      <c r="A2" s="193" t="str">
        <f>IF(Lang=1,BA2,BB2)</f>
        <v>TOTAL PORTIONED ASSESSMENT, SPECIAL LEVY AND MILL RATES</v>
      </c>
      <c r="B2" s="194"/>
      <c r="C2" s="194"/>
      <c r="D2" s="194"/>
      <c r="E2" s="194"/>
      <c r="F2" s="194"/>
      <c r="G2" s="194"/>
      <c r="BA2" s="456" t="s">
        <v>43</v>
      </c>
      <c r="BB2" s="456" t="s">
        <v>470</v>
      </c>
    </row>
    <row r="3" spans="1:54" ht="15.95" customHeight="1" x14ac:dyDescent="0.2">
      <c r="A3" s="195" t="str">
        <f>TAXYEAR</f>
        <v xml:space="preserve">FOR THE 2017 TAXATION YEAR </v>
      </c>
      <c r="B3" s="196"/>
      <c r="C3" s="196"/>
      <c r="D3" s="196"/>
      <c r="E3" s="197"/>
      <c r="F3" s="197"/>
      <c r="G3" s="196"/>
    </row>
    <row r="4" spans="1:54" ht="15.95" customHeight="1" x14ac:dyDescent="0.2">
      <c r="B4" s="4"/>
      <c r="C4" s="4"/>
      <c r="D4" s="4"/>
      <c r="E4" s="55"/>
      <c r="F4" s="55"/>
      <c r="G4" s="55"/>
    </row>
    <row r="5" spans="1:54" ht="15.95" customHeight="1" x14ac:dyDescent="0.2">
      <c r="B5" s="4"/>
      <c r="C5" s="4"/>
      <c r="D5" s="4"/>
      <c r="E5" s="4"/>
      <c r="F5" s="4"/>
      <c r="G5" s="4"/>
    </row>
    <row r="6" spans="1:54" ht="15.95" customHeight="1" x14ac:dyDescent="0.2">
      <c r="B6" s="754" t="s">
        <v>295</v>
      </c>
      <c r="C6" s="715"/>
      <c r="D6" s="715"/>
      <c r="E6" s="716"/>
      <c r="F6" s="4"/>
      <c r="G6" s="4"/>
      <c r="H6" s="128" t="s">
        <v>54</v>
      </c>
    </row>
    <row r="7" spans="1:54" ht="15.95" customHeight="1" x14ac:dyDescent="0.2">
      <c r="B7" s="755" t="s">
        <v>466</v>
      </c>
      <c r="C7" s="755" t="s">
        <v>467</v>
      </c>
      <c r="D7" s="318"/>
      <c r="E7" s="284"/>
      <c r="F7" s="317"/>
      <c r="G7" s="743" t="s">
        <v>469</v>
      </c>
      <c r="H7" s="128" t="s">
        <v>53</v>
      </c>
    </row>
    <row r="8" spans="1:54" ht="15.95" customHeight="1" x14ac:dyDescent="0.2">
      <c r="A8" s="24"/>
      <c r="B8" s="756"/>
      <c r="C8" s="758"/>
      <c r="D8" s="320" t="s">
        <v>1</v>
      </c>
      <c r="E8" s="321"/>
      <c r="F8" s="744" t="s">
        <v>468</v>
      </c>
      <c r="G8" s="723"/>
      <c r="H8" s="128" t="s">
        <v>95</v>
      </c>
    </row>
    <row r="9" spans="1:54" ht="15.95" customHeight="1" x14ac:dyDescent="0.2">
      <c r="A9" s="198" t="s">
        <v>37</v>
      </c>
      <c r="B9" s="757"/>
      <c r="C9" s="759"/>
      <c r="D9" s="319" t="s">
        <v>58</v>
      </c>
      <c r="E9" s="285" t="s">
        <v>25</v>
      </c>
      <c r="F9" s="607"/>
      <c r="G9" s="607"/>
      <c r="H9" s="128" t="s">
        <v>96</v>
      </c>
    </row>
    <row r="10" spans="1:54" ht="5.0999999999999996" customHeight="1" x14ac:dyDescent="0.2">
      <c r="A10" s="14"/>
      <c r="B10" s="182"/>
      <c r="C10" s="3"/>
      <c r="D10" s="182"/>
      <c r="E10" s="182"/>
      <c r="F10" s="3"/>
      <c r="G10" s="3"/>
    </row>
    <row r="11" spans="1:54" ht="14.1" customHeight="1" x14ac:dyDescent="0.2">
      <c r="A11" s="271" t="s">
        <v>104</v>
      </c>
      <c r="B11" s="272">
        <v>301205100</v>
      </c>
      <c r="C11" s="272">
        <v>272297530</v>
      </c>
      <c r="D11" s="272">
        <v>150835410</v>
      </c>
      <c r="E11" s="272">
        <v>724338040</v>
      </c>
      <c r="F11" s="272">
        <f>'- 50 -'!C11</f>
        <v>8610948</v>
      </c>
      <c r="G11" s="273">
        <f t="shared" ref="G11:G46" si="0">F11/E11*1000</f>
        <v>11.888023994984442</v>
      </c>
      <c r="I11" s="192"/>
      <c r="J11" s="199"/>
      <c r="K11" s="1">
        <f>F11-'- 50 -'!C11</f>
        <v>0</v>
      </c>
    </row>
    <row r="12" spans="1:54" ht="14.1" customHeight="1" x14ac:dyDescent="0.2">
      <c r="A12" s="15" t="s">
        <v>105</v>
      </c>
      <c r="B12" s="16">
        <v>340048670</v>
      </c>
      <c r="C12" s="16">
        <v>360715230</v>
      </c>
      <c r="D12" s="16">
        <v>206168980</v>
      </c>
      <c r="E12" s="16">
        <v>906932880</v>
      </c>
      <c r="F12" s="16">
        <f>'- 50 -'!C12</f>
        <v>15324712</v>
      </c>
      <c r="G12" s="267">
        <f t="shared" si="0"/>
        <v>16.89729453848889</v>
      </c>
      <c r="I12" s="192"/>
      <c r="J12" s="199"/>
      <c r="K12" s="79">
        <f>F12-'- 50 -'!C12</f>
        <v>0</v>
      </c>
    </row>
    <row r="13" spans="1:54" ht="14.1" customHeight="1" x14ac:dyDescent="0.2">
      <c r="A13" s="271" t="s">
        <v>106</v>
      </c>
      <c r="B13" s="272">
        <v>2098790440</v>
      </c>
      <c r="C13" s="272">
        <v>87250490</v>
      </c>
      <c r="D13" s="272">
        <v>905533120</v>
      </c>
      <c r="E13" s="272">
        <v>3091574050</v>
      </c>
      <c r="F13" s="272">
        <f>'- 50 -'!C13</f>
        <v>46094010</v>
      </c>
      <c r="G13" s="273">
        <f t="shared" si="0"/>
        <v>14.909560390442531</v>
      </c>
      <c r="I13" s="192"/>
      <c r="J13" s="199"/>
      <c r="K13" s="1">
        <f>F13-'- 50 -'!C13</f>
        <v>0</v>
      </c>
    </row>
    <row r="14" spans="1:54" ht="14.1" customHeight="1" x14ac:dyDescent="0.2">
      <c r="A14" s="15" t="s">
        <v>315</v>
      </c>
      <c r="B14" s="16"/>
      <c r="C14" s="16"/>
      <c r="D14" s="16"/>
      <c r="E14" s="16"/>
      <c r="F14" s="16">
        <f>'- 50 -'!C14</f>
        <v>0</v>
      </c>
      <c r="G14" s="267"/>
      <c r="I14" s="192"/>
      <c r="J14" s="199"/>
      <c r="K14" s="1">
        <f>F14-'- 50 -'!C14</f>
        <v>0</v>
      </c>
      <c r="L14" s="442"/>
    </row>
    <row r="15" spans="1:54" ht="14.1" customHeight="1" x14ac:dyDescent="0.2">
      <c r="A15" s="271" t="s">
        <v>107</v>
      </c>
      <c r="B15" s="272">
        <v>743717650</v>
      </c>
      <c r="C15" s="272">
        <v>94505200</v>
      </c>
      <c r="D15" s="272">
        <v>122537140</v>
      </c>
      <c r="E15" s="272">
        <v>960759990</v>
      </c>
      <c r="F15" s="272">
        <f>'- 50 -'!C15</f>
        <v>10514967</v>
      </c>
      <c r="G15" s="273">
        <f t="shared" si="0"/>
        <v>10.944426401436637</v>
      </c>
      <c r="I15" s="192"/>
      <c r="J15" s="199"/>
      <c r="K15" s="1">
        <f>F15-'- 50 -'!C15</f>
        <v>0</v>
      </c>
    </row>
    <row r="16" spans="1:54" ht="14.1" customHeight="1" x14ac:dyDescent="0.25">
      <c r="A16" s="15" t="s">
        <v>108</v>
      </c>
      <c r="B16" s="16">
        <v>100628070</v>
      </c>
      <c r="C16" s="16">
        <v>0</v>
      </c>
      <c r="D16" s="16">
        <v>35034770</v>
      </c>
      <c r="E16" s="16">
        <v>135662840</v>
      </c>
      <c r="F16" s="16">
        <f>'- 50 -'!C16</f>
        <v>4321000</v>
      </c>
      <c r="G16" s="267">
        <f>(F16-H16)/E16*1000</f>
        <v>20.706451376073211</v>
      </c>
      <c r="H16" s="373">
        <v>1511904</v>
      </c>
      <c r="I16" s="192"/>
      <c r="J16" s="199"/>
      <c r="K16" s="1">
        <f>F16-'- 50 -'!C16</f>
        <v>0</v>
      </c>
      <c r="L16" s="518"/>
    </row>
    <row r="17" spans="1:11" ht="14.1" customHeight="1" x14ac:dyDescent="0.2">
      <c r="A17" s="271" t="s">
        <v>109</v>
      </c>
      <c r="B17" s="272">
        <v>338627810</v>
      </c>
      <c r="C17" s="272">
        <v>205997420</v>
      </c>
      <c r="D17" s="272">
        <v>592361650</v>
      </c>
      <c r="E17" s="272">
        <v>1136986880</v>
      </c>
      <c r="F17" s="272">
        <f>'- 50 -'!C17</f>
        <v>8981853</v>
      </c>
      <c r="G17" s="273">
        <f t="shared" si="0"/>
        <v>7.8996980158645282</v>
      </c>
      <c r="I17" s="192"/>
      <c r="J17" s="199"/>
      <c r="K17" s="1">
        <f>F17-'- 50 -'!C17</f>
        <v>0</v>
      </c>
    </row>
    <row r="18" spans="1:11" ht="14.1" customHeight="1" x14ac:dyDescent="0.2">
      <c r="A18" s="15" t="s">
        <v>110</v>
      </c>
      <c r="B18" s="16">
        <v>147623770</v>
      </c>
      <c r="C18" s="16">
        <v>21980550</v>
      </c>
      <c r="D18" s="16">
        <v>73759320</v>
      </c>
      <c r="E18" s="16">
        <v>243363640</v>
      </c>
      <c r="F18" s="16">
        <f>'- 50 -'!C18</f>
        <v>3285408</v>
      </c>
      <c r="G18" s="267">
        <f t="shared" si="0"/>
        <v>13.499995315651919</v>
      </c>
      <c r="I18" s="192"/>
      <c r="J18" s="199"/>
      <c r="K18" s="1">
        <f>F18-'- 50 -'!C18</f>
        <v>0</v>
      </c>
    </row>
    <row r="19" spans="1:11" ht="14.1" customHeight="1" x14ac:dyDescent="0.2">
      <c r="A19" s="271" t="s">
        <v>111</v>
      </c>
      <c r="B19" s="272">
        <v>617217370</v>
      </c>
      <c r="C19" s="272">
        <v>229378180</v>
      </c>
      <c r="D19" s="272">
        <v>307954040</v>
      </c>
      <c r="E19" s="272">
        <v>1154549590</v>
      </c>
      <c r="F19" s="272">
        <f>'- 50 -'!C19</f>
        <v>18462195</v>
      </c>
      <c r="G19" s="273">
        <f t="shared" si="0"/>
        <v>15.990820281699635</v>
      </c>
      <c r="I19" s="192"/>
      <c r="J19" s="199"/>
      <c r="K19" s="1">
        <f>F19-'- 50 -'!C19</f>
        <v>0</v>
      </c>
    </row>
    <row r="20" spans="1:11" ht="14.1" customHeight="1" x14ac:dyDescent="0.2">
      <c r="A20" s="15" t="s">
        <v>112</v>
      </c>
      <c r="B20" s="16">
        <v>1505831540</v>
      </c>
      <c r="C20" s="16">
        <v>201627580</v>
      </c>
      <c r="D20" s="16">
        <v>416756990</v>
      </c>
      <c r="E20" s="16">
        <v>2124216110</v>
      </c>
      <c r="F20" s="16">
        <f>'- 50 -'!C20</f>
        <v>32488924</v>
      </c>
      <c r="G20" s="267">
        <f t="shared" si="0"/>
        <v>15.294547408361383</v>
      </c>
      <c r="I20" s="192"/>
      <c r="J20" s="199"/>
      <c r="K20" s="1">
        <f>F20-'- 50 -'!C20</f>
        <v>0</v>
      </c>
    </row>
    <row r="21" spans="1:11" ht="14.1" customHeight="1" x14ac:dyDescent="0.2">
      <c r="A21" s="271" t="s">
        <v>113</v>
      </c>
      <c r="B21" s="272">
        <v>823354360</v>
      </c>
      <c r="C21" s="272">
        <v>214294410</v>
      </c>
      <c r="D21" s="272">
        <v>277990420</v>
      </c>
      <c r="E21" s="272">
        <v>1315639190</v>
      </c>
      <c r="F21" s="272">
        <f>'- 50 -'!C21</f>
        <v>18067169</v>
      </c>
      <c r="G21" s="273">
        <f>F21/E21*1000</f>
        <v>13.732616919080982</v>
      </c>
      <c r="I21" s="192"/>
      <c r="J21" s="199"/>
      <c r="K21" s="1">
        <f>F21-'- 50 -'!C21</f>
        <v>0</v>
      </c>
    </row>
    <row r="22" spans="1:11" ht="14.1" customHeight="1" x14ac:dyDescent="0.2">
      <c r="A22" s="15" t="s">
        <v>114</v>
      </c>
      <c r="B22" s="16">
        <v>177570810</v>
      </c>
      <c r="C22" s="16">
        <v>18739770</v>
      </c>
      <c r="D22" s="16">
        <v>66771960</v>
      </c>
      <c r="E22" s="16">
        <v>263082540</v>
      </c>
      <c r="F22" s="16">
        <f>'- 50 -'!C22</f>
        <v>4556896</v>
      </c>
      <c r="G22" s="267">
        <f t="shared" si="0"/>
        <v>17.321164680864037</v>
      </c>
      <c r="I22" s="192"/>
      <c r="J22" s="199"/>
      <c r="K22" s="1">
        <f>F22-'- 50 -'!C22</f>
        <v>0</v>
      </c>
    </row>
    <row r="23" spans="1:11" ht="14.1" customHeight="1" x14ac:dyDescent="0.2">
      <c r="A23" s="271" t="s">
        <v>115</v>
      </c>
      <c r="B23" s="272">
        <v>152242370</v>
      </c>
      <c r="C23" s="272">
        <v>102365170</v>
      </c>
      <c r="D23" s="272">
        <v>33976370</v>
      </c>
      <c r="E23" s="272">
        <v>288583910</v>
      </c>
      <c r="F23" s="272">
        <f>'- 50 -'!C23</f>
        <v>4673643</v>
      </c>
      <c r="G23" s="273">
        <f t="shared" si="0"/>
        <v>16.195092096437396</v>
      </c>
      <c r="H23" s="201"/>
      <c r="I23" s="192"/>
      <c r="J23" s="199"/>
    </row>
    <row r="24" spans="1:11" ht="14.1" customHeight="1" x14ac:dyDescent="0.2">
      <c r="A24" s="15" t="s">
        <v>116</v>
      </c>
      <c r="B24" s="16">
        <v>1736431580</v>
      </c>
      <c r="C24" s="16">
        <v>71879240</v>
      </c>
      <c r="D24" s="16">
        <v>253050010</v>
      </c>
      <c r="E24" s="16">
        <v>2061360830</v>
      </c>
      <c r="F24" s="16">
        <f>'- 50 -'!C24</f>
        <v>29489846</v>
      </c>
      <c r="G24" s="267">
        <f t="shared" si="0"/>
        <v>14.306008715611425</v>
      </c>
      <c r="I24" s="192"/>
      <c r="J24" s="199"/>
      <c r="K24" s="1">
        <f>F24-'- 50 -'!C24</f>
        <v>0</v>
      </c>
    </row>
    <row r="25" spans="1:11" ht="14.1" customHeight="1" x14ac:dyDescent="0.2">
      <c r="A25" s="271" t="s">
        <v>117</v>
      </c>
      <c r="B25" s="272">
        <v>6311707410</v>
      </c>
      <c r="C25" s="272">
        <v>18601210</v>
      </c>
      <c r="D25" s="272">
        <v>1346983270</v>
      </c>
      <c r="E25" s="272">
        <v>7677291890</v>
      </c>
      <c r="F25" s="272">
        <f>'- 50 -'!C25</f>
        <v>101802642</v>
      </c>
      <c r="G25" s="273">
        <f t="shared" si="0"/>
        <v>13.260228145370151</v>
      </c>
      <c r="I25" s="192"/>
      <c r="J25" s="199"/>
      <c r="K25" s="1">
        <f>F25-'- 50 -'!C25</f>
        <v>0</v>
      </c>
    </row>
    <row r="26" spans="1:11" ht="14.1" customHeight="1" x14ac:dyDescent="0.2">
      <c r="A26" s="15" t="s">
        <v>118</v>
      </c>
      <c r="B26" s="16">
        <v>531421480</v>
      </c>
      <c r="C26" s="16">
        <v>345821860</v>
      </c>
      <c r="D26" s="16">
        <v>139360080</v>
      </c>
      <c r="E26" s="16">
        <v>1016603420</v>
      </c>
      <c r="F26" s="16">
        <f>'- 50 -'!C26</f>
        <v>15911516</v>
      </c>
      <c r="G26" s="267">
        <f t="shared" si="0"/>
        <v>15.651645161689501</v>
      </c>
      <c r="I26" s="192"/>
      <c r="J26" s="199"/>
      <c r="K26" s="1">
        <f>F26-'- 50 -'!C26</f>
        <v>0</v>
      </c>
    </row>
    <row r="27" spans="1:11" ht="14.1" customHeight="1" x14ac:dyDescent="0.2">
      <c r="A27" s="271" t="s">
        <v>119</v>
      </c>
      <c r="B27" s="272">
        <v>326511260</v>
      </c>
      <c r="C27" s="272">
        <v>0</v>
      </c>
      <c r="D27" s="272">
        <v>141679740</v>
      </c>
      <c r="E27" s="272">
        <v>468191000</v>
      </c>
      <c r="F27" s="272">
        <f>'- 50 -'!C27</f>
        <v>8697977</v>
      </c>
      <c r="G27" s="273">
        <f t="shared" si="0"/>
        <v>18.577838958886439</v>
      </c>
      <c r="I27" s="192"/>
      <c r="J27" s="199"/>
      <c r="K27" s="1">
        <f>F27-'- 50 -'!C27</f>
        <v>0</v>
      </c>
    </row>
    <row r="28" spans="1:11" ht="14.1" customHeight="1" x14ac:dyDescent="0.2">
      <c r="A28" s="15" t="s">
        <v>120</v>
      </c>
      <c r="B28" s="16">
        <v>271180310</v>
      </c>
      <c r="C28" s="16">
        <v>378020910</v>
      </c>
      <c r="D28" s="16">
        <v>196343170</v>
      </c>
      <c r="E28" s="16">
        <v>845544390</v>
      </c>
      <c r="F28" s="16">
        <f>'- 50 -'!C28</f>
        <v>9546022</v>
      </c>
      <c r="G28" s="267">
        <f t="shared" si="0"/>
        <v>11.28979402252317</v>
      </c>
      <c r="I28" s="192"/>
      <c r="J28" s="199"/>
      <c r="K28" s="1">
        <f>F28-'- 50 -'!C28</f>
        <v>0</v>
      </c>
    </row>
    <row r="29" spans="1:11" ht="14.1" customHeight="1" x14ac:dyDescent="0.2">
      <c r="A29" s="271" t="s">
        <v>121</v>
      </c>
      <c r="B29" s="272">
        <v>6551061520</v>
      </c>
      <c r="C29" s="272">
        <v>19642580</v>
      </c>
      <c r="D29" s="272">
        <v>1418113270</v>
      </c>
      <c r="E29" s="272">
        <v>7988817370</v>
      </c>
      <c r="F29" s="272">
        <f>'- 50 -'!C29</f>
        <v>99724027</v>
      </c>
      <c r="G29" s="273">
        <f t="shared" si="0"/>
        <v>12.482952404756249</v>
      </c>
      <c r="I29" s="192"/>
      <c r="J29" s="199"/>
    </row>
    <row r="30" spans="1:11" ht="14.1" customHeight="1" x14ac:dyDescent="0.2">
      <c r="A30" s="15" t="s">
        <v>122</v>
      </c>
      <c r="B30" s="16">
        <v>155252300</v>
      </c>
      <c r="C30" s="16">
        <v>222142980</v>
      </c>
      <c r="D30" s="16">
        <v>104440780</v>
      </c>
      <c r="E30" s="16">
        <v>481836060</v>
      </c>
      <c r="F30" s="16">
        <f>'- 50 -'!C30</f>
        <v>7134467</v>
      </c>
      <c r="G30" s="267">
        <f>F30/E30*1000</f>
        <v>14.806834922234753</v>
      </c>
      <c r="I30" s="192"/>
      <c r="J30" s="199"/>
      <c r="K30" s="1">
        <f>F30-'- 50 -'!C30</f>
        <v>0</v>
      </c>
    </row>
    <row r="31" spans="1:11" ht="14.1" customHeight="1" x14ac:dyDescent="0.2">
      <c r="A31" s="271" t="s">
        <v>123</v>
      </c>
      <c r="B31" s="272">
        <v>593616310</v>
      </c>
      <c r="C31" s="272">
        <v>325958990</v>
      </c>
      <c r="D31" s="272">
        <v>354299980</v>
      </c>
      <c r="E31" s="272">
        <v>1273875280</v>
      </c>
      <c r="F31" s="272">
        <f>'- 50 -'!C31</f>
        <v>17700497</v>
      </c>
      <c r="G31" s="273">
        <f>F31/E31*1000</f>
        <v>13.894999987753902</v>
      </c>
      <c r="I31" s="192"/>
      <c r="J31" s="199"/>
      <c r="K31" s="1">
        <f>F31-'- 50 -'!C31</f>
        <v>0</v>
      </c>
    </row>
    <row r="32" spans="1:11" ht="14.1" customHeight="1" x14ac:dyDescent="0.2">
      <c r="A32" s="15" t="s">
        <v>124</v>
      </c>
      <c r="B32" s="16">
        <v>513127170</v>
      </c>
      <c r="C32" s="16">
        <v>663475790</v>
      </c>
      <c r="D32" s="16">
        <v>151347330</v>
      </c>
      <c r="E32" s="16">
        <v>1327950290</v>
      </c>
      <c r="F32" s="16">
        <f>'- 50 -'!C32</f>
        <v>16432502</v>
      </c>
      <c r="G32" s="267">
        <f t="shared" si="0"/>
        <v>12.374335186899202</v>
      </c>
      <c r="I32" s="192"/>
      <c r="J32" s="199"/>
      <c r="K32" s="1">
        <f>F32-'- 50 -'!C32</f>
        <v>0</v>
      </c>
    </row>
    <row r="33" spans="1:11" ht="14.1" customHeight="1" x14ac:dyDescent="0.2">
      <c r="A33" s="271" t="s">
        <v>125</v>
      </c>
      <c r="B33" s="272">
        <v>326750850</v>
      </c>
      <c r="C33" s="272">
        <v>801850730</v>
      </c>
      <c r="D33" s="272">
        <v>177767580</v>
      </c>
      <c r="E33" s="272">
        <v>1306369160</v>
      </c>
      <c r="F33" s="272">
        <f>'- 50 -'!C33</f>
        <v>14154719</v>
      </c>
      <c r="G33" s="273">
        <f t="shared" si="0"/>
        <v>10.83516010129939</v>
      </c>
      <c r="I33" s="192"/>
      <c r="J33" s="199"/>
      <c r="K33" s="1">
        <f>F33-'- 50 -'!C33</f>
        <v>0</v>
      </c>
    </row>
    <row r="34" spans="1:11" ht="14.1" customHeight="1" x14ac:dyDescent="0.2">
      <c r="A34" s="15" t="s">
        <v>126</v>
      </c>
      <c r="B34" s="16">
        <v>533458880</v>
      </c>
      <c r="C34" s="16">
        <v>573224520</v>
      </c>
      <c r="D34" s="16">
        <v>281777360</v>
      </c>
      <c r="E34" s="16">
        <v>1388460760</v>
      </c>
      <c r="F34" s="16">
        <f>'- 50 -'!C34</f>
        <v>19529446</v>
      </c>
      <c r="G34" s="267">
        <f t="shared" si="0"/>
        <v>14.065536861120943</v>
      </c>
      <c r="I34" s="192"/>
      <c r="J34" s="199"/>
      <c r="K34" s="1">
        <f>F34-'- 50 -'!C34</f>
        <v>0</v>
      </c>
    </row>
    <row r="35" spans="1:11" ht="14.1" customHeight="1" x14ac:dyDescent="0.2">
      <c r="A35" s="271" t="s">
        <v>127</v>
      </c>
      <c r="B35" s="272">
        <v>5528699790</v>
      </c>
      <c r="C35" s="272">
        <v>15927540</v>
      </c>
      <c r="D35" s="272">
        <v>1037017770</v>
      </c>
      <c r="E35" s="272">
        <v>6581645100</v>
      </c>
      <c r="F35" s="272">
        <f>'- 50 -'!C35</f>
        <v>87930470</v>
      </c>
      <c r="G35" s="273">
        <f t="shared" si="0"/>
        <v>13.359953121750669</v>
      </c>
      <c r="I35" s="192"/>
      <c r="J35" s="199"/>
      <c r="K35" s="1">
        <f>F35-'- 50 -'!C35</f>
        <v>0</v>
      </c>
    </row>
    <row r="36" spans="1:11" ht="14.1" customHeight="1" x14ac:dyDescent="0.2">
      <c r="A36" s="15" t="s">
        <v>128</v>
      </c>
      <c r="B36" s="16">
        <v>495108220</v>
      </c>
      <c r="C36" s="16">
        <v>267593190</v>
      </c>
      <c r="D36" s="16">
        <v>178437850</v>
      </c>
      <c r="E36" s="16">
        <v>941139260</v>
      </c>
      <c r="F36" s="16">
        <f>'- 50 -'!C36</f>
        <v>11264962</v>
      </c>
      <c r="G36" s="267">
        <f t="shared" si="0"/>
        <v>11.969495353960687</v>
      </c>
      <c r="I36" s="192"/>
      <c r="J36" s="199"/>
      <c r="K36" s="1">
        <f>F36-'- 50 -'!C36</f>
        <v>0</v>
      </c>
    </row>
    <row r="37" spans="1:11" ht="14.1" customHeight="1" x14ac:dyDescent="0.2">
      <c r="A37" s="271" t="s">
        <v>129</v>
      </c>
      <c r="B37" s="272">
        <v>1408967290</v>
      </c>
      <c r="C37" s="272">
        <v>140742980</v>
      </c>
      <c r="D37" s="272">
        <v>189819940</v>
      </c>
      <c r="E37" s="272">
        <v>1739530210</v>
      </c>
      <c r="F37" s="272">
        <f>'- 50 -'!C37</f>
        <v>25142378</v>
      </c>
      <c r="G37" s="273">
        <f t="shared" si="0"/>
        <v>14.453544902793038</v>
      </c>
      <c r="I37" s="192"/>
      <c r="J37" s="199"/>
      <c r="K37" s="1">
        <f>F37-'- 50 -'!C37</f>
        <v>0</v>
      </c>
    </row>
    <row r="38" spans="1:11" ht="14.1" customHeight="1" x14ac:dyDescent="0.2">
      <c r="A38" s="15" t="s">
        <v>130</v>
      </c>
      <c r="B38" s="16">
        <v>2965398160</v>
      </c>
      <c r="C38" s="16">
        <v>14599470</v>
      </c>
      <c r="D38" s="16">
        <v>377332040</v>
      </c>
      <c r="E38" s="16">
        <v>3357329670</v>
      </c>
      <c r="F38" s="16">
        <f>'- 50 -'!C38</f>
        <v>54267290</v>
      </c>
      <c r="G38" s="267">
        <f t="shared" si="0"/>
        <v>16.163825222442334</v>
      </c>
      <c r="I38" s="192"/>
      <c r="J38" s="199"/>
      <c r="K38" s="1">
        <f>F38-'- 50 -'!C38</f>
        <v>0</v>
      </c>
    </row>
    <row r="39" spans="1:11" ht="14.1" customHeight="1" x14ac:dyDescent="0.2">
      <c r="A39" s="271" t="s">
        <v>131</v>
      </c>
      <c r="B39" s="272">
        <v>337294500</v>
      </c>
      <c r="C39" s="272">
        <v>472667330</v>
      </c>
      <c r="D39" s="272">
        <v>403552910</v>
      </c>
      <c r="E39" s="272">
        <v>1213514740</v>
      </c>
      <c r="F39" s="272">
        <f>'- 50 -'!C39</f>
        <v>12805476</v>
      </c>
      <c r="G39" s="273">
        <f t="shared" si="0"/>
        <v>10.552386038590681</v>
      </c>
      <c r="I39" s="192"/>
      <c r="J39" s="199"/>
      <c r="K39" s="1">
        <f>F39-'- 50 -'!C39</f>
        <v>0</v>
      </c>
    </row>
    <row r="40" spans="1:11" ht="14.1" customHeight="1" x14ac:dyDescent="0.2">
      <c r="A40" s="15" t="s">
        <v>132</v>
      </c>
      <c r="B40" s="16">
        <v>2966910130</v>
      </c>
      <c r="C40" s="16">
        <v>21843300</v>
      </c>
      <c r="D40" s="16">
        <v>1561926310</v>
      </c>
      <c r="E40" s="16">
        <v>4550679740</v>
      </c>
      <c r="F40" s="16">
        <f>'- 50 -'!C40</f>
        <v>59608061</v>
      </c>
      <c r="G40" s="267">
        <f t="shared" si="0"/>
        <v>13.098715885464619</v>
      </c>
      <c r="I40" s="192"/>
      <c r="J40" s="199"/>
      <c r="K40" s="1">
        <f>F40-'- 50 -'!C40</f>
        <v>0</v>
      </c>
    </row>
    <row r="41" spans="1:11" ht="14.1" customHeight="1" x14ac:dyDescent="0.2">
      <c r="A41" s="271" t="s">
        <v>133</v>
      </c>
      <c r="B41" s="272">
        <v>1884777430</v>
      </c>
      <c r="C41" s="272">
        <v>240907240</v>
      </c>
      <c r="D41" s="272">
        <v>443715340</v>
      </c>
      <c r="E41" s="272">
        <v>2569400010</v>
      </c>
      <c r="F41" s="272">
        <f>'- 50 -'!C41</f>
        <v>35247289</v>
      </c>
      <c r="G41" s="273">
        <f t="shared" si="0"/>
        <v>13.718101059710044</v>
      </c>
      <c r="I41" s="192"/>
      <c r="J41" s="199"/>
      <c r="K41" s="1">
        <f>F41-'- 50 -'!C41</f>
        <v>0</v>
      </c>
    </row>
    <row r="42" spans="1:11" ht="14.1" customHeight="1" x14ac:dyDescent="0.2">
      <c r="A42" s="15" t="s">
        <v>134</v>
      </c>
      <c r="B42" s="16">
        <v>227536540</v>
      </c>
      <c r="C42" s="16">
        <v>224963820</v>
      </c>
      <c r="D42" s="16">
        <v>83217570</v>
      </c>
      <c r="E42" s="16">
        <v>535717930</v>
      </c>
      <c r="F42" s="16">
        <f>'- 50 -'!C42</f>
        <v>7521239</v>
      </c>
      <c r="G42" s="267">
        <f t="shared" si="0"/>
        <v>14.03955062695027</v>
      </c>
      <c r="I42" s="192"/>
      <c r="J42" s="199"/>
      <c r="K42" s="1">
        <f>F42-'- 50 -'!C42</f>
        <v>0</v>
      </c>
    </row>
    <row r="43" spans="1:11" ht="14.1" customHeight="1" x14ac:dyDescent="0.2">
      <c r="A43" s="271" t="s">
        <v>135</v>
      </c>
      <c r="B43" s="272">
        <v>241639700</v>
      </c>
      <c r="C43" s="272">
        <v>277969630</v>
      </c>
      <c r="D43" s="272">
        <v>65900690</v>
      </c>
      <c r="E43" s="272">
        <v>585510020</v>
      </c>
      <c r="F43" s="272">
        <f>'- 50 -'!C43</f>
        <v>7041193</v>
      </c>
      <c r="G43" s="273">
        <f t="shared" si="0"/>
        <v>12.025742958250314</v>
      </c>
      <c r="I43" s="192"/>
      <c r="J43" s="199"/>
      <c r="K43" s="1">
        <f>F43-'- 50 -'!C43</f>
        <v>0</v>
      </c>
    </row>
    <row r="44" spans="1:11" ht="14.1" customHeight="1" x14ac:dyDescent="0.2">
      <c r="A44" s="15" t="s">
        <v>136</v>
      </c>
      <c r="B44" s="16">
        <v>97068930</v>
      </c>
      <c r="C44" s="16">
        <v>93054590</v>
      </c>
      <c r="D44" s="16">
        <v>13733610</v>
      </c>
      <c r="E44" s="16">
        <v>203857130</v>
      </c>
      <c r="F44" s="16">
        <f>'- 50 -'!C44</f>
        <v>3349606</v>
      </c>
      <c r="G44" s="267">
        <f t="shared" si="0"/>
        <v>16.431144694325873</v>
      </c>
      <c r="I44" s="192"/>
      <c r="J44" s="199"/>
      <c r="K44" s="1">
        <f>F44-'- 50 -'!C44</f>
        <v>0</v>
      </c>
    </row>
    <row r="45" spans="1:11" ht="14.1" customHeight="1" x14ac:dyDescent="0.2">
      <c r="A45" s="271" t="s">
        <v>137</v>
      </c>
      <c r="B45" s="272">
        <v>343279420</v>
      </c>
      <c r="C45" s="272">
        <v>92126230</v>
      </c>
      <c r="D45" s="272">
        <v>100210140</v>
      </c>
      <c r="E45" s="272">
        <v>535615790</v>
      </c>
      <c r="F45" s="272">
        <f>'- 50 -'!C45</f>
        <v>8894415</v>
      </c>
      <c r="G45" s="273">
        <f t="shared" si="0"/>
        <v>16.605961149875736</v>
      </c>
      <c r="I45" s="192"/>
      <c r="J45" s="199"/>
      <c r="K45" s="1">
        <f>F45-'- 50 -'!C45</f>
        <v>0</v>
      </c>
    </row>
    <row r="46" spans="1:11" ht="14.1" customHeight="1" x14ac:dyDescent="0.2">
      <c r="A46" s="15" t="s">
        <v>138</v>
      </c>
      <c r="B46" s="16">
        <v>7158088140</v>
      </c>
      <c r="C46" s="16">
        <v>4770880</v>
      </c>
      <c r="D46" s="16">
        <v>4703746830</v>
      </c>
      <c r="E46" s="16">
        <v>11866605850</v>
      </c>
      <c r="F46" s="16">
        <f>'- 50 -'!C46</f>
        <v>178368654</v>
      </c>
      <c r="G46" s="267">
        <f t="shared" si="0"/>
        <v>15.031143382924444</v>
      </c>
      <c r="K46" s="1">
        <f>F46-'- 50 -'!C46</f>
        <v>0</v>
      </c>
    </row>
    <row r="47" spans="1:11" ht="5.0999999999999996" customHeight="1" x14ac:dyDescent="0.2">
      <c r="A47"/>
      <c r="B47"/>
      <c r="C47"/>
      <c r="D47"/>
      <c r="E47"/>
      <c r="F47"/>
      <c r="G47"/>
      <c r="K47" s="1">
        <f>F47-'- 50 -'!C47</f>
        <v>0</v>
      </c>
    </row>
    <row r="48" spans="1:11" ht="14.1" customHeight="1" x14ac:dyDescent="0.2">
      <c r="A48" s="274" t="s">
        <v>143</v>
      </c>
      <c r="B48" s="275">
        <f>SUM(B11:B46)</f>
        <v>48852145280</v>
      </c>
      <c r="C48" s="275">
        <f>SUM(C11:C46)</f>
        <v>7096936540</v>
      </c>
      <c r="D48" s="275">
        <f>SUM(D11:D46)</f>
        <v>16913453740</v>
      </c>
      <c r="E48" s="275">
        <f>SUM(E11:E46)</f>
        <v>72862535560</v>
      </c>
      <c r="F48" s="275">
        <f>SUM(F11:F46)</f>
        <v>1006946419</v>
      </c>
      <c r="G48" s="276">
        <f>F48/E48*1000</f>
        <v>13.819810294287814</v>
      </c>
      <c r="K48" s="1">
        <f>F48-'- 50 -'!C48</f>
        <v>0</v>
      </c>
    </row>
    <row r="49" spans="1:10" ht="5.0999999999999996" customHeight="1" x14ac:dyDescent="0.2">
      <c r="A49" s="127"/>
      <c r="B49" s="140"/>
      <c r="C49" s="140"/>
      <c r="D49" s="140"/>
      <c r="E49" s="140"/>
      <c r="F49" s="140"/>
      <c r="G49"/>
    </row>
    <row r="50" spans="1:10" ht="14.1" customHeight="1" x14ac:dyDescent="0.2">
      <c r="A50" s="15" t="s">
        <v>141</v>
      </c>
      <c r="B50" s="16">
        <v>65272350</v>
      </c>
      <c r="C50" s="16">
        <v>383760</v>
      </c>
      <c r="D50" s="16">
        <v>4051520</v>
      </c>
      <c r="E50" s="16">
        <v>69707630</v>
      </c>
      <c r="F50"/>
      <c r="G50"/>
    </row>
    <row r="51" spans="1:10" ht="14.1" customHeight="1" x14ac:dyDescent="0.2">
      <c r="A51" s="271" t="s">
        <v>142</v>
      </c>
      <c r="B51" s="272">
        <v>19136540</v>
      </c>
      <c r="C51" s="272">
        <v>15114140</v>
      </c>
      <c r="D51" s="272">
        <v>54039260</v>
      </c>
      <c r="E51" s="272">
        <v>88289940</v>
      </c>
      <c r="F51"/>
      <c r="G51"/>
    </row>
    <row r="52" spans="1:10" ht="5.0999999999999996" customHeight="1" x14ac:dyDescent="0.2">
      <c r="A52" s="127"/>
      <c r="B52" s="140"/>
      <c r="C52" s="140"/>
      <c r="D52" s="140"/>
      <c r="E52" s="140"/>
      <c r="F52"/>
      <c r="G52"/>
    </row>
    <row r="53" spans="1:10" ht="14.1" customHeight="1" x14ac:dyDescent="0.2">
      <c r="A53" s="274" t="s">
        <v>139</v>
      </c>
      <c r="B53" s="275">
        <f>SUM(B48,B50:B51)</f>
        <v>48936554170</v>
      </c>
      <c r="C53" s="275">
        <f>SUM(C48,C50:C51)</f>
        <v>7112434440</v>
      </c>
      <c r="D53" s="275">
        <f>SUM(D48,D50:D51)</f>
        <v>16971544520</v>
      </c>
      <c r="E53" s="275">
        <f>SUM(E48,E50:E51)</f>
        <v>73020533130</v>
      </c>
      <c r="F53" s="428"/>
      <c r="G53" s="428"/>
    </row>
    <row r="54" spans="1:10" ht="30" customHeight="1" x14ac:dyDescent="0.2">
      <c r="A54" s="19"/>
      <c r="B54" s="19"/>
      <c r="C54" s="19"/>
      <c r="D54" s="19"/>
      <c r="E54" s="19"/>
      <c r="F54" s="19"/>
      <c r="G54" s="19"/>
    </row>
    <row r="55" spans="1:10" ht="15" customHeight="1" x14ac:dyDescent="0.2">
      <c r="A55" s="751" t="s">
        <v>584</v>
      </c>
      <c r="B55" s="752"/>
      <c r="C55" s="752"/>
      <c r="D55" s="752"/>
      <c r="E55" s="752"/>
      <c r="F55" s="752"/>
      <c r="G55" s="752"/>
      <c r="H55" s="31"/>
      <c r="I55" s="31"/>
      <c r="J55" s="31"/>
    </row>
    <row r="56" spans="1:10" ht="12" customHeight="1" x14ac:dyDescent="0.2">
      <c r="A56" s="753"/>
      <c r="B56" s="753"/>
      <c r="C56" s="753"/>
      <c r="D56" s="753"/>
      <c r="E56" s="753"/>
      <c r="F56" s="753"/>
      <c r="G56" s="753"/>
      <c r="H56" s="31"/>
      <c r="I56" s="31"/>
      <c r="J56" s="31"/>
    </row>
    <row r="57" spans="1:10" ht="12" customHeight="1" x14ac:dyDescent="0.2">
      <c r="A57" s="1" t="s">
        <v>328</v>
      </c>
      <c r="B57" s="31"/>
      <c r="C57" s="31"/>
      <c r="D57" s="31"/>
      <c r="E57" s="31"/>
      <c r="F57" s="31"/>
      <c r="G57" s="31"/>
      <c r="H57" s="31"/>
      <c r="I57" s="31"/>
      <c r="J57" s="31"/>
    </row>
  </sheetData>
  <mergeCells count="6">
    <mergeCell ref="A55:G56"/>
    <mergeCell ref="B6:E6"/>
    <mergeCell ref="B7:B9"/>
    <mergeCell ref="C7:C9"/>
    <mergeCell ref="F8:F9"/>
    <mergeCell ref="G7:G9"/>
  </mergeCells>
  <phoneticPr fontId="0" type="noConversion"/>
  <printOptions horizontalCentered="1"/>
  <pageMargins left="0.5" right="0.5" top="0.6" bottom="0" header="0.3" footer="0"/>
  <pageSetup scale="89" orientation="portrait" r:id="rId1"/>
  <headerFooter alignWithMargins="0">
    <oddHeader>&amp;C&amp;"Arial,Bold"&amp;10&amp;A</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BB56"/>
  <sheetViews>
    <sheetView showGridLines="0" showZeros="0" workbookViewId="0"/>
  </sheetViews>
  <sheetFormatPr defaultColWidth="13.6640625" defaultRowHeight="12" x14ac:dyDescent="0.2"/>
  <cols>
    <col min="1" max="1" width="37.5" style="1" customWidth="1"/>
    <col min="2" max="2" width="23.1640625" style="1" customWidth="1"/>
    <col min="3" max="3" width="19.83203125" style="1" customWidth="1"/>
    <col min="4" max="4" width="19.6640625" style="1" customWidth="1"/>
    <col min="5" max="5" width="13.6640625" style="1"/>
    <col min="6" max="6" width="15.6640625" style="1" customWidth="1"/>
    <col min="7" max="16384" width="13.6640625" style="1"/>
  </cols>
  <sheetData>
    <row r="1" spans="1:54" ht="6.95" customHeight="1" x14ac:dyDescent="0.2">
      <c r="A1" s="3"/>
    </row>
    <row r="2" spans="1:54" ht="15.95" customHeight="1" x14ac:dyDescent="0.2">
      <c r="A2" s="762" t="str">
        <f>IF(Lang=1,BA2,BB2)</f>
        <v>NET SPECIAL LEVY</v>
      </c>
      <c r="B2" s="762"/>
      <c r="C2" s="762"/>
      <c r="D2" s="762"/>
      <c r="E2" s="762"/>
      <c r="F2" s="762"/>
      <c r="BA2" s="460" t="s">
        <v>296</v>
      </c>
      <c r="BB2" s="456" t="s">
        <v>474</v>
      </c>
    </row>
    <row r="3" spans="1:54" ht="15.95" customHeight="1" x14ac:dyDescent="0.2">
      <c r="A3" s="763" t="str">
        <f>TAXYEAR</f>
        <v xml:space="preserve">FOR THE 2017 TAXATION YEAR </v>
      </c>
      <c r="B3" s="763"/>
      <c r="C3" s="763"/>
      <c r="D3" s="763"/>
      <c r="E3" s="763"/>
      <c r="F3" s="763"/>
    </row>
    <row r="4" spans="1:54" ht="15.95" customHeight="1" x14ac:dyDescent="0.2">
      <c r="B4" s="4"/>
      <c r="C4" s="4"/>
      <c r="D4" s="4"/>
    </row>
    <row r="5" spans="1:54" ht="15.95" customHeight="1" x14ac:dyDescent="0.2">
      <c r="B5" s="4"/>
      <c r="C5" s="4"/>
      <c r="D5" s="4"/>
    </row>
    <row r="6" spans="1:54" ht="15.95" customHeight="1" x14ac:dyDescent="0.2">
      <c r="B6" s="373"/>
      <c r="C6" s="373"/>
      <c r="D6" s="373"/>
    </row>
    <row r="7" spans="1:54" ht="15.95" customHeight="1" x14ac:dyDescent="0.2">
      <c r="B7" s="322"/>
      <c r="C7" s="371"/>
      <c r="D7" s="316"/>
    </row>
    <row r="8" spans="1:54" ht="15.95" customHeight="1" x14ac:dyDescent="0.2">
      <c r="A8" s="12"/>
      <c r="B8" s="764" t="s">
        <v>471</v>
      </c>
      <c r="C8" s="744" t="s">
        <v>472</v>
      </c>
      <c r="D8" s="744" t="s">
        <v>473</v>
      </c>
    </row>
    <row r="9" spans="1:54" ht="15.95" customHeight="1" x14ac:dyDescent="0.2">
      <c r="A9" s="13" t="s">
        <v>37</v>
      </c>
      <c r="B9" s="765"/>
      <c r="C9" s="607"/>
      <c r="D9" s="605"/>
    </row>
    <row r="10" spans="1:54" ht="5.0999999999999996" customHeight="1" x14ac:dyDescent="0.2">
      <c r="A10" s="14"/>
      <c r="B10" s="182"/>
      <c r="C10" s="182"/>
      <c r="D10" s="182"/>
    </row>
    <row r="11" spans="1:54" ht="14.1" customHeight="1" x14ac:dyDescent="0.2">
      <c r="A11" s="271" t="s">
        <v>104</v>
      </c>
      <c r="B11" s="272">
        <f>+C11+D11</f>
        <v>9115279</v>
      </c>
      <c r="C11" s="272">
        <v>504331</v>
      </c>
      <c r="D11" s="272">
        <v>8610948</v>
      </c>
    </row>
    <row r="12" spans="1:54" ht="14.1" customHeight="1" x14ac:dyDescent="0.2">
      <c r="A12" s="15" t="s">
        <v>105</v>
      </c>
      <c r="B12" s="16">
        <f t="shared" ref="B12:B46" si="0">+C12+D12</f>
        <v>18061667</v>
      </c>
      <c r="C12" s="16">
        <v>2736955</v>
      </c>
      <c r="D12" s="16">
        <v>15324712</v>
      </c>
    </row>
    <row r="13" spans="1:54" ht="14.1" customHeight="1" x14ac:dyDescent="0.2">
      <c r="A13" s="271" t="s">
        <v>106</v>
      </c>
      <c r="B13" s="272">
        <f t="shared" si="0"/>
        <v>47942023</v>
      </c>
      <c r="C13" s="272">
        <v>1848013</v>
      </c>
      <c r="D13" s="272">
        <v>46094010</v>
      </c>
    </row>
    <row r="14" spans="1:54" ht="14.1" customHeight="1" x14ac:dyDescent="0.2">
      <c r="A14" s="15" t="s">
        <v>315</v>
      </c>
      <c r="B14" s="16">
        <f t="shared" si="0"/>
        <v>0</v>
      </c>
      <c r="C14" s="16">
        <v>0</v>
      </c>
      <c r="D14" s="16">
        <v>0</v>
      </c>
    </row>
    <row r="15" spans="1:54" ht="14.1" customHeight="1" x14ac:dyDescent="0.2">
      <c r="A15" s="271" t="s">
        <v>107</v>
      </c>
      <c r="B15" s="272">
        <f t="shared" si="0"/>
        <v>12110284</v>
      </c>
      <c r="C15" s="272">
        <v>1595317</v>
      </c>
      <c r="D15" s="272">
        <v>10514967</v>
      </c>
    </row>
    <row r="16" spans="1:54" ht="14.1" customHeight="1" x14ac:dyDescent="0.2">
      <c r="A16" s="15" t="s">
        <v>108</v>
      </c>
      <c r="B16" s="16">
        <f t="shared" si="0"/>
        <v>5073713</v>
      </c>
      <c r="C16" s="16">
        <v>752713</v>
      </c>
      <c r="D16" s="16">
        <v>4321000</v>
      </c>
    </row>
    <row r="17" spans="1:4" ht="14.1" customHeight="1" x14ac:dyDescent="0.2">
      <c r="A17" s="271" t="s">
        <v>109</v>
      </c>
      <c r="B17" s="272">
        <f t="shared" si="0"/>
        <v>9469638</v>
      </c>
      <c r="C17" s="272">
        <v>487785</v>
      </c>
      <c r="D17" s="272">
        <v>8981853</v>
      </c>
    </row>
    <row r="18" spans="1:4" ht="14.1" customHeight="1" x14ac:dyDescent="0.2">
      <c r="A18" s="15" t="s">
        <v>110</v>
      </c>
      <c r="B18" s="16">
        <f t="shared" si="0"/>
        <v>3603882</v>
      </c>
      <c r="C18" s="16">
        <v>318474</v>
      </c>
      <c r="D18" s="16">
        <v>3285408</v>
      </c>
    </row>
    <row r="19" spans="1:4" ht="14.1" customHeight="1" x14ac:dyDescent="0.2">
      <c r="A19" s="271" t="s">
        <v>111</v>
      </c>
      <c r="B19" s="272">
        <f t="shared" si="0"/>
        <v>19108368</v>
      </c>
      <c r="C19" s="272">
        <v>646173</v>
      </c>
      <c r="D19" s="272">
        <v>18462195</v>
      </c>
    </row>
    <row r="20" spans="1:4" ht="14.1" customHeight="1" x14ac:dyDescent="0.2">
      <c r="A20" s="15" t="s">
        <v>112</v>
      </c>
      <c r="B20" s="16">
        <f t="shared" si="0"/>
        <v>33997050</v>
      </c>
      <c r="C20" s="16">
        <v>1508126</v>
      </c>
      <c r="D20" s="16">
        <v>32488924</v>
      </c>
    </row>
    <row r="21" spans="1:4" ht="14.1" customHeight="1" x14ac:dyDescent="0.2">
      <c r="A21" s="271" t="s">
        <v>113</v>
      </c>
      <c r="B21" s="272">
        <f t="shared" si="0"/>
        <v>19356720</v>
      </c>
      <c r="C21" s="272">
        <v>1289551</v>
      </c>
      <c r="D21" s="272">
        <v>18067169</v>
      </c>
    </row>
    <row r="22" spans="1:4" ht="14.1" customHeight="1" x14ac:dyDescent="0.2">
      <c r="A22" s="15" t="s">
        <v>114</v>
      </c>
      <c r="B22" s="16">
        <f t="shared" si="0"/>
        <v>4866303</v>
      </c>
      <c r="C22" s="16">
        <v>309407</v>
      </c>
      <c r="D22" s="16">
        <v>4556896</v>
      </c>
    </row>
    <row r="23" spans="1:4" ht="14.1" customHeight="1" x14ac:dyDescent="0.2">
      <c r="A23" s="271" t="s">
        <v>115</v>
      </c>
      <c r="B23" s="272">
        <f t="shared" si="0"/>
        <v>5113716</v>
      </c>
      <c r="C23" s="272">
        <v>440073</v>
      </c>
      <c r="D23" s="272">
        <v>4673643</v>
      </c>
    </row>
    <row r="24" spans="1:4" ht="14.1" customHeight="1" x14ac:dyDescent="0.2">
      <c r="A24" s="15" t="s">
        <v>116</v>
      </c>
      <c r="B24" s="16">
        <f t="shared" si="0"/>
        <v>32182749</v>
      </c>
      <c r="C24" s="16">
        <v>2692903</v>
      </c>
      <c r="D24" s="16">
        <v>29489846</v>
      </c>
    </row>
    <row r="25" spans="1:4" ht="14.1" customHeight="1" x14ac:dyDescent="0.2">
      <c r="A25" s="271" t="s">
        <v>117</v>
      </c>
      <c r="B25" s="272">
        <f t="shared" si="0"/>
        <v>108343645</v>
      </c>
      <c r="C25" s="272">
        <v>6541003</v>
      </c>
      <c r="D25" s="272">
        <v>101802642</v>
      </c>
    </row>
    <row r="26" spans="1:4" ht="14.1" customHeight="1" x14ac:dyDescent="0.2">
      <c r="A26" s="15" t="s">
        <v>118</v>
      </c>
      <c r="B26" s="16">
        <f t="shared" si="0"/>
        <v>16601876</v>
      </c>
      <c r="C26" s="16">
        <v>690360</v>
      </c>
      <c r="D26" s="16">
        <v>15911516</v>
      </c>
    </row>
    <row r="27" spans="1:4" ht="14.1" customHeight="1" x14ac:dyDescent="0.2">
      <c r="A27" s="271" t="s">
        <v>119</v>
      </c>
      <c r="B27" s="272">
        <f t="shared" si="0"/>
        <v>9784027</v>
      </c>
      <c r="C27" s="272">
        <v>1086050</v>
      </c>
      <c r="D27" s="272">
        <v>8697977</v>
      </c>
    </row>
    <row r="28" spans="1:4" ht="14.1" customHeight="1" x14ac:dyDescent="0.2">
      <c r="A28" s="15" t="s">
        <v>120</v>
      </c>
      <c r="B28" s="16">
        <f t="shared" si="0"/>
        <v>10363375</v>
      </c>
      <c r="C28" s="16">
        <v>817353</v>
      </c>
      <c r="D28" s="16">
        <v>9546022</v>
      </c>
    </row>
    <row r="29" spans="1:4" ht="14.1" customHeight="1" x14ac:dyDescent="0.2">
      <c r="A29" s="271" t="s">
        <v>121</v>
      </c>
      <c r="B29" s="272">
        <f t="shared" si="0"/>
        <v>104583716</v>
      </c>
      <c r="C29" s="272">
        <v>4859689</v>
      </c>
      <c r="D29" s="272">
        <v>99724027</v>
      </c>
    </row>
    <row r="30" spans="1:4" ht="14.1" customHeight="1" x14ac:dyDescent="0.2">
      <c r="A30" s="15" t="s">
        <v>122</v>
      </c>
      <c r="B30" s="16">
        <f t="shared" si="0"/>
        <v>7466682</v>
      </c>
      <c r="C30" s="16">
        <v>332215</v>
      </c>
      <c r="D30" s="16">
        <v>7134467</v>
      </c>
    </row>
    <row r="31" spans="1:4" ht="14.1" customHeight="1" x14ac:dyDescent="0.2">
      <c r="A31" s="271" t="s">
        <v>123</v>
      </c>
      <c r="B31" s="272">
        <f t="shared" si="0"/>
        <v>18223533</v>
      </c>
      <c r="C31" s="272">
        <v>523036</v>
      </c>
      <c r="D31" s="272">
        <v>17700497</v>
      </c>
    </row>
    <row r="32" spans="1:4" ht="14.1" customHeight="1" x14ac:dyDescent="0.2">
      <c r="A32" s="15" t="s">
        <v>124</v>
      </c>
      <c r="B32" s="16">
        <f t="shared" si="0"/>
        <v>17585611</v>
      </c>
      <c r="C32" s="16">
        <v>1153109</v>
      </c>
      <c r="D32" s="16">
        <v>16432502</v>
      </c>
    </row>
    <row r="33" spans="1:4" ht="14.1" customHeight="1" x14ac:dyDescent="0.2">
      <c r="A33" s="271" t="s">
        <v>125</v>
      </c>
      <c r="B33" s="272">
        <f t="shared" si="0"/>
        <v>15048704</v>
      </c>
      <c r="C33" s="272">
        <v>893985</v>
      </c>
      <c r="D33" s="272">
        <v>14154719</v>
      </c>
    </row>
    <row r="34" spans="1:4" ht="14.1" customHeight="1" x14ac:dyDescent="0.2">
      <c r="A34" s="15" t="s">
        <v>126</v>
      </c>
      <c r="B34" s="16">
        <f t="shared" si="0"/>
        <v>20399322</v>
      </c>
      <c r="C34" s="16">
        <v>869876</v>
      </c>
      <c r="D34" s="16">
        <v>19529446</v>
      </c>
    </row>
    <row r="35" spans="1:4" ht="14.1" customHeight="1" x14ac:dyDescent="0.2">
      <c r="A35" s="271" t="s">
        <v>127</v>
      </c>
      <c r="B35" s="272">
        <f t="shared" si="0"/>
        <v>89420993</v>
      </c>
      <c r="C35" s="272">
        <v>1490523</v>
      </c>
      <c r="D35" s="272">
        <v>87930470</v>
      </c>
    </row>
    <row r="36" spans="1:4" ht="14.1" customHeight="1" x14ac:dyDescent="0.2">
      <c r="A36" s="15" t="s">
        <v>128</v>
      </c>
      <c r="B36" s="16">
        <f t="shared" si="0"/>
        <v>12028853</v>
      </c>
      <c r="C36" s="16">
        <v>763891</v>
      </c>
      <c r="D36" s="16">
        <v>11264962</v>
      </c>
    </row>
    <row r="37" spans="1:4" ht="14.1" customHeight="1" x14ac:dyDescent="0.2">
      <c r="A37" s="271" t="s">
        <v>129</v>
      </c>
      <c r="B37" s="272">
        <f t="shared" si="0"/>
        <v>27721472</v>
      </c>
      <c r="C37" s="272">
        <v>2579094</v>
      </c>
      <c r="D37" s="272">
        <v>25142378</v>
      </c>
    </row>
    <row r="38" spans="1:4" ht="14.1" customHeight="1" x14ac:dyDescent="0.2">
      <c r="A38" s="15" t="s">
        <v>130</v>
      </c>
      <c r="B38" s="16">
        <f t="shared" si="0"/>
        <v>59631124</v>
      </c>
      <c r="C38" s="16">
        <v>5363834</v>
      </c>
      <c r="D38" s="16">
        <v>54267290</v>
      </c>
    </row>
    <row r="39" spans="1:4" ht="14.1" customHeight="1" x14ac:dyDescent="0.2">
      <c r="A39" s="271" t="s">
        <v>131</v>
      </c>
      <c r="B39" s="272">
        <f t="shared" si="0"/>
        <v>13563932</v>
      </c>
      <c r="C39" s="272">
        <v>758456</v>
      </c>
      <c r="D39" s="272">
        <v>12805476</v>
      </c>
    </row>
    <row r="40" spans="1:4" ht="14.1" customHeight="1" x14ac:dyDescent="0.2">
      <c r="A40" s="15" t="s">
        <v>132</v>
      </c>
      <c r="B40" s="16">
        <f t="shared" si="0"/>
        <v>63088584</v>
      </c>
      <c r="C40" s="16">
        <v>3480523</v>
      </c>
      <c r="D40" s="16">
        <v>59608061</v>
      </c>
    </row>
    <row r="41" spans="1:4" ht="14.1" customHeight="1" x14ac:dyDescent="0.2">
      <c r="A41" s="271" t="s">
        <v>133</v>
      </c>
      <c r="B41" s="272">
        <f t="shared" si="0"/>
        <v>38226986</v>
      </c>
      <c r="C41" s="272">
        <v>2979697</v>
      </c>
      <c r="D41" s="272">
        <v>35247289</v>
      </c>
    </row>
    <row r="42" spans="1:4" ht="14.1" customHeight="1" x14ac:dyDescent="0.2">
      <c r="A42" s="15" t="s">
        <v>134</v>
      </c>
      <c r="B42" s="16">
        <f t="shared" si="0"/>
        <v>8577736</v>
      </c>
      <c r="C42" s="16">
        <v>1056497</v>
      </c>
      <c r="D42" s="16">
        <v>7521239</v>
      </c>
    </row>
    <row r="43" spans="1:4" ht="14.1" customHeight="1" x14ac:dyDescent="0.2">
      <c r="A43" s="271" t="s">
        <v>135</v>
      </c>
      <c r="B43" s="272">
        <f t="shared" si="0"/>
        <v>7041193</v>
      </c>
      <c r="C43" s="272">
        <v>0</v>
      </c>
      <c r="D43" s="272">
        <v>7041193</v>
      </c>
    </row>
    <row r="44" spans="1:4" ht="14.1" customHeight="1" x14ac:dyDescent="0.2">
      <c r="A44" s="15" t="s">
        <v>136</v>
      </c>
      <c r="B44" s="16">
        <f t="shared" si="0"/>
        <v>3818525</v>
      </c>
      <c r="C44" s="16">
        <v>468919</v>
      </c>
      <c r="D44" s="16">
        <v>3349606</v>
      </c>
    </row>
    <row r="45" spans="1:4" ht="14.1" customHeight="1" x14ac:dyDescent="0.2">
      <c r="A45" s="271" t="s">
        <v>137</v>
      </c>
      <c r="B45" s="272">
        <f t="shared" si="0"/>
        <v>8894415</v>
      </c>
      <c r="C45" s="272">
        <v>0</v>
      </c>
      <c r="D45" s="272">
        <v>8894415</v>
      </c>
    </row>
    <row r="46" spans="1:4" ht="14.1" customHeight="1" x14ac:dyDescent="0.2">
      <c r="A46" s="15" t="s">
        <v>138</v>
      </c>
      <c r="B46" s="16">
        <f t="shared" si="0"/>
        <v>187949050</v>
      </c>
      <c r="C46" s="16">
        <v>9580396</v>
      </c>
      <c r="D46" s="16">
        <v>178368654</v>
      </c>
    </row>
    <row r="47" spans="1:4" ht="5.0999999999999996" customHeight="1" x14ac:dyDescent="0.2">
      <c r="A47"/>
      <c r="B47"/>
      <c r="C47"/>
      <c r="D47"/>
    </row>
    <row r="48" spans="1:4" ht="14.1" customHeight="1" x14ac:dyDescent="0.2">
      <c r="A48" s="274" t="s">
        <v>139</v>
      </c>
      <c r="B48" s="275">
        <f>SUM(B11:B47)</f>
        <v>1068364746</v>
      </c>
      <c r="C48" s="275">
        <f>SUM(C11:C47)</f>
        <v>61418327</v>
      </c>
      <c r="D48" s="275">
        <f>SUM(D11:D47)</f>
        <v>1006946419</v>
      </c>
    </row>
    <row r="49" spans="1:6" s="164" customFormat="1" ht="49.5" customHeight="1" x14ac:dyDescent="0.2">
      <c r="A49" s="372"/>
      <c r="B49" s="372"/>
      <c r="C49" s="372"/>
      <c r="D49" s="372"/>
      <c r="E49" s="19"/>
      <c r="F49" s="19"/>
    </row>
    <row r="50" spans="1:6" s="223" customFormat="1" ht="14.25" customHeight="1" x14ac:dyDescent="0.2">
      <c r="A50" s="760" t="s">
        <v>585</v>
      </c>
      <c r="B50" s="760"/>
      <c r="C50" s="760"/>
      <c r="D50" s="760"/>
      <c r="E50" s="760"/>
      <c r="F50" s="760"/>
    </row>
    <row r="51" spans="1:6" s="478" customFormat="1" x14ac:dyDescent="0.2">
      <c r="A51" s="761"/>
      <c r="B51" s="761"/>
      <c r="C51" s="761"/>
      <c r="D51" s="761"/>
      <c r="E51" s="761"/>
      <c r="F51" s="761"/>
    </row>
    <row r="52" spans="1:6" s="478" customFormat="1" x14ac:dyDescent="0.2">
      <c r="A52" s="761"/>
      <c r="B52" s="761"/>
      <c r="C52" s="761"/>
      <c r="D52" s="761"/>
      <c r="E52" s="761"/>
      <c r="F52" s="761"/>
    </row>
    <row r="53" spans="1:6" ht="14.45" customHeight="1" x14ac:dyDescent="0.2"/>
    <row r="54" spans="1:6" ht="14.45" customHeight="1" x14ac:dyDescent="0.2"/>
    <row r="55" spans="1:6" ht="14.45" customHeight="1" x14ac:dyDescent="0.2"/>
    <row r="56" spans="1:6" ht="14.45" customHeight="1" x14ac:dyDescent="0.2"/>
  </sheetData>
  <mergeCells count="6">
    <mergeCell ref="A50:F52"/>
    <mergeCell ref="A2:F2"/>
    <mergeCell ref="A3:F3"/>
    <mergeCell ref="B8:B9"/>
    <mergeCell ref="C8:C9"/>
    <mergeCell ref="D8:D9"/>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&amp;C&amp;"Arial,Regular"&amp;10 &amp;A</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BB58"/>
  <sheetViews>
    <sheetView showGridLines="0" showZeros="0" workbookViewId="0"/>
  </sheetViews>
  <sheetFormatPr defaultColWidth="15.83203125" defaultRowHeight="12" x14ac:dyDescent="0.2"/>
  <cols>
    <col min="1" max="1" width="38.6640625" style="1" customWidth="1"/>
    <col min="2" max="2" width="24.1640625" style="1" customWidth="1"/>
    <col min="3" max="3" width="24" style="1" customWidth="1"/>
    <col min="4" max="4" width="20.33203125" style="1" customWidth="1"/>
    <col min="5" max="5" width="3.83203125" style="1" customWidth="1"/>
    <col min="6" max="6" width="25" style="1" customWidth="1"/>
    <col min="7" max="16384" width="15.83203125" style="1"/>
  </cols>
  <sheetData>
    <row r="1" spans="1:54" ht="6.95" customHeight="1" x14ac:dyDescent="0.2">
      <c r="A1" s="3"/>
    </row>
    <row r="2" spans="1:54" ht="15.95" customHeight="1" x14ac:dyDescent="0.2">
      <c r="A2" s="33"/>
      <c r="B2" s="193" t="str">
        <f>IF(Lang=1,BA2,BB2)</f>
        <v>LOCAL TAXATION AND ASSESSMENT PER RESIDENT PUPIL</v>
      </c>
      <c r="C2" s="212"/>
      <c r="D2" s="212"/>
      <c r="E2" s="213"/>
      <c r="F2" s="213"/>
      <c r="BA2" s="456" t="s">
        <v>187</v>
      </c>
      <c r="BB2" s="456" t="s">
        <v>475</v>
      </c>
    </row>
    <row r="3" spans="1:54" ht="15.95" customHeight="1" x14ac:dyDescent="0.2">
      <c r="A3" s="37"/>
      <c r="B3" s="195" t="str">
        <f>TAXYEAR</f>
        <v xml:space="preserve">FOR THE 2017 TAXATION YEAR </v>
      </c>
      <c r="C3" s="214"/>
      <c r="D3" s="214"/>
      <c r="E3" s="215"/>
      <c r="F3" s="215"/>
    </row>
    <row r="4" spans="1:54" ht="15.95" customHeight="1" x14ac:dyDescent="0.2">
      <c r="B4" s="4"/>
      <c r="C4" s="4"/>
      <c r="D4" s="4"/>
      <c r="E4" s="4"/>
      <c r="F4" s="4"/>
    </row>
    <row r="5" spans="1:54" ht="15.95" customHeight="1" x14ac:dyDescent="0.2">
      <c r="B5" s="4"/>
      <c r="C5" s="4"/>
      <c r="D5" s="4"/>
      <c r="E5" s="4"/>
      <c r="F5" s="4"/>
    </row>
    <row r="6" spans="1:54" ht="15.95" customHeight="1" x14ac:dyDescent="0.2">
      <c r="B6" s="4"/>
      <c r="C6" s="4"/>
      <c r="D6" s="4"/>
      <c r="E6" s="4"/>
      <c r="F6" s="373"/>
    </row>
    <row r="7" spans="1:54" ht="15.95" customHeight="1" x14ac:dyDescent="0.2">
      <c r="B7" s="766" t="s">
        <v>477</v>
      </c>
      <c r="C7" s="481"/>
      <c r="D7" s="323"/>
      <c r="E7" s="4"/>
      <c r="F7" s="743" t="s">
        <v>476</v>
      </c>
    </row>
    <row r="8" spans="1:54" ht="15.95" customHeight="1" x14ac:dyDescent="0.2">
      <c r="A8" s="479"/>
      <c r="B8" s="767"/>
      <c r="C8" s="477"/>
      <c r="D8" s="324"/>
      <c r="E8" s="4"/>
      <c r="F8" s="744"/>
    </row>
    <row r="9" spans="1:54" ht="15.95" customHeight="1" x14ac:dyDescent="0.2">
      <c r="A9" s="480" t="s">
        <v>37</v>
      </c>
      <c r="B9" s="768"/>
      <c r="C9" s="325" t="s">
        <v>59</v>
      </c>
      <c r="D9" s="326" t="s">
        <v>25</v>
      </c>
      <c r="E9" s="4"/>
      <c r="F9" s="745"/>
    </row>
    <row r="10" spans="1:54" ht="5.0999999999999996" customHeight="1" x14ac:dyDescent="0.2">
      <c r="A10" s="14"/>
      <c r="B10" s="182"/>
      <c r="C10" s="182"/>
      <c r="D10" s="182"/>
      <c r="E10" s="182"/>
      <c r="F10" s="182"/>
    </row>
    <row r="11" spans="1:54" ht="14.1" customHeight="1" x14ac:dyDescent="0.2">
      <c r="A11" s="271" t="s">
        <v>104</v>
      </c>
      <c r="B11" s="272">
        <f>'- 45 -'!C11</f>
        <v>1583771.8050000002</v>
      </c>
      <c r="C11" s="272">
        <v>8610948</v>
      </c>
      <c r="D11" s="272">
        <f t="shared" ref="D11:D46" si="0">SUM(B11,C11)</f>
        <v>10194719.805</v>
      </c>
      <c r="F11" s="272">
        <f>+Data!S11</f>
        <v>412611</v>
      </c>
    </row>
    <row r="12" spans="1:54" ht="14.1" customHeight="1" x14ac:dyDescent="0.2">
      <c r="A12" s="15" t="s">
        <v>105</v>
      </c>
      <c r="B12" s="16">
        <f>'- 45 -'!C12</f>
        <v>2164774.29</v>
      </c>
      <c r="C12" s="16">
        <v>15324712</v>
      </c>
      <c r="D12" s="16">
        <f t="shared" si="0"/>
        <v>17489486.289999999</v>
      </c>
      <c r="F12" s="16">
        <f>+Data!S12</f>
        <v>440889</v>
      </c>
    </row>
    <row r="13" spans="1:54" ht="14.1" customHeight="1" x14ac:dyDescent="0.2">
      <c r="A13" s="271" t="s">
        <v>106</v>
      </c>
      <c r="B13" s="272">
        <f>'- 45 -'!C13</f>
        <v>9508097.7599999998</v>
      </c>
      <c r="C13" s="272">
        <v>46094010</v>
      </c>
      <c r="D13" s="272">
        <f t="shared" si="0"/>
        <v>55602107.759999998</v>
      </c>
      <c r="F13" s="272">
        <f>+Data!S13</f>
        <v>368373</v>
      </c>
    </row>
    <row r="14" spans="1:54" ht="14.1" customHeight="1" x14ac:dyDescent="0.2">
      <c r="A14" s="15" t="s">
        <v>315</v>
      </c>
      <c r="B14" s="16">
        <f>'- 45 -'!C14</f>
        <v>0</v>
      </c>
      <c r="C14" s="16">
        <v>0</v>
      </c>
      <c r="D14" s="16">
        <f t="shared" si="0"/>
        <v>0</v>
      </c>
      <c r="F14" s="16">
        <f>+Data!S14</f>
        <v>449144</v>
      </c>
    </row>
    <row r="15" spans="1:54" ht="14.1" customHeight="1" x14ac:dyDescent="0.2">
      <c r="A15" s="271" t="s">
        <v>107</v>
      </c>
      <c r="B15" s="272">
        <f>'- 45 -'!C15</f>
        <v>1286639.97</v>
      </c>
      <c r="C15" s="272">
        <v>10514967</v>
      </c>
      <c r="D15" s="272">
        <f t="shared" si="0"/>
        <v>11801606.970000001</v>
      </c>
      <c r="F15" s="272">
        <f>+Data!S15</f>
        <v>678168</v>
      </c>
    </row>
    <row r="16" spans="1:54" ht="14.1" customHeight="1" x14ac:dyDescent="0.2">
      <c r="A16" s="15" t="s">
        <v>108</v>
      </c>
      <c r="B16" s="16">
        <f>'- 45 -'!C16</f>
        <v>367865.08500000002</v>
      </c>
      <c r="C16" s="16">
        <v>4321000</v>
      </c>
      <c r="D16" s="16">
        <f t="shared" si="0"/>
        <v>4688865.085</v>
      </c>
      <c r="F16" s="16">
        <f>+Data!S16</f>
        <v>209029</v>
      </c>
    </row>
    <row r="17" spans="1:6" ht="14.1" customHeight="1" x14ac:dyDescent="0.2">
      <c r="A17" s="271" t="s">
        <v>109</v>
      </c>
      <c r="B17" s="272">
        <f>'- 45 -'!C17</f>
        <v>6219797.3250000002</v>
      </c>
      <c r="C17" s="272">
        <v>8981853</v>
      </c>
      <c r="D17" s="272">
        <f t="shared" si="0"/>
        <v>15201650.324999999</v>
      </c>
      <c r="F17" s="272">
        <f>+Data!S17</f>
        <v>867598</v>
      </c>
    </row>
    <row r="18" spans="1:6" ht="14.1" customHeight="1" x14ac:dyDescent="0.2">
      <c r="A18" s="15" t="s">
        <v>110</v>
      </c>
      <c r="B18" s="16">
        <f>'- 45 -'!C18</f>
        <v>774472.8600000001</v>
      </c>
      <c r="C18" s="16">
        <v>3285408</v>
      </c>
      <c r="D18" s="16">
        <f t="shared" si="0"/>
        <v>4059880.8600000003</v>
      </c>
      <c r="F18" s="16">
        <f>+Data!S18</f>
        <v>101725</v>
      </c>
    </row>
    <row r="19" spans="1:6" ht="14.1" customHeight="1" x14ac:dyDescent="0.2">
      <c r="A19" s="271" t="s">
        <v>111</v>
      </c>
      <c r="B19" s="272">
        <f>'- 45 -'!C19</f>
        <v>3233517.4200000004</v>
      </c>
      <c r="C19" s="272">
        <v>18462195</v>
      </c>
      <c r="D19" s="272">
        <f t="shared" si="0"/>
        <v>21695712.420000002</v>
      </c>
      <c r="F19" s="272">
        <f>+Data!S19</f>
        <v>272222</v>
      </c>
    </row>
    <row r="20" spans="1:6" ht="14.1" customHeight="1" x14ac:dyDescent="0.2">
      <c r="A20" s="15" t="s">
        <v>112</v>
      </c>
      <c r="B20" s="16">
        <f>'- 45 -'!C20</f>
        <v>4375948.3950000005</v>
      </c>
      <c r="C20" s="16">
        <v>32488924</v>
      </c>
      <c r="D20" s="16">
        <f t="shared" si="0"/>
        <v>36864872.395000003</v>
      </c>
      <c r="F20" s="16">
        <f>+Data!S20</f>
        <v>266510</v>
      </c>
    </row>
    <row r="21" spans="1:6" ht="14.1" customHeight="1" x14ac:dyDescent="0.2">
      <c r="A21" s="271" t="s">
        <v>113</v>
      </c>
      <c r="B21" s="272">
        <f>'- 45 -'!C21</f>
        <v>2918899.41</v>
      </c>
      <c r="C21" s="272">
        <v>18067169</v>
      </c>
      <c r="D21" s="272">
        <f t="shared" si="0"/>
        <v>20986068.41</v>
      </c>
      <c r="F21" s="272">
        <f>+Data!S21</f>
        <v>467783</v>
      </c>
    </row>
    <row r="22" spans="1:6" ht="14.1" customHeight="1" x14ac:dyDescent="0.2">
      <c r="A22" s="15" t="s">
        <v>114</v>
      </c>
      <c r="B22" s="16">
        <f>'- 45 -'!C22</f>
        <v>701105.58000000007</v>
      </c>
      <c r="C22" s="16">
        <v>4556896</v>
      </c>
      <c r="D22" s="16">
        <f t="shared" si="0"/>
        <v>5258001.58</v>
      </c>
      <c r="F22" s="16">
        <f>+Data!S22</f>
        <v>172842</v>
      </c>
    </row>
    <row r="23" spans="1:6" ht="14.1" customHeight="1" x14ac:dyDescent="0.2">
      <c r="A23" s="271" t="s">
        <v>115</v>
      </c>
      <c r="B23" s="272">
        <f>'- 45 -'!C23</f>
        <v>356751.88500000001</v>
      </c>
      <c r="C23" s="272">
        <v>4673643</v>
      </c>
      <c r="D23" s="272">
        <f t="shared" si="0"/>
        <v>5030394.8849999998</v>
      </c>
      <c r="F23" s="272">
        <f>+Data!S23</f>
        <v>288728</v>
      </c>
    </row>
    <row r="24" spans="1:6" ht="14.1" customHeight="1" x14ac:dyDescent="0.2">
      <c r="A24" s="15" t="s">
        <v>116</v>
      </c>
      <c r="B24" s="16">
        <f>'- 45 -'!C24</f>
        <v>2657025.105</v>
      </c>
      <c r="C24" s="16">
        <v>29489846</v>
      </c>
      <c r="D24" s="16">
        <f t="shared" si="0"/>
        <v>32146871.105</v>
      </c>
      <c r="F24" s="16">
        <f>+Data!S24</f>
        <v>524987</v>
      </c>
    </row>
    <row r="25" spans="1:6" ht="14.1" customHeight="1" x14ac:dyDescent="0.2">
      <c r="A25" s="271" t="s">
        <v>117</v>
      </c>
      <c r="B25" s="272">
        <f>'- 45 -'!C25</f>
        <v>14143324.335000001</v>
      </c>
      <c r="C25" s="272">
        <v>101802642</v>
      </c>
      <c r="D25" s="272">
        <f t="shared" si="0"/>
        <v>115945966.33500001</v>
      </c>
      <c r="F25" s="272">
        <f>+Data!S25</f>
        <v>480970</v>
      </c>
    </row>
    <row r="26" spans="1:6" ht="14.1" customHeight="1" x14ac:dyDescent="0.2">
      <c r="A26" s="15" t="s">
        <v>118</v>
      </c>
      <c r="B26" s="16">
        <f>'- 45 -'!C26</f>
        <v>1463280.84</v>
      </c>
      <c r="C26" s="16">
        <v>15911516</v>
      </c>
      <c r="D26" s="16">
        <f t="shared" si="0"/>
        <v>17374796.84</v>
      </c>
      <c r="F26" s="16">
        <f>+Data!S26</f>
        <v>357556</v>
      </c>
    </row>
    <row r="27" spans="1:6" ht="14.1" customHeight="1" x14ac:dyDescent="0.2">
      <c r="A27" s="271" t="s">
        <v>119</v>
      </c>
      <c r="B27" s="272">
        <f>'- 45 -'!C27</f>
        <v>1487637.27</v>
      </c>
      <c r="C27" s="272">
        <v>8697977</v>
      </c>
      <c r="D27" s="272">
        <f t="shared" si="0"/>
        <v>10185614.27</v>
      </c>
      <c r="F27" s="272">
        <f>+Data!S27</f>
        <v>182469</v>
      </c>
    </row>
    <row r="28" spans="1:6" ht="14.1" customHeight="1" x14ac:dyDescent="0.2">
      <c r="A28" s="15" t="s">
        <v>120</v>
      </c>
      <c r="B28" s="16">
        <f>'- 45 -'!C28</f>
        <v>2061603.2850000001</v>
      </c>
      <c r="C28" s="16">
        <v>9546022</v>
      </c>
      <c r="D28" s="16">
        <f t="shared" si="0"/>
        <v>11607625.285</v>
      </c>
      <c r="F28" s="16">
        <f>+Data!S28</f>
        <v>540294</v>
      </c>
    </row>
    <row r="29" spans="1:6" ht="14.1" customHeight="1" x14ac:dyDescent="0.2">
      <c r="A29" s="271" t="s">
        <v>121</v>
      </c>
      <c r="B29" s="272">
        <f>'- 45 -'!C29</f>
        <v>14890189.335000001</v>
      </c>
      <c r="C29" s="272">
        <v>99724027</v>
      </c>
      <c r="D29" s="272">
        <f t="shared" si="0"/>
        <v>114614216.33500001</v>
      </c>
      <c r="F29" s="272">
        <f>+Data!S29</f>
        <v>602579</v>
      </c>
    </row>
    <row r="30" spans="1:6" ht="14.1" customHeight="1" x14ac:dyDescent="0.2">
      <c r="A30" s="15" t="s">
        <v>122</v>
      </c>
      <c r="B30" s="16">
        <f>'- 45 -'!C30</f>
        <v>1096628.1900000002</v>
      </c>
      <c r="C30" s="16">
        <v>7134467</v>
      </c>
      <c r="D30" s="16">
        <f t="shared" si="0"/>
        <v>8231095.1900000004</v>
      </c>
      <c r="F30" s="16">
        <f>+Data!S30</f>
        <v>473896</v>
      </c>
    </row>
    <row r="31" spans="1:6" ht="14.1" customHeight="1" x14ac:dyDescent="0.2">
      <c r="A31" s="271" t="s">
        <v>123</v>
      </c>
      <c r="B31" s="272">
        <f>'- 45 -'!C31</f>
        <v>3720149.79</v>
      </c>
      <c r="C31" s="272">
        <v>17700497</v>
      </c>
      <c r="D31" s="272">
        <f t="shared" si="0"/>
        <v>21420646.789999999</v>
      </c>
      <c r="F31" s="272">
        <f>+Data!S31</f>
        <v>408032</v>
      </c>
    </row>
    <row r="32" spans="1:6" ht="14.1" customHeight="1" x14ac:dyDescent="0.2">
      <c r="A32" s="15" t="s">
        <v>124</v>
      </c>
      <c r="B32" s="16">
        <f>'- 45 -'!C32</f>
        <v>1589146.9650000001</v>
      </c>
      <c r="C32" s="16">
        <v>16432502</v>
      </c>
      <c r="D32" s="16">
        <f t="shared" si="0"/>
        <v>18021648.965</v>
      </c>
      <c r="F32" s="16">
        <f>+Data!S32</f>
        <v>575743</v>
      </c>
    </row>
    <row r="33" spans="1:6" ht="14.1" customHeight="1" x14ac:dyDescent="0.2">
      <c r="A33" s="271" t="s">
        <v>125</v>
      </c>
      <c r="B33" s="272">
        <f>'- 45 -'!C33</f>
        <v>1866559.59</v>
      </c>
      <c r="C33" s="272">
        <v>14154719</v>
      </c>
      <c r="D33" s="272">
        <f t="shared" si="0"/>
        <v>16021278.59</v>
      </c>
      <c r="F33" s="272">
        <f>+Data!S33</f>
        <v>591214</v>
      </c>
    </row>
    <row r="34" spans="1:6" ht="14.1" customHeight="1" x14ac:dyDescent="0.2">
      <c r="A34" s="15" t="s">
        <v>126</v>
      </c>
      <c r="B34" s="16">
        <f>'- 45 -'!C34</f>
        <v>2958662.2800000003</v>
      </c>
      <c r="C34" s="16">
        <v>19529446</v>
      </c>
      <c r="D34" s="16">
        <f t="shared" si="0"/>
        <v>22488108.280000001</v>
      </c>
      <c r="F34" s="16">
        <f>+Data!S34</f>
        <v>616820</v>
      </c>
    </row>
    <row r="35" spans="1:6" ht="14.1" customHeight="1" x14ac:dyDescent="0.2">
      <c r="A35" s="271" t="s">
        <v>127</v>
      </c>
      <c r="B35" s="272">
        <f>'- 45 -'!C35</f>
        <v>10888686.585000001</v>
      </c>
      <c r="C35" s="272">
        <v>87930470</v>
      </c>
      <c r="D35" s="272">
        <f t="shared" si="0"/>
        <v>98819156.585000008</v>
      </c>
      <c r="F35" s="272">
        <f>+Data!S35</f>
        <v>420190</v>
      </c>
    </row>
    <row r="36" spans="1:6" ht="14.1" customHeight="1" x14ac:dyDescent="0.2">
      <c r="A36" s="15" t="s">
        <v>128</v>
      </c>
      <c r="B36" s="16">
        <f>'- 45 -'!C36</f>
        <v>1873597.425</v>
      </c>
      <c r="C36" s="16">
        <v>11264962</v>
      </c>
      <c r="D36" s="16">
        <f t="shared" si="0"/>
        <v>13138559.425000001</v>
      </c>
      <c r="F36" s="16">
        <f>+Data!S36</f>
        <v>588911</v>
      </c>
    </row>
    <row r="37" spans="1:6" ht="14.1" customHeight="1" x14ac:dyDescent="0.2">
      <c r="A37" s="271" t="s">
        <v>129</v>
      </c>
      <c r="B37" s="272">
        <f>'- 45 -'!C37</f>
        <v>1993109.37</v>
      </c>
      <c r="C37" s="272">
        <v>25142378</v>
      </c>
      <c r="D37" s="272">
        <f t="shared" si="0"/>
        <v>27135487.370000001</v>
      </c>
      <c r="F37" s="272">
        <f>+Data!S37</f>
        <v>317490</v>
      </c>
    </row>
    <row r="38" spans="1:6" ht="14.1" customHeight="1" x14ac:dyDescent="0.2">
      <c r="A38" s="15" t="s">
        <v>130</v>
      </c>
      <c r="B38" s="16">
        <f>'- 45 -'!C38</f>
        <v>3961986.4200000004</v>
      </c>
      <c r="C38" s="16">
        <v>54267290</v>
      </c>
      <c r="D38" s="16">
        <f t="shared" si="0"/>
        <v>58229276.420000002</v>
      </c>
      <c r="F38" s="16">
        <f>+Data!S38</f>
        <v>319578</v>
      </c>
    </row>
    <row r="39" spans="1:6" ht="14.1" customHeight="1" x14ac:dyDescent="0.2">
      <c r="A39" s="271" t="s">
        <v>131</v>
      </c>
      <c r="B39" s="272">
        <f>'- 45 -'!C39</f>
        <v>4237305.5550000006</v>
      </c>
      <c r="C39" s="272">
        <v>12805476</v>
      </c>
      <c r="D39" s="272">
        <f t="shared" si="0"/>
        <v>17042781.555</v>
      </c>
      <c r="F39" s="272">
        <f>+Data!S39</f>
        <v>789689</v>
      </c>
    </row>
    <row r="40" spans="1:6" ht="14.1" customHeight="1" x14ac:dyDescent="0.2">
      <c r="A40" s="15" t="s">
        <v>132</v>
      </c>
      <c r="B40" s="16">
        <f>'- 45 -'!C40</f>
        <v>16400226.255000001</v>
      </c>
      <c r="C40" s="16">
        <v>59608061</v>
      </c>
      <c r="D40" s="16">
        <f t="shared" si="0"/>
        <v>76008287.254999995</v>
      </c>
      <c r="F40" s="16">
        <f>+Data!S40</f>
        <v>571406</v>
      </c>
    </row>
    <row r="41" spans="1:6" ht="14.1" customHeight="1" x14ac:dyDescent="0.2">
      <c r="A41" s="271" t="s">
        <v>133</v>
      </c>
      <c r="B41" s="272">
        <f>'- 45 -'!C41</f>
        <v>4659011.07</v>
      </c>
      <c r="C41" s="272">
        <v>35247289</v>
      </c>
      <c r="D41" s="272">
        <f t="shared" si="0"/>
        <v>39906300.07</v>
      </c>
      <c r="F41" s="272">
        <f>+Data!S41</f>
        <v>544884</v>
      </c>
    </row>
    <row r="42" spans="1:6" ht="14.1" customHeight="1" x14ac:dyDescent="0.2">
      <c r="A42" s="15" t="s">
        <v>134</v>
      </c>
      <c r="B42" s="16">
        <f>'- 45 -'!C42</f>
        <v>873784.4850000001</v>
      </c>
      <c r="C42" s="16">
        <v>7521239</v>
      </c>
      <c r="D42" s="16">
        <f t="shared" si="0"/>
        <v>8395023.4849999994</v>
      </c>
      <c r="F42" s="16">
        <f>+Data!S42</f>
        <v>400267</v>
      </c>
    </row>
    <row r="43" spans="1:6" ht="14.1" customHeight="1" x14ac:dyDescent="0.2">
      <c r="A43" s="271" t="s">
        <v>135</v>
      </c>
      <c r="B43" s="272">
        <f>'- 45 -'!C43</f>
        <v>691957.245</v>
      </c>
      <c r="C43" s="272">
        <v>7041193</v>
      </c>
      <c r="D43" s="272">
        <f t="shared" si="0"/>
        <v>7733150.2450000001</v>
      </c>
      <c r="F43" s="272">
        <f>+Data!S43</f>
        <v>611882</v>
      </c>
    </row>
    <row r="44" spans="1:6" ht="14.1" customHeight="1" x14ac:dyDescent="0.2">
      <c r="A44" s="15" t="s">
        <v>136</v>
      </c>
      <c r="B44" s="16">
        <f>'- 45 -'!C44</f>
        <v>144202.905</v>
      </c>
      <c r="C44" s="16">
        <v>3349606</v>
      </c>
      <c r="D44" s="16">
        <f t="shared" si="0"/>
        <v>3493808.9049999998</v>
      </c>
      <c r="F44" s="16">
        <f>+Data!S44</f>
        <v>269085</v>
      </c>
    </row>
    <row r="45" spans="1:6" ht="14.1" customHeight="1" x14ac:dyDescent="0.2">
      <c r="A45" s="271" t="s">
        <v>137</v>
      </c>
      <c r="B45" s="272">
        <f>'- 45 -'!C45</f>
        <v>1052206.47</v>
      </c>
      <c r="C45" s="272">
        <v>8894415</v>
      </c>
      <c r="D45" s="272">
        <f t="shared" si="0"/>
        <v>9946621.4700000007</v>
      </c>
      <c r="F45" s="272">
        <f>+Data!S45</f>
        <v>327895</v>
      </c>
    </row>
    <row r="46" spans="1:6" ht="14.1" customHeight="1" x14ac:dyDescent="0.2">
      <c r="A46" s="15" t="s">
        <v>138</v>
      </c>
      <c r="B46" s="16">
        <f>'- 45 -'!C46</f>
        <v>49389341.715000004</v>
      </c>
      <c r="C46" s="16">
        <v>178368654</v>
      </c>
      <c r="D46" s="16">
        <f t="shared" si="0"/>
        <v>227757995.715</v>
      </c>
      <c r="F46" s="16">
        <f>+Data!S46</f>
        <v>409113</v>
      </c>
    </row>
    <row r="47" spans="1:6" ht="5.0999999999999996" customHeight="1" x14ac:dyDescent="0.2">
      <c r="A47"/>
      <c r="B47"/>
      <c r="C47"/>
      <c r="D47"/>
      <c r="F47"/>
    </row>
    <row r="48" spans="1:6" ht="14.1" customHeight="1" x14ac:dyDescent="0.2">
      <c r="A48" s="274" t="s">
        <v>139</v>
      </c>
      <c r="B48" s="275">
        <f>SUM(B11:B46)</f>
        <v>177591264.27000004</v>
      </c>
      <c r="C48" s="275">
        <f>SUM(C11:C46)</f>
        <v>1006946419</v>
      </c>
      <c r="D48" s="275">
        <f>SUM(D11:D46)</f>
        <v>1184537683.27</v>
      </c>
      <c r="F48" s="275">
        <f>+Data!S48</f>
        <v>433310.47371458152</v>
      </c>
    </row>
    <row r="49" spans="1:6" ht="50.1" customHeight="1" x14ac:dyDescent="0.2">
      <c r="A49" s="216" t="s">
        <v>1</v>
      </c>
      <c r="B49" s="19"/>
      <c r="C49" s="19"/>
      <c r="D49" s="19"/>
      <c r="E49" s="19"/>
      <c r="F49" s="19"/>
    </row>
    <row r="50" spans="1:6" ht="15" customHeight="1" x14ac:dyDescent="0.2">
      <c r="A50" s="760" t="s">
        <v>478</v>
      </c>
      <c r="B50" s="760"/>
      <c r="C50" s="760"/>
      <c r="D50" s="760"/>
      <c r="E50" s="760"/>
      <c r="F50" s="760"/>
    </row>
    <row r="51" spans="1:6" ht="12" customHeight="1" x14ac:dyDescent="0.2">
      <c r="A51" s="761"/>
      <c r="B51" s="761"/>
      <c r="C51" s="761"/>
      <c r="D51" s="761"/>
      <c r="E51" s="761"/>
      <c r="F51" s="761"/>
    </row>
    <row r="52" spans="1:6" ht="12" customHeight="1" x14ac:dyDescent="0.2">
      <c r="A52" s="761"/>
      <c r="B52" s="761"/>
      <c r="C52" s="761"/>
      <c r="D52" s="761"/>
      <c r="E52" s="761"/>
      <c r="F52" s="761"/>
    </row>
    <row r="53" spans="1:6" ht="14.45" customHeight="1" x14ac:dyDescent="0.2"/>
    <row r="54" spans="1:6" ht="14.45" customHeight="1" x14ac:dyDescent="0.2"/>
    <row r="55" spans="1:6" ht="14.45" customHeight="1" x14ac:dyDescent="0.2"/>
    <row r="56" spans="1:6" ht="14.45" customHeight="1" x14ac:dyDescent="0.2"/>
    <row r="57" spans="1:6" ht="14.45" customHeight="1" x14ac:dyDescent="0.2"/>
    <row r="58" spans="1:6" ht="14.45" customHeight="1" x14ac:dyDescent="0.2"/>
  </sheetData>
  <mergeCells count="3">
    <mergeCell ref="F7:F9"/>
    <mergeCell ref="B7:B9"/>
    <mergeCell ref="A50:F52"/>
  </mergeCells>
  <phoneticPr fontId="0" type="noConversion"/>
  <printOptions horizontalCentered="1"/>
  <pageMargins left="0.51181102362204722" right="0.51181102362204722" top="0.59055118110236227" bottom="0" header="0.31496062992125984" footer="0"/>
  <pageSetup scale="86" orientation="portrait" r:id="rId1"/>
  <headerFooter alignWithMargins="0">
    <oddHeader>&amp;C&amp;"Arial,Bold"&amp;10&amp;A</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G63"/>
  <sheetViews>
    <sheetView showGridLines="0" showZeros="0" workbookViewId="0"/>
  </sheetViews>
  <sheetFormatPr defaultColWidth="19.83203125" defaultRowHeight="12" x14ac:dyDescent="0.2"/>
  <cols>
    <col min="1" max="1" width="31.6640625" style="1" customWidth="1"/>
    <col min="2" max="2" width="21.83203125" style="1" customWidth="1"/>
    <col min="3" max="3" width="18.5" style="1" customWidth="1"/>
    <col min="4" max="4" width="13.6640625" style="1" customWidth="1"/>
    <col min="5" max="5" width="15.33203125" style="1" customWidth="1"/>
    <col min="6" max="6" width="15.83203125" style="1" customWidth="1"/>
    <col min="7" max="7" width="13.33203125" style="1" customWidth="1"/>
    <col min="8" max="16384" width="19.83203125" style="1"/>
  </cols>
  <sheetData>
    <row r="1" spans="1:7" ht="6.95" customHeight="1" x14ac:dyDescent="0.2">
      <c r="A1" s="3"/>
      <c r="B1" s="3"/>
      <c r="C1" s="3"/>
      <c r="D1" s="3"/>
      <c r="E1" s="3"/>
      <c r="F1" s="3"/>
      <c r="G1" s="3"/>
    </row>
    <row r="2" spans="1:7" ht="15.95" customHeight="1" x14ac:dyDescent="0.2">
      <c r="A2" s="229"/>
      <c r="B2" s="235" t="str">
        <f>REVYEAR</f>
        <v>ANALYSIS OF OPERATING FUND REVENUE: 2017/2018 BUDGET</v>
      </c>
      <c r="C2" s="235"/>
      <c r="D2" s="236"/>
      <c r="E2" s="232"/>
      <c r="F2" s="232"/>
      <c r="G2" s="185" t="s">
        <v>88</v>
      </c>
    </row>
    <row r="3" spans="1:7" ht="15.95" customHeight="1" x14ac:dyDescent="0.2">
      <c r="A3" s="180"/>
      <c r="B3" s="3"/>
      <c r="C3" s="3"/>
      <c r="D3" s="3"/>
      <c r="E3" s="3"/>
      <c r="F3" s="3"/>
      <c r="G3" s="3"/>
    </row>
    <row r="4" spans="1:7" ht="15.95" customHeight="1" x14ac:dyDescent="0.2">
      <c r="B4" s="769" t="s">
        <v>34</v>
      </c>
      <c r="C4" s="770"/>
      <c r="D4" s="770"/>
      <c r="E4" s="770"/>
      <c r="F4" s="770"/>
      <c r="G4" s="771"/>
    </row>
    <row r="5" spans="1:7" ht="15.95" customHeight="1" x14ac:dyDescent="0.2">
      <c r="B5" s="772" t="s">
        <v>102</v>
      </c>
      <c r="C5" s="773"/>
      <c r="D5" s="773"/>
      <c r="E5" s="773"/>
      <c r="F5" s="773"/>
      <c r="G5" s="774"/>
    </row>
    <row r="6" spans="1:7" ht="15.95" customHeight="1" x14ac:dyDescent="0.2">
      <c r="B6" s="616" t="s">
        <v>46</v>
      </c>
      <c r="C6" s="617"/>
      <c r="D6" s="617"/>
      <c r="E6" s="617"/>
      <c r="F6" s="617"/>
      <c r="G6" s="618"/>
    </row>
    <row r="7" spans="1:7" ht="15.95" customHeight="1" x14ac:dyDescent="0.2">
      <c r="B7" s="186"/>
      <c r="C7" s="702" t="s">
        <v>480</v>
      </c>
      <c r="D7" s="24"/>
      <c r="E7" s="24"/>
      <c r="F7" s="24"/>
      <c r="G7" s="24"/>
    </row>
    <row r="8" spans="1:7" ht="15.95" customHeight="1" x14ac:dyDescent="0.2">
      <c r="A8" s="82"/>
      <c r="B8" s="775" t="s">
        <v>479</v>
      </c>
      <c r="C8" s="777"/>
      <c r="D8" s="777" t="s">
        <v>481</v>
      </c>
      <c r="E8" s="777" t="s">
        <v>482</v>
      </c>
      <c r="F8" s="777" t="s">
        <v>483</v>
      </c>
      <c r="G8" s="777" t="s">
        <v>484</v>
      </c>
    </row>
    <row r="9" spans="1:7" ht="15.95" customHeight="1" x14ac:dyDescent="0.2">
      <c r="A9" s="27" t="s">
        <v>37</v>
      </c>
      <c r="B9" s="776"/>
      <c r="C9" s="778"/>
      <c r="D9" s="778"/>
      <c r="E9" s="778"/>
      <c r="F9" s="778"/>
      <c r="G9" s="778"/>
    </row>
    <row r="10" spans="1:7" ht="5.0999999999999996" customHeight="1" x14ac:dyDescent="0.2">
      <c r="A10" s="29"/>
      <c r="E10" s="3"/>
      <c r="F10" s="3"/>
      <c r="G10" s="3"/>
    </row>
    <row r="11" spans="1:7" ht="14.1" customHeight="1" x14ac:dyDescent="0.2">
      <c r="A11" s="271" t="s">
        <v>104</v>
      </c>
      <c r="B11" s="272">
        <v>3383812</v>
      </c>
      <c r="C11" s="272">
        <v>101584</v>
      </c>
      <c r="D11" s="272">
        <v>188583</v>
      </c>
      <c r="E11" s="272">
        <v>105360</v>
      </c>
      <c r="F11" s="272">
        <v>108872</v>
      </c>
      <c r="G11" s="272">
        <v>161552</v>
      </c>
    </row>
    <row r="12" spans="1:7" ht="14.1" customHeight="1" x14ac:dyDescent="0.2">
      <c r="A12" s="15" t="s">
        <v>105</v>
      </c>
      <c r="B12" s="16">
        <v>3824710</v>
      </c>
      <c r="C12" s="16">
        <v>0</v>
      </c>
      <c r="D12" s="16">
        <v>388291</v>
      </c>
      <c r="E12" s="16">
        <v>119088</v>
      </c>
      <c r="F12" s="16">
        <v>123058</v>
      </c>
      <c r="G12" s="16">
        <v>182602</v>
      </c>
    </row>
    <row r="13" spans="1:7" ht="14.1" customHeight="1" x14ac:dyDescent="0.2">
      <c r="A13" s="271" t="s">
        <v>106</v>
      </c>
      <c r="B13" s="272">
        <v>16046700</v>
      </c>
      <c r="C13" s="272">
        <v>0</v>
      </c>
      <c r="D13" s="272">
        <v>126000</v>
      </c>
      <c r="E13" s="272">
        <v>499600</v>
      </c>
      <c r="F13" s="272">
        <v>516300</v>
      </c>
      <c r="G13" s="272">
        <v>766100</v>
      </c>
    </row>
    <row r="14" spans="1:7" ht="14.1" customHeight="1" x14ac:dyDescent="0.2">
      <c r="A14" s="15" t="s">
        <v>315</v>
      </c>
      <c r="B14" s="16">
        <v>10021364</v>
      </c>
      <c r="C14" s="16">
        <v>25904</v>
      </c>
      <c r="D14" s="16">
        <v>774132</v>
      </c>
      <c r="E14" s="16">
        <v>312030</v>
      </c>
      <c r="F14" s="16">
        <v>322431</v>
      </c>
      <c r="G14" s="16">
        <v>478446</v>
      </c>
    </row>
    <row r="15" spans="1:7" ht="14.1" customHeight="1" x14ac:dyDescent="0.2">
      <c r="A15" s="271" t="s">
        <v>107</v>
      </c>
      <c r="B15" s="272">
        <v>2661572</v>
      </c>
      <c r="C15" s="272">
        <v>0</v>
      </c>
      <c r="D15" s="272">
        <v>233917</v>
      </c>
      <c r="E15" s="272">
        <v>82872</v>
      </c>
      <c r="F15" s="272">
        <v>85634</v>
      </c>
      <c r="G15" s="272">
        <v>127070</v>
      </c>
    </row>
    <row r="16" spans="1:7" ht="14.1" customHeight="1" x14ac:dyDescent="0.2">
      <c r="A16" s="15" t="s">
        <v>108</v>
      </c>
      <c r="B16" s="16">
        <v>1706937</v>
      </c>
      <c r="C16" s="16">
        <v>33082</v>
      </c>
      <c r="D16" s="16">
        <v>0</v>
      </c>
      <c r="E16" s="16">
        <v>53148</v>
      </c>
      <c r="F16" s="16">
        <v>54920</v>
      </c>
      <c r="G16" s="16">
        <v>81494</v>
      </c>
    </row>
    <row r="17" spans="1:7" ht="14.1" customHeight="1" x14ac:dyDescent="0.2">
      <c r="A17" s="271" t="s">
        <v>109</v>
      </c>
      <c r="B17" s="272">
        <v>2548458</v>
      </c>
      <c r="C17" s="272">
        <v>37610</v>
      </c>
      <c r="D17" s="272">
        <v>277629</v>
      </c>
      <c r="E17" s="272">
        <v>79350</v>
      </c>
      <c r="F17" s="272">
        <v>81995</v>
      </c>
      <c r="G17" s="272">
        <v>121670</v>
      </c>
    </row>
    <row r="18" spans="1:7" ht="14.1" customHeight="1" x14ac:dyDescent="0.2">
      <c r="A18" s="15" t="s">
        <v>110</v>
      </c>
      <c r="B18" s="16">
        <v>4348276</v>
      </c>
      <c r="C18" s="16">
        <v>0</v>
      </c>
      <c r="D18" s="16">
        <v>986164</v>
      </c>
      <c r="E18" s="16">
        <v>135390</v>
      </c>
      <c r="F18" s="16">
        <v>139903</v>
      </c>
      <c r="G18" s="16">
        <v>207598</v>
      </c>
    </row>
    <row r="19" spans="1:7" ht="14.1" customHeight="1" x14ac:dyDescent="0.2">
      <c r="A19" s="271" t="s">
        <v>111</v>
      </c>
      <c r="B19" s="272">
        <v>8218462</v>
      </c>
      <c r="C19" s="272">
        <v>0</v>
      </c>
      <c r="D19" s="272">
        <v>195214</v>
      </c>
      <c r="E19" s="272">
        <v>255894</v>
      </c>
      <c r="F19" s="272">
        <v>264424</v>
      </c>
      <c r="G19" s="272">
        <v>392371</v>
      </c>
    </row>
    <row r="20" spans="1:7" ht="14.1" customHeight="1" x14ac:dyDescent="0.2">
      <c r="A20" s="15" t="s">
        <v>112</v>
      </c>
      <c r="B20" s="16">
        <v>14703395</v>
      </c>
      <c r="C20" s="16">
        <v>0</v>
      </c>
      <c r="D20" s="16">
        <v>239720</v>
      </c>
      <c r="E20" s="16">
        <v>457812</v>
      </c>
      <c r="F20" s="16">
        <v>473072</v>
      </c>
      <c r="G20" s="16">
        <v>701978</v>
      </c>
    </row>
    <row r="21" spans="1:7" ht="14.1" customHeight="1" x14ac:dyDescent="0.2">
      <c r="A21" s="271" t="s">
        <v>113</v>
      </c>
      <c r="B21" s="272">
        <v>5284027</v>
      </c>
      <c r="C21" s="272">
        <v>46272</v>
      </c>
      <c r="D21" s="272">
        <v>472036</v>
      </c>
      <c r="E21" s="272">
        <v>164526</v>
      </c>
      <c r="F21" s="272">
        <v>170010</v>
      </c>
      <c r="G21" s="272">
        <v>252273</v>
      </c>
    </row>
    <row r="22" spans="1:7" ht="14.1" customHeight="1" x14ac:dyDescent="0.2">
      <c r="A22" s="15" t="s">
        <v>114</v>
      </c>
      <c r="B22" s="16">
        <v>2935977</v>
      </c>
      <c r="C22" s="16">
        <v>14954</v>
      </c>
      <c r="D22" s="16">
        <v>21404</v>
      </c>
      <c r="E22" s="16">
        <v>89676</v>
      </c>
      <c r="F22" s="16">
        <v>92665</v>
      </c>
      <c r="G22" s="16">
        <v>137503</v>
      </c>
    </row>
    <row r="23" spans="1:7" ht="14.1" customHeight="1" x14ac:dyDescent="0.2">
      <c r="A23" s="271" t="s">
        <v>115</v>
      </c>
      <c r="B23" s="272">
        <v>1912548</v>
      </c>
      <c r="C23" s="272">
        <v>23802</v>
      </c>
      <c r="D23" s="272">
        <v>367088</v>
      </c>
      <c r="E23" s="272">
        <v>59550</v>
      </c>
      <c r="F23" s="272">
        <v>61535</v>
      </c>
      <c r="G23" s="272">
        <v>91310</v>
      </c>
    </row>
    <row r="24" spans="1:7" ht="14.1" customHeight="1" x14ac:dyDescent="0.2">
      <c r="A24" s="15" t="s">
        <v>116</v>
      </c>
      <c r="B24" s="16">
        <v>7443616</v>
      </c>
      <c r="C24" s="16">
        <v>0</v>
      </c>
      <c r="D24" s="16">
        <v>350181</v>
      </c>
      <c r="E24" s="16">
        <v>231768</v>
      </c>
      <c r="F24" s="16">
        <v>239494</v>
      </c>
      <c r="G24" s="16">
        <v>355378</v>
      </c>
    </row>
    <row r="25" spans="1:7" ht="14.1" customHeight="1" x14ac:dyDescent="0.2">
      <c r="A25" s="271" t="s">
        <v>117</v>
      </c>
      <c r="B25" s="272">
        <v>27073387</v>
      </c>
      <c r="C25" s="272">
        <v>9573</v>
      </c>
      <c r="D25" s="272">
        <v>0</v>
      </c>
      <c r="E25" s="272">
        <v>842970</v>
      </c>
      <c r="F25" s="272">
        <v>871069</v>
      </c>
      <c r="G25" s="272">
        <v>1292554</v>
      </c>
    </row>
    <row r="26" spans="1:7" ht="14.1" customHeight="1" x14ac:dyDescent="0.2">
      <c r="A26" s="15" t="s">
        <v>118</v>
      </c>
      <c r="B26" s="16">
        <v>5594466</v>
      </c>
      <c r="C26" s="16">
        <v>0</v>
      </c>
      <c r="D26" s="16">
        <v>575685</v>
      </c>
      <c r="E26" s="16">
        <v>174192</v>
      </c>
      <c r="F26" s="16">
        <v>179998</v>
      </c>
      <c r="G26" s="16">
        <v>267094</v>
      </c>
    </row>
    <row r="27" spans="1:7" ht="14.1" customHeight="1" x14ac:dyDescent="0.2">
      <c r="A27" s="271" t="s">
        <v>119</v>
      </c>
      <c r="B27" s="272">
        <v>5638017</v>
      </c>
      <c r="C27" s="272">
        <v>0</v>
      </c>
      <c r="D27" s="272">
        <v>0</v>
      </c>
      <c r="E27" s="272">
        <v>175548</v>
      </c>
      <c r="F27" s="272">
        <v>181400</v>
      </c>
      <c r="G27" s="272">
        <v>269174</v>
      </c>
    </row>
    <row r="28" spans="1:7" ht="14.1" customHeight="1" x14ac:dyDescent="0.2">
      <c r="A28" s="15" t="s">
        <v>120</v>
      </c>
      <c r="B28" s="16">
        <v>2872194</v>
      </c>
      <c r="C28" s="16">
        <v>25779</v>
      </c>
      <c r="D28" s="16">
        <v>514330</v>
      </c>
      <c r="E28" s="16">
        <v>89430</v>
      </c>
      <c r="F28" s="16">
        <v>92411</v>
      </c>
      <c r="G28" s="16">
        <v>137126</v>
      </c>
    </row>
    <row r="29" spans="1:7" ht="14.1" customHeight="1" x14ac:dyDescent="0.2">
      <c r="A29" s="271" t="s">
        <v>121</v>
      </c>
      <c r="B29" s="272">
        <v>24848665</v>
      </c>
      <c r="C29" s="272">
        <v>56206</v>
      </c>
      <c r="D29" s="272">
        <v>0</v>
      </c>
      <c r="E29" s="272">
        <v>773700</v>
      </c>
      <c r="F29" s="272">
        <v>799490</v>
      </c>
      <c r="G29" s="272">
        <v>1186340</v>
      </c>
    </row>
    <row r="30" spans="1:7" ht="14.1" customHeight="1" x14ac:dyDescent="0.2">
      <c r="A30" s="15" t="s">
        <v>122</v>
      </c>
      <c r="B30" s="16">
        <v>1907730</v>
      </c>
      <c r="C30" s="16">
        <v>23795</v>
      </c>
      <c r="D30" s="16">
        <v>325612</v>
      </c>
      <c r="E30" s="16">
        <v>59400</v>
      </c>
      <c r="F30" s="16">
        <v>61380</v>
      </c>
      <c r="G30" s="16">
        <v>91080</v>
      </c>
    </row>
    <row r="31" spans="1:7" ht="14.1" customHeight="1" x14ac:dyDescent="0.2">
      <c r="A31" s="271" t="s">
        <v>123</v>
      </c>
      <c r="B31" s="272">
        <v>6013204</v>
      </c>
      <c r="C31" s="272">
        <v>0</v>
      </c>
      <c r="D31" s="272">
        <v>197573</v>
      </c>
      <c r="E31" s="272">
        <v>187230</v>
      </c>
      <c r="F31" s="272">
        <v>193471</v>
      </c>
      <c r="G31" s="272">
        <v>287086</v>
      </c>
    </row>
    <row r="32" spans="1:7" ht="14.1" customHeight="1" x14ac:dyDescent="0.2">
      <c r="A32" s="15" t="s">
        <v>124</v>
      </c>
      <c r="B32" s="16">
        <v>4145362</v>
      </c>
      <c r="C32" s="16">
        <v>0</v>
      </c>
      <c r="D32" s="16">
        <v>622477</v>
      </c>
      <c r="E32" s="16">
        <v>129072</v>
      </c>
      <c r="F32" s="16">
        <v>133374</v>
      </c>
      <c r="G32" s="16">
        <v>197910</v>
      </c>
    </row>
    <row r="33" spans="1:7" ht="14.1" customHeight="1" x14ac:dyDescent="0.2">
      <c r="A33" s="271" t="s">
        <v>125</v>
      </c>
      <c r="B33" s="272">
        <v>3838006</v>
      </c>
      <c r="C33" s="272">
        <v>39806</v>
      </c>
      <c r="D33" s="272">
        <v>805629</v>
      </c>
      <c r="E33" s="272">
        <v>119502</v>
      </c>
      <c r="F33" s="272">
        <v>123485</v>
      </c>
      <c r="G33" s="272">
        <v>183236</v>
      </c>
    </row>
    <row r="34" spans="1:7" ht="14.1" customHeight="1" x14ac:dyDescent="0.2">
      <c r="A34" s="15" t="s">
        <v>126</v>
      </c>
      <c r="B34" s="16">
        <v>3932814</v>
      </c>
      <c r="C34" s="16">
        <v>82018</v>
      </c>
      <c r="D34" s="16">
        <v>602154</v>
      </c>
      <c r="E34" s="16">
        <v>122454</v>
      </c>
      <c r="F34" s="16">
        <v>126536</v>
      </c>
      <c r="G34" s="16">
        <v>187763</v>
      </c>
    </row>
    <row r="35" spans="1:7" ht="14.1" customHeight="1" x14ac:dyDescent="0.2">
      <c r="A35" s="271" t="s">
        <v>127</v>
      </c>
      <c r="B35" s="272">
        <v>29853084</v>
      </c>
      <c r="C35" s="272">
        <v>0</v>
      </c>
      <c r="D35" s="272">
        <v>0</v>
      </c>
      <c r="E35" s="272">
        <v>929520</v>
      </c>
      <c r="F35" s="272">
        <v>960504</v>
      </c>
      <c r="G35" s="272">
        <v>1425264</v>
      </c>
    </row>
    <row r="36" spans="1:7" ht="14.1" customHeight="1" x14ac:dyDescent="0.2">
      <c r="A36" s="15" t="s">
        <v>128</v>
      </c>
      <c r="B36" s="16">
        <v>2992824</v>
      </c>
      <c r="C36" s="16">
        <v>66608</v>
      </c>
      <c r="D36" s="16">
        <v>462207</v>
      </c>
      <c r="E36" s="16">
        <v>93186</v>
      </c>
      <c r="F36" s="16">
        <v>96292</v>
      </c>
      <c r="G36" s="16">
        <v>142885</v>
      </c>
    </row>
    <row r="37" spans="1:7" ht="14.1" customHeight="1" x14ac:dyDescent="0.2">
      <c r="A37" s="271" t="s">
        <v>129</v>
      </c>
      <c r="B37" s="272">
        <v>8064495</v>
      </c>
      <c r="C37" s="272">
        <v>0</v>
      </c>
      <c r="D37" s="272">
        <v>452588</v>
      </c>
      <c r="E37" s="272">
        <v>251100</v>
      </c>
      <c r="F37" s="272">
        <v>259470</v>
      </c>
      <c r="G37" s="272">
        <v>385020</v>
      </c>
    </row>
    <row r="38" spans="1:7" ht="14.1" customHeight="1" x14ac:dyDescent="0.2">
      <c r="A38" s="15" t="s">
        <v>130</v>
      </c>
      <c r="B38" s="16">
        <v>20988499</v>
      </c>
      <c r="C38" s="16">
        <v>0</v>
      </c>
      <c r="D38" s="16">
        <v>0</v>
      </c>
      <c r="E38" s="16">
        <v>653508</v>
      </c>
      <c r="F38" s="16">
        <v>675292</v>
      </c>
      <c r="G38" s="16">
        <v>1002046</v>
      </c>
    </row>
    <row r="39" spans="1:7" ht="14.1" customHeight="1" x14ac:dyDescent="0.2">
      <c r="A39" s="271" t="s">
        <v>131</v>
      </c>
      <c r="B39" s="272">
        <v>2893198</v>
      </c>
      <c r="C39" s="272">
        <v>0</v>
      </c>
      <c r="D39" s="272">
        <v>520602</v>
      </c>
      <c r="E39" s="272">
        <v>90084</v>
      </c>
      <c r="F39" s="272">
        <v>93087</v>
      </c>
      <c r="G39" s="272">
        <v>138129</v>
      </c>
    </row>
    <row r="40" spans="1:7" ht="14.1" customHeight="1" x14ac:dyDescent="0.2">
      <c r="A40" s="15" t="s">
        <v>132</v>
      </c>
      <c r="B40" s="16">
        <v>15391913</v>
      </c>
      <c r="C40" s="16">
        <v>0</v>
      </c>
      <c r="D40" s="16">
        <v>0</v>
      </c>
      <c r="E40" s="16">
        <v>479250</v>
      </c>
      <c r="F40" s="16">
        <v>495225</v>
      </c>
      <c r="G40" s="16">
        <v>734850</v>
      </c>
    </row>
    <row r="41" spans="1:7" ht="14.1" customHeight="1" x14ac:dyDescent="0.2">
      <c r="A41" s="271" t="s">
        <v>133</v>
      </c>
      <c r="B41" s="272">
        <v>8459428</v>
      </c>
      <c r="C41" s="272">
        <v>0</v>
      </c>
      <c r="D41" s="272">
        <v>477857</v>
      </c>
      <c r="E41" s="272">
        <v>263460</v>
      </c>
      <c r="F41" s="272">
        <v>272242</v>
      </c>
      <c r="G41" s="272">
        <v>403972</v>
      </c>
    </row>
    <row r="42" spans="1:7" ht="14.1" customHeight="1" x14ac:dyDescent="0.2">
      <c r="A42" s="15" t="s">
        <v>134</v>
      </c>
      <c r="B42" s="16">
        <v>2589117</v>
      </c>
      <c r="C42" s="16">
        <v>22945</v>
      </c>
      <c r="D42" s="16">
        <v>265294</v>
      </c>
      <c r="E42" s="16">
        <v>80616</v>
      </c>
      <c r="F42" s="16">
        <v>83303</v>
      </c>
      <c r="G42" s="16">
        <v>123611</v>
      </c>
    </row>
    <row r="43" spans="1:7" ht="14.1" customHeight="1" x14ac:dyDescent="0.2">
      <c r="A43" s="271" t="s">
        <v>135</v>
      </c>
      <c r="B43" s="272">
        <v>1857050</v>
      </c>
      <c r="C43" s="272">
        <v>19547</v>
      </c>
      <c r="D43" s="272">
        <v>259141</v>
      </c>
      <c r="E43" s="272">
        <v>57822</v>
      </c>
      <c r="F43" s="272">
        <v>59749</v>
      </c>
      <c r="G43" s="272">
        <v>88660</v>
      </c>
    </row>
    <row r="44" spans="1:7" ht="14.1" customHeight="1" x14ac:dyDescent="0.2">
      <c r="A44" s="15" t="s">
        <v>136</v>
      </c>
      <c r="B44" s="16">
        <v>1335989</v>
      </c>
      <c r="C44" s="16">
        <v>48187</v>
      </c>
      <c r="D44" s="16">
        <v>296881</v>
      </c>
      <c r="E44" s="16">
        <v>41598</v>
      </c>
      <c r="F44" s="16">
        <v>42985</v>
      </c>
      <c r="G44" s="16">
        <v>63784</v>
      </c>
    </row>
    <row r="45" spans="1:7" ht="14.1" customHeight="1" x14ac:dyDescent="0.2">
      <c r="A45" s="271" t="s">
        <v>137</v>
      </c>
      <c r="B45" s="272">
        <v>3203445</v>
      </c>
      <c r="C45" s="272">
        <v>0</v>
      </c>
      <c r="D45" s="272">
        <v>0</v>
      </c>
      <c r="E45" s="272">
        <v>99744</v>
      </c>
      <c r="F45" s="272">
        <v>103069</v>
      </c>
      <c r="G45" s="272">
        <v>152941</v>
      </c>
    </row>
    <row r="46" spans="1:7" ht="14.1" customHeight="1" x14ac:dyDescent="0.2">
      <c r="A46" s="15" t="s">
        <v>138</v>
      </c>
      <c r="B46" s="16">
        <v>57111240</v>
      </c>
      <c r="C46" s="16">
        <v>0</v>
      </c>
      <c r="D46" s="16">
        <v>0</v>
      </c>
      <c r="E46" s="16">
        <v>1778244</v>
      </c>
      <c r="F46" s="16">
        <v>1837519</v>
      </c>
      <c r="G46" s="16">
        <v>2726641</v>
      </c>
    </row>
    <row r="47" spans="1:7" ht="5.0999999999999996" customHeight="1" x14ac:dyDescent="0.2">
      <c r="A47"/>
      <c r="B47"/>
      <c r="C47"/>
      <c r="D47"/>
      <c r="E47"/>
      <c r="F47"/>
      <c r="G47"/>
    </row>
    <row r="48" spans="1:7" ht="14.1" customHeight="1" x14ac:dyDescent="0.2">
      <c r="A48" s="274" t="s">
        <v>139</v>
      </c>
      <c r="B48" s="275">
        <f t="shared" ref="B48:G48" si="0">SUM(B11:B46)</f>
        <v>325643981</v>
      </c>
      <c r="C48" s="275">
        <f t="shared" si="0"/>
        <v>677672</v>
      </c>
      <c r="D48" s="275">
        <f t="shared" si="0"/>
        <v>10998389</v>
      </c>
      <c r="E48" s="275">
        <f t="shared" si="0"/>
        <v>10137694</v>
      </c>
      <c r="F48" s="275">
        <f t="shared" si="0"/>
        <v>10475664</v>
      </c>
      <c r="G48" s="275">
        <f t="shared" si="0"/>
        <v>15544511</v>
      </c>
    </row>
    <row r="49" spans="1:7" ht="5.0999999999999996" customHeight="1" x14ac:dyDescent="0.2">
      <c r="A49" s="17" t="s">
        <v>1</v>
      </c>
      <c r="B49" s="18"/>
      <c r="C49" s="18"/>
      <c r="D49" s="18"/>
      <c r="E49" s="18"/>
      <c r="F49" s="18"/>
      <c r="G49" s="18"/>
    </row>
    <row r="50" spans="1:7" ht="14.45" customHeight="1" x14ac:dyDescent="0.2">
      <c r="A50" s="15" t="s">
        <v>140</v>
      </c>
      <c r="B50" s="16">
        <v>196373</v>
      </c>
      <c r="C50" s="16">
        <v>53626</v>
      </c>
      <c r="D50" s="16">
        <v>0</v>
      </c>
      <c r="E50" s="16">
        <v>9300</v>
      </c>
      <c r="F50" s="16">
        <v>9610</v>
      </c>
      <c r="G50" s="16">
        <v>14260</v>
      </c>
    </row>
    <row r="51" spans="1:7" ht="14.1" customHeight="1" x14ac:dyDescent="0.2">
      <c r="A51" s="360" t="s">
        <v>516</v>
      </c>
      <c r="B51" s="272">
        <v>0</v>
      </c>
      <c r="C51" s="272">
        <v>0</v>
      </c>
      <c r="D51" s="272">
        <v>0</v>
      </c>
      <c r="E51" s="272">
        <v>0</v>
      </c>
      <c r="F51" s="272">
        <v>0</v>
      </c>
      <c r="G51" s="272">
        <v>0</v>
      </c>
    </row>
    <row r="52" spans="1:7" ht="50.1" customHeight="1" x14ac:dyDescent="0.2">
      <c r="A52" s="19"/>
      <c r="B52" s="19"/>
      <c r="C52" s="19"/>
      <c r="D52" s="19"/>
      <c r="E52" s="19"/>
      <c r="F52" s="19"/>
      <c r="G52" s="19"/>
    </row>
    <row r="53" spans="1:7" ht="15" customHeight="1" x14ac:dyDescent="0.2">
      <c r="A53" s="131" t="s">
        <v>586</v>
      </c>
      <c r="D53" s="31"/>
      <c r="E53" s="31"/>
      <c r="F53" s="31"/>
      <c r="G53" s="31"/>
    </row>
    <row r="54" spans="1:7" ht="12" customHeight="1" x14ac:dyDescent="0.2">
      <c r="A54" s="31" t="s">
        <v>317</v>
      </c>
      <c r="D54" s="31"/>
      <c r="E54" s="31"/>
      <c r="F54" s="31"/>
      <c r="G54" s="31"/>
    </row>
    <row r="55" spans="1:7" ht="14.45" customHeight="1" x14ac:dyDescent="0.2">
      <c r="A55" s="31"/>
      <c r="D55" s="31"/>
      <c r="E55" s="31"/>
      <c r="F55" s="31"/>
      <c r="G55" s="31"/>
    </row>
    <row r="56" spans="1:7" ht="14.45" customHeight="1" x14ac:dyDescent="0.2">
      <c r="D56" s="90"/>
      <c r="E56" s="90"/>
      <c r="F56" s="90"/>
      <c r="G56" s="90"/>
    </row>
    <row r="57" spans="1:7" ht="14.45" customHeight="1" x14ac:dyDescent="0.2"/>
    <row r="58" spans="1:7" ht="14.45" customHeight="1" x14ac:dyDescent="0.2"/>
    <row r="59" spans="1:7" ht="14.45" customHeight="1" x14ac:dyDescent="0.2"/>
    <row r="63" spans="1:7" ht="15" customHeight="1" x14ac:dyDescent="0.2"/>
  </sheetData>
  <mergeCells count="9">
    <mergeCell ref="B4:G4"/>
    <mergeCell ref="B5:G5"/>
    <mergeCell ref="B6:G6"/>
    <mergeCell ref="B8:B9"/>
    <mergeCell ref="C7:C9"/>
    <mergeCell ref="D8:D9"/>
    <mergeCell ref="E8:E9"/>
    <mergeCell ref="F8:F9"/>
    <mergeCell ref="G8:G9"/>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1">
    <pageSetUpPr fitToPage="1"/>
  </sheetPr>
  <dimension ref="A1:K59"/>
  <sheetViews>
    <sheetView showGridLines="0" showZeros="0" workbookViewId="0"/>
  </sheetViews>
  <sheetFormatPr defaultColWidth="19.83203125" defaultRowHeight="12" x14ac:dyDescent="0.2"/>
  <cols>
    <col min="1" max="1" width="29.83203125" style="1" customWidth="1"/>
    <col min="2" max="2" width="15.83203125" style="1" customWidth="1"/>
    <col min="3" max="3" width="17.83203125" style="1" customWidth="1"/>
    <col min="4" max="4" width="18.83203125" style="1" customWidth="1"/>
    <col min="5" max="5" width="14.83203125" style="1" customWidth="1"/>
    <col min="6" max="7" width="17.83203125" style="1" customWidth="1"/>
    <col min="8" max="16384" width="19.83203125" style="1"/>
  </cols>
  <sheetData>
    <row r="1" spans="1:7" ht="6.95" customHeight="1" x14ac:dyDescent="0.2">
      <c r="A1" s="3"/>
      <c r="B1" s="3"/>
      <c r="C1" s="3"/>
      <c r="D1" s="3"/>
      <c r="E1" s="3"/>
      <c r="F1" s="3"/>
      <c r="G1" s="3"/>
    </row>
    <row r="2" spans="1:7" ht="15.95" customHeight="1" x14ac:dyDescent="0.2">
      <c r="A2" s="229"/>
      <c r="B2" s="235" t="str">
        <f>REVYEAR</f>
        <v>ANALYSIS OF OPERATING FUND REVENUE: 2017/2018 BUDGET</v>
      </c>
      <c r="C2" s="236"/>
      <c r="D2" s="232"/>
      <c r="E2" s="232"/>
      <c r="F2" s="237"/>
      <c r="G2" s="185" t="s">
        <v>89</v>
      </c>
    </row>
    <row r="3" spans="1:7" ht="15.95" customHeight="1" x14ac:dyDescent="0.2">
      <c r="A3" s="180"/>
      <c r="B3" s="180"/>
      <c r="C3" s="3"/>
      <c r="D3" s="3"/>
      <c r="E3" s="3"/>
      <c r="F3" s="3"/>
      <c r="G3" s="3"/>
    </row>
    <row r="4" spans="1:7" ht="15.95" customHeight="1" x14ac:dyDescent="0.2">
      <c r="B4" s="769" t="s">
        <v>34</v>
      </c>
      <c r="C4" s="770"/>
      <c r="D4" s="770"/>
      <c r="E4" s="770"/>
      <c r="F4" s="770"/>
      <c r="G4" s="771"/>
    </row>
    <row r="5" spans="1:7" ht="15.95" customHeight="1" x14ac:dyDescent="0.2">
      <c r="B5" s="772" t="s">
        <v>101</v>
      </c>
      <c r="C5" s="773"/>
      <c r="D5" s="773"/>
      <c r="E5" s="773"/>
      <c r="F5" s="773"/>
      <c r="G5" s="774"/>
    </row>
    <row r="6" spans="1:7" ht="15.95" customHeight="1" x14ac:dyDescent="0.2">
      <c r="B6" s="779" t="s">
        <v>46</v>
      </c>
      <c r="C6" s="780"/>
      <c r="D6" s="780"/>
      <c r="E6" s="780"/>
      <c r="F6" s="780"/>
      <c r="G6" s="781"/>
    </row>
    <row r="7" spans="1:7" ht="15.95" customHeight="1" x14ac:dyDescent="0.2">
      <c r="B7" s="186"/>
      <c r="C7" s="24"/>
      <c r="D7" s="24"/>
      <c r="E7" s="24"/>
      <c r="F7" s="24"/>
      <c r="G7" s="702" t="s">
        <v>487</v>
      </c>
    </row>
    <row r="8" spans="1:7" ht="15.95" customHeight="1" x14ac:dyDescent="0.2">
      <c r="A8" s="82"/>
      <c r="B8" s="775" t="s">
        <v>576</v>
      </c>
      <c r="C8" s="777" t="s">
        <v>411</v>
      </c>
      <c r="D8" s="777" t="s">
        <v>485</v>
      </c>
      <c r="E8" s="777" t="s">
        <v>486</v>
      </c>
      <c r="F8" s="238"/>
      <c r="G8" s="777"/>
    </row>
    <row r="9" spans="1:7" ht="15.95" customHeight="1" x14ac:dyDescent="0.2">
      <c r="A9" s="27" t="s">
        <v>37</v>
      </c>
      <c r="B9" s="776"/>
      <c r="C9" s="778"/>
      <c r="D9" s="778"/>
      <c r="E9" s="778"/>
      <c r="F9" s="94" t="s">
        <v>55</v>
      </c>
      <c r="G9" s="778"/>
    </row>
    <row r="10" spans="1:7" ht="5.0999999999999996" customHeight="1" x14ac:dyDescent="0.2">
      <c r="A10" s="29"/>
      <c r="B10" s="3"/>
      <c r="F10" s="3"/>
      <c r="G10" s="3"/>
    </row>
    <row r="11" spans="1:7" ht="14.1" customHeight="1" x14ac:dyDescent="0.2">
      <c r="A11" s="271" t="s">
        <v>104</v>
      </c>
      <c r="B11" s="272">
        <v>550216</v>
      </c>
      <c r="C11" s="272">
        <v>145748</v>
      </c>
      <c r="D11" s="272">
        <v>80776</v>
      </c>
      <c r="E11" s="272">
        <v>31875</v>
      </c>
      <c r="F11" s="272">
        <v>885780</v>
      </c>
      <c r="G11" s="272">
        <f>SUM('- 51 -'!$B11:G11,B11:F11)</f>
        <v>5744158</v>
      </c>
    </row>
    <row r="12" spans="1:7" ht="14.1" customHeight="1" x14ac:dyDescent="0.2">
      <c r="A12" s="15" t="s">
        <v>105</v>
      </c>
      <c r="B12" s="16">
        <v>669402</v>
      </c>
      <c r="C12" s="16">
        <v>164738</v>
      </c>
      <c r="D12" s="16">
        <v>91301</v>
      </c>
      <c r="E12" s="16">
        <v>39875</v>
      </c>
      <c r="F12" s="16">
        <v>1225215</v>
      </c>
      <c r="G12" s="16">
        <f>SUM('- 51 -'!$B12:G12,B12:F12)</f>
        <v>6828280</v>
      </c>
    </row>
    <row r="13" spans="1:7" ht="14.1" customHeight="1" x14ac:dyDescent="0.2">
      <c r="A13" s="271" t="s">
        <v>106</v>
      </c>
      <c r="B13" s="272">
        <v>2831500</v>
      </c>
      <c r="C13" s="272">
        <v>691200</v>
      </c>
      <c r="D13" s="272">
        <v>383100</v>
      </c>
      <c r="E13" s="272">
        <v>188400</v>
      </c>
      <c r="F13" s="272">
        <v>3032700</v>
      </c>
      <c r="G13" s="272">
        <f>SUM('- 51 -'!$B13:G13,B13:F13)</f>
        <v>25081600</v>
      </c>
    </row>
    <row r="14" spans="1:7" ht="14.1" customHeight="1" x14ac:dyDescent="0.2">
      <c r="A14" s="15" t="s">
        <v>315</v>
      </c>
      <c r="B14" s="16">
        <v>1646182</v>
      </c>
      <c r="C14" s="16">
        <v>431642</v>
      </c>
      <c r="D14" s="16">
        <v>202820</v>
      </c>
      <c r="E14" s="16">
        <v>82250</v>
      </c>
      <c r="F14" s="16">
        <v>2745405</v>
      </c>
      <c r="G14" s="16">
        <f>SUM('- 51 -'!$B14:G14,B14:F14)</f>
        <v>17042606</v>
      </c>
    </row>
    <row r="15" spans="1:7" ht="14.1" customHeight="1" x14ac:dyDescent="0.2">
      <c r="A15" s="271" t="s">
        <v>107</v>
      </c>
      <c r="B15" s="272">
        <v>471597</v>
      </c>
      <c r="C15" s="272">
        <v>114640</v>
      </c>
      <c r="D15" s="272">
        <v>53867</v>
      </c>
      <c r="E15" s="272">
        <v>31625</v>
      </c>
      <c r="F15" s="272">
        <v>853290</v>
      </c>
      <c r="G15" s="272">
        <f>SUM('- 51 -'!$B15:G15,B15:F15)</f>
        <v>4716084</v>
      </c>
    </row>
    <row r="16" spans="1:7" ht="14.1" customHeight="1" x14ac:dyDescent="0.2">
      <c r="A16" s="15" t="s">
        <v>108</v>
      </c>
      <c r="B16" s="16">
        <v>310158</v>
      </c>
      <c r="C16" s="16">
        <v>73521</v>
      </c>
      <c r="D16" s="16">
        <v>45176</v>
      </c>
      <c r="E16" s="16">
        <v>28000</v>
      </c>
      <c r="F16" s="16">
        <v>595935</v>
      </c>
      <c r="G16" s="16">
        <f>SUM('- 51 -'!$B16:G16,B16:F16)</f>
        <v>2982371</v>
      </c>
    </row>
    <row r="17" spans="1:7" ht="14.1" customHeight="1" x14ac:dyDescent="0.2">
      <c r="A17" s="271" t="s">
        <v>109</v>
      </c>
      <c r="B17" s="272">
        <v>415207</v>
      </c>
      <c r="C17" s="272">
        <v>109768</v>
      </c>
      <c r="D17" s="272">
        <v>60835</v>
      </c>
      <c r="E17" s="272">
        <v>26125</v>
      </c>
      <c r="F17" s="272">
        <v>850725</v>
      </c>
      <c r="G17" s="272">
        <f>SUM('- 51 -'!$B17:G17,B17:F17)</f>
        <v>4609372</v>
      </c>
    </row>
    <row r="18" spans="1:7" ht="14.1" customHeight="1" x14ac:dyDescent="0.2">
      <c r="A18" s="15" t="s">
        <v>110</v>
      </c>
      <c r="B18" s="16">
        <v>1345476</v>
      </c>
      <c r="C18" s="16">
        <v>187290</v>
      </c>
      <c r="D18" s="16">
        <v>88004</v>
      </c>
      <c r="E18" s="16">
        <v>30000</v>
      </c>
      <c r="F18" s="16">
        <v>4170690</v>
      </c>
      <c r="G18" s="16">
        <f>SUM('- 51 -'!$B18:G18,B18:F18)</f>
        <v>11638791</v>
      </c>
    </row>
    <row r="19" spans="1:7" ht="14.1" customHeight="1" x14ac:dyDescent="0.2">
      <c r="A19" s="271" t="s">
        <v>111</v>
      </c>
      <c r="B19" s="272">
        <v>1365130</v>
      </c>
      <c r="C19" s="272">
        <v>353987</v>
      </c>
      <c r="D19" s="272">
        <v>196185</v>
      </c>
      <c r="E19" s="272">
        <v>91175</v>
      </c>
      <c r="F19" s="272">
        <v>1715130</v>
      </c>
      <c r="G19" s="272">
        <f>SUM('- 51 -'!$B19:G19,B19:F19)</f>
        <v>13047972</v>
      </c>
    </row>
    <row r="20" spans="1:7" ht="14.1" customHeight="1" x14ac:dyDescent="0.2">
      <c r="A20" s="15" t="s">
        <v>112</v>
      </c>
      <c r="B20" s="16">
        <v>2504189</v>
      </c>
      <c r="C20" s="16">
        <v>633307</v>
      </c>
      <c r="D20" s="16">
        <v>297578</v>
      </c>
      <c r="E20" s="16">
        <v>143375</v>
      </c>
      <c r="F20" s="16">
        <v>2795850</v>
      </c>
      <c r="G20" s="16">
        <f>SUM('- 51 -'!$B20:G20,B20:F20)</f>
        <v>22950276</v>
      </c>
    </row>
    <row r="21" spans="1:7" ht="14.1" customHeight="1" x14ac:dyDescent="0.2">
      <c r="A21" s="271" t="s">
        <v>113</v>
      </c>
      <c r="B21" s="272">
        <v>890149</v>
      </c>
      <c r="C21" s="272">
        <v>227594</v>
      </c>
      <c r="D21" s="272">
        <v>106942</v>
      </c>
      <c r="E21" s="272">
        <v>52750</v>
      </c>
      <c r="F21" s="272">
        <v>1532160</v>
      </c>
      <c r="G21" s="272">
        <f>SUM('- 51 -'!$B21:G21,B21:F21)</f>
        <v>9198739</v>
      </c>
    </row>
    <row r="22" spans="1:7" ht="14.1" customHeight="1" x14ac:dyDescent="0.2">
      <c r="A22" s="15" t="s">
        <v>114</v>
      </c>
      <c r="B22" s="16">
        <v>518798</v>
      </c>
      <c r="C22" s="16">
        <v>124502</v>
      </c>
      <c r="D22" s="16">
        <v>76225</v>
      </c>
      <c r="E22" s="16">
        <v>30500</v>
      </c>
      <c r="F22" s="16">
        <v>889200</v>
      </c>
      <c r="G22" s="16">
        <f>SUM('- 51 -'!$B22:G22,B22:F22)</f>
        <v>4931404</v>
      </c>
    </row>
    <row r="23" spans="1:7" ht="14.1" customHeight="1" x14ac:dyDescent="0.2">
      <c r="A23" s="271" t="s">
        <v>115</v>
      </c>
      <c r="B23" s="272">
        <v>361427</v>
      </c>
      <c r="C23" s="272">
        <v>82378</v>
      </c>
      <c r="D23" s="272">
        <v>45655</v>
      </c>
      <c r="E23" s="272">
        <v>19375</v>
      </c>
      <c r="F23" s="272">
        <v>800280</v>
      </c>
      <c r="G23" s="272">
        <f>SUM('- 51 -'!$B23:G23,B23:F23)</f>
        <v>3824948</v>
      </c>
    </row>
    <row r="24" spans="1:7" ht="14.1" customHeight="1" x14ac:dyDescent="0.2">
      <c r="A24" s="15" t="s">
        <v>116</v>
      </c>
      <c r="B24" s="16">
        <v>1322782</v>
      </c>
      <c r="C24" s="16">
        <v>320612</v>
      </c>
      <c r="D24" s="16">
        <v>150649</v>
      </c>
      <c r="E24" s="16">
        <v>93625</v>
      </c>
      <c r="F24" s="16">
        <v>2022930</v>
      </c>
      <c r="G24" s="16">
        <f>SUM('- 51 -'!$B24:G24,B24:F24)</f>
        <v>12531035</v>
      </c>
    </row>
    <row r="25" spans="1:7" ht="14.1" customHeight="1" x14ac:dyDescent="0.2">
      <c r="A25" s="271" t="s">
        <v>117</v>
      </c>
      <c r="B25" s="272">
        <v>4873494</v>
      </c>
      <c r="C25" s="272">
        <v>1166109</v>
      </c>
      <c r="D25" s="272">
        <v>547931</v>
      </c>
      <c r="E25" s="272">
        <v>311500</v>
      </c>
      <c r="F25" s="272">
        <v>6365475</v>
      </c>
      <c r="G25" s="272">
        <f>SUM('- 51 -'!$B25:G25,B25:F25)</f>
        <v>43354062</v>
      </c>
    </row>
    <row r="26" spans="1:7" ht="14.1" customHeight="1" x14ac:dyDescent="0.2">
      <c r="A26" s="15" t="s">
        <v>118</v>
      </c>
      <c r="B26" s="16">
        <v>1020882</v>
      </c>
      <c r="C26" s="16">
        <v>240966</v>
      </c>
      <c r="D26" s="16">
        <v>133547</v>
      </c>
      <c r="E26" s="16">
        <v>64125</v>
      </c>
      <c r="F26" s="16">
        <v>2276865</v>
      </c>
      <c r="G26" s="16">
        <f>SUM('- 51 -'!$B26:G26,B26:F26)</f>
        <v>10527820</v>
      </c>
    </row>
    <row r="27" spans="1:7" ht="14.1" customHeight="1" x14ac:dyDescent="0.2">
      <c r="A27" s="271" t="s">
        <v>119</v>
      </c>
      <c r="B27" s="272">
        <v>1051756</v>
      </c>
      <c r="C27" s="272">
        <v>242841</v>
      </c>
      <c r="D27" s="272">
        <v>149216</v>
      </c>
      <c r="E27" s="272">
        <v>63750</v>
      </c>
      <c r="F27" s="272">
        <v>1292760</v>
      </c>
      <c r="G27" s="272">
        <f>SUM('- 51 -'!$B27:G27,B27:F27)</f>
        <v>9064462</v>
      </c>
    </row>
    <row r="28" spans="1:7" ht="14.1" customHeight="1" x14ac:dyDescent="0.2">
      <c r="A28" s="15" t="s">
        <v>120</v>
      </c>
      <c r="B28" s="16">
        <v>487960</v>
      </c>
      <c r="C28" s="16">
        <v>123712</v>
      </c>
      <c r="D28" s="16">
        <v>68563</v>
      </c>
      <c r="E28" s="16">
        <v>35625</v>
      </c>
      <c r="F28" s="16">
        <v>1277370</v>
      </c>
      <c r="G28" s="16">
        <f>SUM('- 51 -'!$B28:G28,B28:F28)</f>
        <v>5724500</v>
      </c>
    </row>
    <row r="29" spans="1:7" ht="14.1" customHeight="1" x14ac:dyDescent="0.2">
      <c r="A29" s="271" t="s">
        <v>121</v>
      </c>
      <c r="B29" s="272">
        <v>4160108</v>
      </c>
      <c r="C29" s="272">
        <v>1070285</v>
      </c>
      <c r="D29" s="272">
        <v>502905</v>
      </c>
      <c r="E29" s="272">
        <v>297313</v>
      </c>
      <c r="F29" s="272">
        <v>4920525</v>
      </c>
      <c r="G29" s="272">
        <f>SUM('- 51 -'!$B29:G29,B29:F29)</f>
        <v>38615537</v>
      </c>
    </row>
    <row r="30" spans="1:7" ht="14.1" customHeight="1" x14ac:dyDescent="0.2">
      <c r="A30" s="15" t="s">
        <v>122</v>
      </c>
      <c r="B30" s="16">
        <v>325141</v>
      </c>
      <c r="C30" s="16">
        <v>82170</v>
      </c>
      <c r="D30" s="16">
        <v>45540</v>
      </c>
      <c r="E30" s="16">
        <v>21625</v>
      </c>
      <c r="F30" s="16">
        <v>790875</v>
      </c>
      <c r="G30" s="16">
        <f>SUM('- 51 -'!$B30:G30,B30:F30)</f>
        <v>3734348</v>
      </c>
    </row>
    <row r="31" spans="1:7" ht="14.1" customHeight="1" x14ac:dyDescent="0.2">
      <c r="A31" s="271" t="s">
        <v>123</v>
      </c>
      <c r="B31" s="272">
        <v>1095290</v>
      </c>
      <c r="C31" s="272">
        <v>259002</v>
      </c>
      <c r="D31" s="272">
        <v>121700</v>
      </c>
      <c r="E31" s="272">
        <v>67125</v>
      </c>
      <c r="F31" s="272">
        <v>1803195</v>
      </c>
      <c r="G31" s="272">
        <f>SUM('- 51 -'!$B31:G31,B31:F31)</f>
        <v>10224876</v>
      </c>
    </row>
    <row r="32" spans="1:7" ht="14.1" customHeight="1" x14ac:dyDescent="0.2">
      <c r="A32" s="15" t="s">
        <v>124</v>
      </c>
      <c r="B32" s="16">
        <v>691931</v>
      </c>
      <c r="C32" s="16">
        <v>178550</v>
      </c>
      <c r="D32" s="16">
        <v>83897</v>
      </c>
      <c r="E32" s="16">
        <v>33250</v>
      </c>
      <c r="F32" s="16">
        <v>1403055</v>
      </c>
      <c r="G32" s="16">
        <f>SUM('- 51 -'!$B32:G32,B32:F32)</f>
        <v>7618878</v>
      </c>
    </row>
    <row r="33" spans="1:7" ht="14.1" customHeight="1" x14ac:dyDescent="0.2">
      <c r="A33" s="271" t="s">
        <v>125</v>
      </c>
      <c r="B33" s="272">
        <v>622600</v>
      </c>
      <c r="C33" s="272">
        <v>165311</v>
      </c>
      <c r="D33" s="272">
        <v>91618</v>
      </c>
      <c r="E33" s="272">
        <v>40000</v>
      </c>
      <c r="F33" s="272">
        <v>1745055</v>
      </c>
      <c r="G33" s="272">
        <f>SUM('- 51 -'!$B33:G33,B33:F33)</f>
        <v>7774248</v>
      </c>
    </row>
    <row r="34" spans="1:7" ht="14.1" customHeight="1" x14ac:dyDescent="0.2">
      <c r="A34" s="15" t="s">
        <v>126</v>
      </c>
      <c r="B34" s="16">
        <v>650273</v>
      </c>
      <c r="C34" s="16">
        <v>169395</v>
      </c>
      <c r="D34" s="16">
        <v>79595</v>
      </c>
      <c r="E34" s="16">
        <v>37125</v>
      </c>
      <c r="F34" s="16">
        <v>1185885</v>
      </c>
      <c r="G34" s="16">
        <f>SUM('- 51 -'!$B34:G34,B34:F34)</f>
        <v>7176012</v>
      </c>
    </row>
    <row r="35" spans="1:7" ht="14.1" customHeight="1" x14ac:dyDescent="0.2">
      <c r="A35" s="271" t="s">
        <v>127</v>
      </c>
      <c r="B35" s="272">
        <v>5201836</v>
      </c>
      <c r="C35" s="272">
        <v>1285836</v>
      </c>
      <c r="D35" s="272">
        <v>604188</v>
      </c>
      <c r="E35" s="272">
        <v>353250</v>
      </c>
      <c r="F35" s="272">
        <v>6940035</v>
      </c>
      <c r="G35" s="272">
        <f>SUM('- 51 -'!$B35:G35,B35:F35)</f>
        <v>47553517</v>
      </c>
    </row>
    <row r="36" spans="1:7" ht="14.1" customHeight="1" x14ac:dyDescent="0.2">
      <c r="A36" s="15" t="s">
        <v>128</v>
      </c>
      <c r="B36" s="16">
        <v>495817</v>
      </c>
      <c r="C36" s="16">
        <v>128907</v>
      </c>
      <c r="D36" s="16">
        <v>71443</v>
      </c>
      <c r="E36" s="16">
        <v>27250</v>
      </c>
      <c r="F36" s="16">
        <v>1162800</v>
      </c>
      <c r="G36" s="16">
        <f>SUM('- 51 -'!$B36:G36,B36:F36)</f>
        <v>5740219</v>
      </c>
    </row>
    <row r="37" spans="1:7" ht="14.1" customHeight="1" x14ac:dyDescent="0.2">
      <c r="A37" s="271" t="s">
        <v>129</v>
      </c>
      <c r="B37" s="272">
        <v>1374042</v>
      </c>
      <c r="C37" s="272">
        <v>347355</v>
      </c>
      <c r="D37" s="272">
        <v>163215</v>
      </c>
      <c r="E37" s="272">
        <v>75750</v>
      </c>
      <c r="F37" s="272">
        <v>1710000</v>
      </c>
      <c r="G37" s="272">
        <f>SUM('- 51 -'!$B37:G37,B37:F37)</f>
        <v>13083035</v>
      </c>
    </row>
    <row r="38" spans="1:7" ht="14.1" customHeight="1" x14ac:dyDescent="0.2">
      <c r="A38" s="15" t="s">
        <v>130</v>
      </c>
      <c r="B38" s="16">
        <v>3745693</v>
      </c>
      <c r="C38" s="16">
        <v>904019</v>
      </c>
      <c r="D38" s="16">
        <v>424780</v>
      </c>
      <c r="E38" s="16">
        <v>263250</v>
      </c>
      <c r="F38" s="16">
        <v>3760290</v>
      </c>
      <c r="G38" s="16">
        <f>SUM('- 51 -'!$B38:G38,B38:F38)</f>
        <v>32417377</v>
      </c>
    </row>
    <row r="39" spans="1:7" ht="14.1" customHeight="1" x14ac:dyDescent="0.2">
      <c r="A39" s="271" t="s">
        <v>131</v>
      </c>
      <c r="B39" s="272">
        <v>467468</v>
      </c>
      <c r="C39" s="272">
        <v>124616</v>
      </c>
      <c r="D39" s="272">
        <v>69064</v>
      </c>
      <c r="E39" s="272">
        <v>28625</v>
      </c>
      <c r="F39" s="272">
        <v>1030275</v>
      </c>
      <c r="G39" s="272">
        <f>SUM('- 51 -'!$B39:G39,B39:F39)</f>
        <v>5455148</v>
      </c>
    </row>
    <row r="40" spans="1:7" ht="14.1" customHeight="1" x14ac:dyDescent="0.2">
      <c r="A40" s="15" t="s">
        <v>132</v>
      </c>
      <c r="B40" s="16">
        <v>2705898</v>
      </c>
      <c r="C40" s="16">
        <v>662963</v>
      </c>
      <c r="D40" s="16">
        <v>311513</v>
      </c>
      <c r="E40" s="16">
        <v>184125</v>
      </c>
      <c r="F40" s="16">
        <v>4145040</v>
      </c>
      <c r="G40" s="16">
        <f>SUM('- 51 -'!$B40:G40,B40:F40)</f>
        <v>25110777</v>
      </c>
    </row>
    <row r="41" spans="1:7" ht="14.1" customHeight="1" x14ac:dyDescent="0.2">
      <c r="A41" s="271" t="s">
        <v>133</v>
      </c>
      <c r="B41" s="272">
        <v>1425320</v>
      </c>
      <c r="C41" s="272">
        <v>364453</v>
      </c>
      <c r="D41" s="272">
        <v>171249</v>
      </c>
      <c r="E41" s="272">
        <v>85000</v>
      </c>
      <c r="F41" s="272">
        <v>2087055</v>
      </c>
      <c r="G41" s="272">
        <f>SUM('- 51 -'!$B41:G41,B41:F41)</f>
        <v>14010036</v>
      </c>
    </row>
    <row r="42" spans="1:7" ht="14.1" customHeight="1" x14ac:dyDescent="0.2">
      <c r="A42" s="15" t="s">
        <v>134</v>
      </c>
      <c r="B42" s="16">
        <v>455230</v>
      </c>
      <c r="C42" s="16">
        <v>111519</v>
      </c>
      <c r="D42" s="16">
        <v>68524</v>
      </c>
      <c r="E42" s="16">
        <v>29138</v>
      </c>
      <c r="F42" s="16">
        <v>1047375</v>
      </c>
      <c r="G42" s="16">
        <f>SUM('- 51 -'!$B42:G42,B42:F42)</f>
        <v>4876672</v>
      </c>
    </row>
    <row r="43" spans="1:7" ht="14.1" customHeight="1" x14ac:dyDescent="0.2">
      <c r="A43" s="271" t="s">
        <v>135</v>
      </c>
      <c r="B43" s="272">
        <v>304778</v>
      </c>
      <c r="C43" s="272">
        <v>79987</v>
      </c>
      <c r="D43" s="272">
        <v>44330</v>
      </c>
      <c r="E43" s="272">
        <v>21800</v>
      </c>
      <c r="F43" s="272">
        <v>589950</v>
      </c>
      <c r="G43" s="272">
        <f>SUM('- 51 -'!$B43:G43,B43:F43)</f>
        <v>3382814</v>
      </c>
    </row>
    <row r="44" spans="1:7" ht="14.1" customHeight="1" x14ac:dyDescent="0.2">
      <c r="A44" s="15" t="s">
        <v>136</v>
      </c>
      <c r="B44" s="16">
        <v>281296</v>
      </c>
      <c r="C44" s="16">
        <v>57544</v>
      </c>
      <c r="D44" s="16">
        <v>31892</v>
      </c>
      <c r="E44" s="16">
        <v>14375</v>
      </c>
      <c r="F44" s="16">
        <v>604485</v>
      </c>
      <c r="G44" s="16">
        <f>SUM('- 51 -'!$B44:G44,B44:F44)</f>
        <v>2819016</v>
      </c>
    </row>
    <row r="45" spans="1:7" ht="14.1" customHeight="1" x14ac:dyDescent="0.2">
      <c r="A45" s="271" t="s">
        <v>137</v>
      </c>
      <c r="B45" s="272">
        <v>531696</v>
      </c>
      <c r="C45" s="272">
        <v>137979</v>
      </c>
      <c r="D45" s="272">
        <v>76470</v>
      </c>
      <c r="E45" s="272">
        <v>34750</v>
      </c>
      <c r="F45" s="272">
        <v>595080</v>
      </c>
      <c r="G45" s="272">
        <f>SUM('- 51 -'!$B45:G45,B45:F45)</f>
        <v>4935174</v>
      </c>
    </row>
    <row r="46" spans="1:7" ht="14.1" customHeight="1" x14ac:dyDescent="0.2">
      <c r="A46" s="15" t="s">
        <v>138</v>
      </c>
      <c r="B46" s="16">
        <v>16489418</v>
      </c>
      <c r="C46" s="16">
        <v>2459904</v>
      </c>
      <c r="D46" s="16">
        <v>1155859</v>
      </c>
      <c r="E46" s="16">
        <v>734000</v>
      </c>
      <c r="F46" s="16">
        <v>14417865</v>
      </c>
      <c r="G46" s="16">
        <f>SUM('- 51 -'!$B46:G46,B46:F46)</f>
        <v>98710690</v>
      </c>
    </row>
    <row r="47" spans="1:7" ht="5.0999999999999996" customHeight="1" x14ac:dyDescent="0.2">
      <c r="A47"/>
      <c r="B47"/>
      <c r="C47"/>
      <c r="D47"/>
      <c r="E47"/>
      <c r="F47"/>
      <c r="G47"/>
    </row>
    <row r="48" spans="1:7" ht="14.1" customHeight="1" x14ac:dyDescent="0.2">
      <c r="A48" s="274" t="s">
        <v>139</v>
      </c>
      <c r="B48" s="275">
        <f t="shared" ref="B48:G48" si="0">SUM(B11:B46)</f>
        <v>63660140</v>
      </c>
      <c r="C48" s="275">
        <f t="shared" si="0"/>
        <v>14024350</v>
      </c>
      <c r="D48" s="275">
        <f t="shared" si="0"/>
        <v>6896152</v>
      </c>
      <c r="E48" s="275">
        <f t="shared" si="0"/>
        <v>3711701</v>
      </c>
      <c r="F48" s="275">
        <f t="shared" si="0"/>
        <v>85266600</v>
      </c>
      <c r="G48" s="275">
        <f t="shared" si="0"/>
        <v>547036854</v>
      </c>
    </row>
    <row r="49" spans="1:11" ht="5.0999999999999996" customHeight="1" x14ac:dyDescent="0.2">
      <c r="A49" s="17" t="s">
        <v>1</v>
      </c>
      <c r="B49" s="18"/>
      <c r="C49" s="18"/>
      <c r="D49" s="18"/>
      <c r="E49" s="18"/>
      <c r="F49" s="18"/>
      <c r="G49" s="18"/>
    </row>
    <row r="50" spans="1:11" ht="14.45" customHeight="1" x14ac:dyDescent="0.2">
      <c r="A50" s="15" t="s">
        <v>140</v>
      </c>
      <c r="B50" s="16">
        <v>48551</v>
      </c>
      <c r="C50" s="16">
        <v>12865</v>
      </c>
      <c r="D50" s="16">
        <v>7130</v>
      </c>
      <c r="E50" s="16">
        <v>3875</v>
      </c>
      <c r="F50" s="16">
        <v>233415</v>
      </c>
      <c r="G50" s="16">
        <f>SUM('- 51 -'!$B50:G50,B50:F50)</f>
        <v>589005</v>
      </c>
    </row>
    <row r="51" spans="1:11" ht="14.1" customHeight="1" x14ac:dyDescent="0.2">
      <c r="A51" s="360" t="s">
        <v>516</v>
      </c>
      <c r="B51" s="272">
        <v>0</v>
      </c>
      <c r="C51" s="272">
        <v>0</v>
      </c>
      <c r="D51" s="272">
        <v>0</v>
      </c>
      <c r="E51" s="272">
        <v>0</v>
      </c>
      <c r="F51" s="272">
        <v>0</v>
      </c>
      <c r="G51" s="272">
        <f>SUM('- 51 -'!$B51:G51,B51:F51)</f>
        <v>0</v>
      </c>
      <c r="H51" s="1">
        <v>0</v>
      </c>
    </row>
    <row r="52" spans="1:11" ht="50.1" customHeight="1" x14ac:dyDescent="0.2">
      <c r="A52" s="164"/>
      <c r="B52" s="164"/>
      <c r="C52" s="164"/>
      <c r="D52" s="164"/>
      <c r="E52" s="164"/>
      <c r="F52" s="164"/>
      <c r="G52" s="522"/>
      <c r="H52"/>
      <c r="I52"/>
      <c r="J52"/>
      <c r="K52"/>
    </row>
    <row r="53" spans="1:11" ht="15" customHeight="1" x14ac:dyDescent="0.2">
      <c r="A53" s="141" t="s">
        <v>575</v>
      </c>
      <c r="B53" s="141"/>
      <c r="C53" s="524"/>
      <c r="D53" s="141"/>
      <c r="E53" s="141"/>
      <c r="F53" s="141"/>
      <c r="G53" s="525"/>
      <c r="H53" s="428"/>
      <c r="I53" s="428"/>
      <c r="J53" s="428"/>
      <c r="K53" s="428"/>
    </row>
    <row r="54" spans="1:11" ht="14.45" customHeight="1" x14ac:dyDescent="0.2">
      <c r="A54" s="523"/>
      <c r="B54" s="523"/>
      <c r="C54" s="523"/>
      <c r="D54" s="523"/>
      <c r="E54" s="523"/>
      <c r="F54" s="523"/>
      <c r="G54" s="523"/>
      <c r="H54" s="428"/>
      <c r="I54" s="428"/>
      <c r="J54" s="428"/>
      <c r="K54" s="428"/>
    </row>
    <row r="55" spans="1:11" ht="14.45" customHeight="1" x14ac:dyDescent="0.2">
      <c r="A55" s="31"/>
      <c r="B55" s="31"/>
      <c r="D55" s="31"/>
      <c r="E55" s="31"/>
      <c r="F55" s="31"/>
      <c r="G55" s="31"/>
    </row>
    <row r="56" spans="1:11" ht="14.45" customHeight="1" x14ac:dyDescent="0.2">
      <c r="D56" s="90"/>
      <c r="E56" s="90"/>
      <c r="F56" s="90"/>
      <c r="G56" s="90"/>
    </row>
    <row r="57" spans="1:11" ht="14.45" customHeight="1" x14ac:dyDescent="0.2"/>
    <row r="58" spans="1:11" ht="14.45" customHeight="1" x14ac:dyDescent="0.2"/>
    <row r="59" spans="1:11" ht="14.45" customHeight="1" x14ac:dyDescent="0.2"/>
  </sheetData>
  <mergeCells count="8">
    <mergeCell ref="B4:G4"/>
    <mergeCell ref="B5:G5"/>
    <mergeCell ref="B6:G6"/>
    <mergeCell ref="B8:B9"/>
    <mergeCell ref="C8:C9"/>
    <mergeCell ref="D8:D9"/>
    <mergeCell ref="E8:E9"/>
    <mergeCell ref="G7:G9"/>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F58"/>
  <sheetViews>
    <sheetView showGridLines="0" showZeros="0" workbookViewId="0"/>
  </sheetViews>
  <sheetFormatPr defaultColWidth="19.83203125" defaultRowHeight="12" x14ac:dyDescent="0.2"/>
  <cols>
    <col min="1" max="1" width="29.83203125" style="1" customWidth="1"/>
    <col min="2" max="2" width="21.83203125" style="1" customWidth="1"/>
    <col min="3" max="3" width="19.83203125" style="1" customWidth="1"/>
    <col min="4" max="4" width="18.83203125" style="1" customWidth="1"/>
    <col min="5" max="5" width="20.83203125" style="1" customWidth="1"/>
    <col min="6" max="6" width="21.83203125" style="1" customWidth="1"/>
    <col min="7" max="7" width="14.83203125" style="1" customWidth="1"/>
    <col min="8" max="16384" width="19.83203125" style="1"/>
  </cols>
  <sheetData>
    <row r="1" spans="1:6" ht="6.95" customHeight="1" x14ac:dyDescent="0.2">
      <c r="A1" s="3"/>
      <c r="B1" s="3"/>
      <c r="C1" s="3"/>
      <c r="D1" s="3"/>
      <c r="E1" s="3"/>
      <c r="F1" s="3"/>
    </row>
    <row r="2" spans="1:6" ht="15.95" customHeight="1" x14ac:dyDescent="0.2">
      <c r="A2" s="229"/>
      <c r="B2" s="53" t="str">
        <f>REVYEAR</f>
        <v>ANALYSIS OF OPERATING FUND REVENUE: 2017/2018 BUDGET</v>
      </c>
      <c r="C2" s="230"/>
      <c r="D2" s="232"/>
      <c r="E2" s="232"/>
      <c r="F2" s="185" t="s">
        <v>90</v>
      </c>
    </row>
    <row r="3" spans="1:6" ht="15.95" customHeight="1" x14ac:dyDescent="0.2">
      <c r="A3" s="180"/>
      <c r="B3" s="180"/>
      <c r="C3" s="3"/>
      <c r="D3" s="3"/>
      <c r="E3" s="3"/>
      <c r="F3" s="3"/>
    </row>
    <row r="4" spans="1:6" ht="15.95" customHeight="1" x14ac:dyDescent="0.2">
      <c r="B4" s="769" t="s">
        <v>34</v>
      </c>
      <c r="C4" s="770"/>
      <c r="D4" s="770"/>
      <c r="E4" s="770"/>
      <c r="F4" s="771"/>
    </row>
    <row r="5" spans="1:6" ht="15.95" customHeight="1" x14ac:dyDescent="0.2">
      <c r="B5" s="772" t="s">
        <v>101</v>
      </c>
      <c r="C5" s="773"/>
      <c r="D5" s="773"/>
      <c r="E5" s="773"/>
      <c r="F5" s="774"/>
    </row>
    <row r="6" spans="1:6" ht="15.95" customHeight="1" x14ac:dyDescent="0.2">
      <c r="B6" s="779" t="s">
        <v>47</v>
      </c>
      <c r="C6" s="780"/>
      <c r="D6" s="780"/>
      <c r="E6" s="780"/>
      <c r="F6" s="781"/>
    </row>
    <row r="7" spans="1:6" ht="15.95" customHeight="1" x14ac:dyDescent="0.2">
      <c r="B7" s="186"/>
      <c r="C7" s="186"/>
      <c r="D7" s="702" t="s">
        <v>490</v>
      </c>
      <c r="E7" s="702" t="s">
        <v>415</v>
      </c>
      <c r="F7" s="702" t="s">
        <v>491</v>
      </c>
    </row>
    <row r="8" spans="1:6" ht="15.95" customHeight="1" x14ac:dyDescent="0.2">
      <c r="A8" s="82"/>
      <c r="B8" s="775" t="s">
        <v>488</v>
      </c>
      <c r="C8" s="777" t="s">
        <v>489</v>
      </c>
      <c r="D8" s="777"/>
      <c r="E8" s="777"/>
      <c r="F8" s="777"/>
    </row>
    <row r="9" spans="1:6" ht="15.95" customHeight="1" x14ac:dyDescent="0.2">
      <c r="A9" s="27" t="s">
        <v>37</v>
      </c>
      <c r="B9" s="776"/>
      <c r="C9" s="778"/>
      <c r="D9" s="778"/>
      <c r="E9" s="778"/>
      <c r="F9" s="778"/>
    </row>
    <row r="10" spans="1:6" ht="5.0999999999999996" customHeight="1" x14ac:dyDescent="0.2">
      <c r="A10" s="29"/>
      <c r="B10" s="3"/>
      <c r="C10" s="3"/>
      <c r="D10" s="3"/>
      <c r="E10" s="3"/>
    </row>
    <row r="11" spans="1:6" ht="14.1" customHeight="1" x14ac:dyDescent="0.2">
      <c r="A11" s="271" t="s">
        <v>104</v>
      </c>
      <c r="B11" s="272">
        <v>686013</v>
      </c>
      <c r="C11" s="272">
        <v>670806</v>
      </c>
      <c r="D11" s="272">
        <v>62453</v>
      </c>
      <c r="E11" s="272">
        <v>287650</v>
      </c>
      <c r="F11" s="272">
        <v>36000</v>
      </c>
    </row>
    <row r="12" spans="1:6" ht="14.1" customHeight="1" x14ac:dyDescent="0.2">
      <c r="A12" s="15" t="s">
        <v>105</v>
      </c>
      <c r="B12" s="16">
        <v>1285705</v>
      </c>
      <c r="C12" s="16">
        <v>1078279</v>
      </c>
      <c r="D12" s="16">
        <v>181720</v>
      </c>
      <c r="E12" s="16">
        <v>144775</v>
      </c>
      <c r="F12" s="16">
        <v>54000</v>
      </c>
    </row>
    <row r="13" spans="1:6" ht="14.1" customHeight="1" x14ac:dyDescent="0.2">
      <c r="A13" s="271" t="s">
        <v>106</v>
      </c>
      <c r="B13" s="272">
        <v>1110100</v>
      </c>
      <c r="C13" s="272">
        <v>3134200</v>
      </c>
      <c r="D13" s="272">
        <v>629600</v>
      </c>
      <c r="E13" s="272">
        <v>657000</v>
      </c>
      <c r="F13" s="272">
        <v>371000</v>
      </c>
    </row>
    <row r="14" spans="1:6" ht="14.1" customHeight="1" x14ac:dyDescent="0.2">
      <c r="A14" s="15" t="s">
        <v>315</v>
      </c>
      <c r="B14" s="16">
        <v>3317469</v>
      </c>
      <c r="C14" s="16">
        <v>1167853</v>
      </c>
      <c r="D14" s="16">
        <v>89980</v>
      </c>
      <c r="E14" s="16">
        <v>255275</v>
      </c>
      <c r="F14" s="16">
        <v>530000</v>
      </c>
    </row>
    <row r="15" spans="1:6" ht="14.1" customHeight="1" x14ac:dyDescent="0.2">
      <c r="A15" s="271" t="s">
        <v>107</v>
      </c>
      <c r="B15" s="272">
        <v>867082</v>
      </c>
      <c r="C15" s="272">
        <v>810107</v>
      </c>
      <c r="D15" s="272">
        <v>70703</v>
      </c>
      <c r="E15" s="272">
        <v>12450</v>
      </c>
      <c r="F15" s="272">
        <v>128000</v>
      </c>
    </row>
    <row r="16" spans="1:6" ht="14.1" customHeight="1" x14ac:dyDescent="0.2">
      <c r="A16" s="15" t="s">
        <v>108</v>
      </c>
      <c r="B16" s="16">
        <v>101929</v>
      </c>
      <c r="C16" s="16">
        <v>463980</v>
      </c>
      <c r="D16" s="16">
        <v>32148</v>
      </c>
      <c r="E16" s="16">
        <v>3150</v>
      </c>
      <c r="F16" s="16">
        <v>81500</v>
      </c>
    </row>
    <row r="17" spans="1:6" ht="14.1" customHeight="1" x14ac:dyDescent="0.2">
      <c r="A17" s="271" t="s">
        <v>109</v>
      </c>
      <c r="B17" s="272">
        <v>863833</v>
      </c>
      <c r="C17" s="272">
        <v>594707</v>
      </c>
      <c r="D17" s="272">
        <v>58135</v>
      </c>
      <c r="E17" s="272">
        <v>20850</v>
      </c>
      <c r="F17" s="272">
        <v>18000</v>
      </c>
    </row>
    <row r="18" spans="1:6" ht="14.1" customHeight="1" x14ac:dyDescent="0.2">
      <c r="A18" s="15" t="s">
        <v>110</v>
      </c>
      <c r="B18" s="16">
        <v>1284632</v>
      </c>
      <c r="C18" s="16">
        <v>1695956</v>
      </c>
      <c r="D18" s="16">
        <v>94353</v>
      </c>
      <c r="E18" s="16">
        <v>750</v>
      </c>
      <c r="F18" s="16">
        <v>851750</v>
      </c>
    </row>
    <row r="19" spans="1:6" ht="14.1" customHeight="1" x14ac:dyDescent="0.2">
      <c r="A19" s="271" t="s">
        <v>111</v>
      </c>
      <c r="B19" s="272">
        <v>1528305</v>
      </c>
      <c r="C19" s="272">
        <v>1918188</v>
      </c>
      <c r="D19" s="272">
        <v>323070</v>
      </c>
      <c r="E19" s="272">
        <v>570950</v>
      </c>
      <c r="F19" s="272">
        <v>27000</v>
      </c>
    </row>
    <row r="20" spans="1:6" ht="14.1" customHeight="1" x14ac:dyDescent="0.2">
      <c r="A20" s="15" t="s">
        <v>112</v>
      </c>
      <c r="B20" s="16">
        <v>2675041</v>
      </c>
      <c r="C20" s="16">
        <v>3336890</v>
      </c>
      <c r="D20" s="16">
        <v>566721</v>
      </c>
      <c r="E20" s="16">
        <v>610300</v>
      </c>
      <c r="F20" s="16">
        <v>171000</v>
      </c>
    </row>
    <row r="21" spans="1:6" ht="14.1" customHeight="1" x14ac:dyDescent="0.2">
      <c r="A21" s="271" t="s">
        <v>113</v>
      </c>
      <c r="B21" s="272">
        <v>1240261</v>
      </c>
      <c r="C21" s="272">
        <v>1295677</v>
      </c>
      <c r="D21" s="272">
        <v>82830</v>
      </c>
      <c r="E21" s="272">
        <v>39750</v>
      </c>
      <c r="F21" s="272">
        <v>135000</v>
      </c>
    </row>
    <row r="22" spans="1:6" ht="14.1" customHeight="1" x14ac:dyDescent="0.2">
      <c r="A22" s="15" t="s">
        <v>114</v>
      </c>
      <c r="B22" s="16">
        <v>287231</v>
      </c>
      <c r="C22" s="16">
        <v>920504</v>
      </c>
      <c r="D22" s="16">
        <v>52635</v>
      </c>
      <c r="E22" s="16">
        <v>4700</v>
      </c>
      <c r="F22" s="16">
        <v>171000</v>
      </c>
    </row>
    <row r="23" spans="1:6" ht="14.1" customHeight="1" x14ac:dyDescent="0.2">
      <c r="A23" s="271" t="s">
        <v>115</v>
      </c>
      <c r="B23" s="272">
        <v>930757</v>
      </c>
      <c r="C23" s="272">
        <v>665743</v>
      </c>
      <c r="D23" s="272">
        <v>51535</v>
      </c>
      <c r="E23" s="272">
        <v>11450</v>
      </c>
      <c r="F23" s="272">
        <v>99000</v>
      </c>
    </row>
    <row r="24" spans="1:6" ht="14.1" customHeight="1" x14ac:dyDescent="0.2">
      <c r="A24" s="15" t="s">
        <v>116</v>
      </c>
      <c r="B24" s="16">
        <v>1668152</v>
      </c>
      <c r="C24" s="16">
        <v>1981538</v>
      </c>
      <c r="D24" s="16">
        <v>338553</v>
      </c>
      <c r="E24" s="16">
        <v>44150</v>
      </c>
      <c r="F24" s="16">
        <v>356500</v>
      </c>
    </row>
    <row r="25" spans="1:6" ht="14.1" customHeight="1" x14ac:dyDescent="0.2">
      <c r="A25" s="271" t="s">
        <v>117</v>
      </c>
      <c r="B25" s="272">
        <v>1307589</v>
      </c>
      <c r="C25" s="272">
        <v>8912053</v>
      </c>
      <c r="D25" s="272">
        <v>690388</v>
      </c>
      <c r="E25" s="272">
        <v>1162175</v>
      </c>
      <c r="F25" s="272">
        <v>803000</v>
      </c>
    </row>
    <row r="26" spans="1:6" ht="14.1" customHeight="1" x14ac:dyDescent="0.2">
      <c r="A26" s="15" t="s">
        <v>118</v>
      </c>
      <c r="B26" s="16">
        <v>1639685</v>
      </c>
      <c r="C26" s="16">
        <v>1105702</v>
      </c>
      <c r="D26" s="16">
        <v>196543</v>
      </c>
      <c r="E26" s="16">
        <v>30200</v>
      </c>
      <c r="F26" s="16">
        <v>245000</v>
      </c>
    </row>
    <row r="27" spans="1:6" ht="14.1" customHeight="1" x14ac:dyDescent="0.2">
      <c r="A27" s="271" t="s">
        <v>119</v>
      </c>
      <c r="B27" s="272">
        <v>89547</v>
      </c>
      <c r="C27" s="272">
        <v>1899150</v>
      </c>
      <c r="D27" s="272">
        <v>223575</v>
      </c>
      <c r="E27" s="272">
        <v>82475</v>
      </c>
      <c r="F27" s="272">
        <v>296900</v>
      </c>
    </row>
    <row r="28" spans="1:6" ht="14.1" customHeight="1" x14ac:dyDescent="0.2">
      <c r="A28" s="15" t="s">
        <v>120</v>
      </c>
      <c r="B28" s="16">
        <v>1226359</v>
      </c>
      <c r="C28" s="16">
        <v>591166</v>
      </c>
      <c r="D28" s="16">
        <v>78540</v>
      </c>
      <c r="E28" s="16">
        <v>33050</v>
      </c>
      <c r="F28" s="16">
        <v>90500</v>
      </c>
    </row>
    <row r="29" spans="1:6" ht="14.1" customHeight="1" x14ac:dyDescent="0.2">
      <c r="A29" s="271" t="s">
        <v>121</v>
      </c>
      <c r="B29" s="272">
        <v>1061367</v>
      </c>
      <c r="C29" s="272">
        <v>6604410</v>
      </c>
      <c r="D29" s="272">
        <v>208725</v>
      </c>
      <c r="E29" s="272">
        <v>1579050</v>
      </c>
      <c r="F29" s="272">
        <v>333000</v>
      </c>
    </row>
    <row r="30" spans="1:6" ht="14.1" customHeight="1" x14ac:dyDescent="0.2">
      <c r="A30" s="15" t="s">
        <v>122</v>
      </c>
      <c r="B30" s="16">
        <v>650755</v>
      </c>
      <c r="C30" s="16">
        <v>559980</v>
      </c>
      <c r="D30" s="16">
        <v>52085</v>
      </c>
      <c r="E30" s="16">
        <v>62150</v>
      </c>
      <c r="F30" s="16">
        <v>47000</v>
      </c>
    </row>
    <row r="31" spans="1:6" ht="14.1" customHeight="1" x14ac:dyDescent="0.2">
      <c r="A31" s="271" t="s">
        <v>123</v>
      </c>
      <c r="B31" s="272">
        <v>827399</v>
      </c>
      <c r="C31" s="272">
        <v>1784645</v>
      </c>
      <c r="D31" s="272">
        <v>190025</v>
      </c>
      <c r="E31" s="272">
        <v>126300</v>
      </c>
      <c r="F31" s="272">
        <v>245000</v>
      </c>
    </row>
    <row r="32" spans="1:6" ht="14.1" customHeight="1" x14ac:dyDescent="0.2">
      <c r="A32" s="15" t="s">
        <v>124</v>
      </c>
      <c r="B32" s="16">
        <v>1276528</v>
      </c>
      <c r="C32" s="16">
        <v>805652</v>
      </c>
      <c r="D32" s="16">
        <v>79668</v>
      </c>
      <c r="E32" s="16">
        <v>131350</v>
      </c>
      <c r="F32" s="16">
        <v>99000</v>
      </c>
    </row>
    <row r="33" spans="1:6" ht="14.1" customHeight="1" x14ac:dyDescent="0.2">
      <c r="A33" s="271" t="s">
        <v>125</v>
      </c>
      <c r="B33" s="272">
        <v>1439199</v>
      </c>
      <c r="C33" s="272">
        <v>857184</v>
      </c>
      <c r="D33" s="272">
        <v>92840</v>
      </c>
      <c r="E33" s="272">
        <v>128625</v>
      </c>
      <c r="F33" s="272">
        <v>36000</v>
      </c>
    </row>
    <row r="34" spans="1:6" ht="14.1" customHeight="1" x14ac:dyDescent="0.2">
      <c r="A34" s="15" t="s">
        <v>126</v>
      </c>
      <c r="B34" s="16">
        <v>1458370</v>
      </c>
      <c r="C34" s="16">
        <v>1249244</v>
      </c>
      <c r="D34" s="16">
        <v>61820</v>
      </c>
      <c r="E34" s="16">
        <v>77525</v>
      </c>
      <c r="F34" s="16">
        <v>108000</v>
      </c>
    </row>
    <row r="35" spans="1:6" ht="14.1" customHeight="1" x14ac:dyDescent="0.2">
      <c r="A35" s="271" t="s">
        <v>127</v>
      </c>
      <c r="B35" s="272">
        <v>1804403</v>
      </c>
      <c r="C35" s="272">
        <v>9230650</v>
      </c>
      <c r="D35" s="272">
        <v>953948</v>
      </c>
      <c r="E35" s="272">
        <v>757550</v>
      </c>
      <c r="F35" s="272">
        <v>864000</v>
      </c>
    </row>
    <row r="36" spans="1:6" ht="14.1" customHeight="1" x14ac:dyDescent="0.2">
      <c r="A36" s="15" t="s">
        <v>128</v>
      </c>
      <c r="B36" s="16">
        <v>854613</v>
      </c>
      <c r="C36" s="16">
        <v>547332</v>
      </c>
      <c r="D36" s="16">
        <v>22496</v>
      </c>
      <c r="E36" s="16">
        <v>33300</v>
      </c>
      <c r="F36" s="16">
        <v>74000</v>
      </c>
    </row>
    <row r="37" spans="1:6" ht="14.1" customHeight="1" x14ac:dyDescent="0.2">
      <c r="A37" s="271" t="s">
        <v>129</v>
      </c>
      <c r="B37" s="272">
        <v>1845530</v>
      </c>
      <c r="C37" s="272">
        <v>2346830</v>
      </c>
      <c r="D37" s="272">
        <v>134613</v>
      </c>
      <c r="E37" s="272">
        <v>173275</v>
      </c>
      <c r="F37" s="272">
        <v>396000</v>
      </c>
    </row>
    <row r="38" spans="1:6" ht="14.1" customHeight="1" x14ac:dyDescent="0.2">
      <c r="A38" s="15" t="s">
        <v>130</v>
      </c>
      <c r="B38" s="16">
        <v>1107723</v>
      </c>
      <c r="C38" s="16">
        <v>6167832</v>
      </c>
      <c r="D38" s="16">
        <v>470140</v>
      </c>
      <c r="E38" s="16">
        <v>841800</v>
      </c>
      <c r="F38" s="16">
        <v>359500</v>
      </c>
    </row>
    <row r="39" spans="1:6" ht="14.1" customHeight="1" x14ac:dyDescent="0.2">
      <c r="A39" s="271" t="s">
        <v>131</v>
      </c>
      <c r="B39" s="272">
        <v>1097779</v>
      </c>
      <c r="C39" s="272">
        <v>529626</v>
      </c>
      <c r="D39" s="272">
        <v>25960</v>
      </c>
      <c r="E39" s="272">
        <v>46550</v>
      </c>
      <c r="F39" s="272">
        <v>36000</v>
      </c>
    </row>
    <row r="40" spans="1:6" ht="14.1" customHeight="1" x14ac:dyDescent="0.2">
      <c r="A40" s="15" t="s">
        <v>132</v>
      </c>
      <c r="B40" s="16">
        <v>712037</v>
      </c>
      <c r="C40" s="16">
        <v>4886818</v>
      </c>
      <c r="D40" s="16">
        <v>608713</v>
      </c>
      <c r="E40" s="16">
        <v>457140</v>
      </c>
      <c r="F40" s="16">
        <v>371200</v>
      </c>
    </row>
    <row r="41" spans="1:6" ht="14.1" customHeight="1" x14ac:dyDescent="0.2">
      <c r="A41" s="271" t="s">
        <v>133</v>
      </c>
      <c r="B41" s="272">
        <v>2889392</v>
      </c>
      <c r="C41" s="272">
        <v>2631486</v>
      </c>
      <c r="D41" s="272">
        <v>168410</v>
      </c>
      <c r="E41" s="272">
        <v>90170</v>
      </c>
      <c r="F41" s="272">
        <v>255000</v>
      </c>
    </row>
    <row r="42" spans="1:6" ht="14.1" customHeight="1" x14ac:dyDescent="0.2">
      <c r="A42" s="15" t="s">
        <v>134</v>
      </c>
      <c r="B42" s="16">
        <v>1020928</v>
      </c>
      <c r="C42" s="16">
        <v>712380</v>
      </c>
      <c r="D42" s="16">
        <v>194535</v>
      </c>
      <c r="E42" s="16">
        <v>750</v>
      </c>
      <c r="F42" s="16">
        <v>146000</v>
      </c>
    </row>
    <row r="43" spans="1:6" ht="14.1" customHeight="1" x14ac:dyDescent="0.2">
      <c r="A43" s="271" t="s">
        <v>135</v>
      </c>
      <c r="B43" s="272">
        <v>586506</v>
      </c>
      <c r="C43" s="272">
        <v>350820</v>
      </c>
      <c r="D43" s="272">
        <v>34100</v>
      </c>
      <c r="E43" s="272">
        <v>77750</v>
      </c>
      <c r="F43" s="272">
        <v>27000</v>
      </c>
    </row>
    <row r="44" spans="1:6" ht="14.1" customHeight="1" x14ac:dyDescent="0.2">
      <c r="A44" s="15" t="s">
        <v>136</v>
      </c>
      <c r="B44" s="16">
        <v>749575</v>
      </c>
      <c r="C44" s="16">
        <v>401275</v>
      </c>
      <c r="D44" s="16">
        <v>24696</v>
      </c>
      <c r="E44" s="16">
        <v>16800</v>
      </c>
      <c r="F44" s="16">
        <v>99000</v>
      </c>
    </row>
    <row r="45" spans="1:6" ht="14.1" customHeight="1" x14ac:dyDescent="0.2">
      <c r="A45" s="271" t="s">
        <v>137</v>
      </c>
      <c r="B45" s="272">
        <v>512275</v>
      </c>
      <c r="C45" s="272">
        <v>616244</v>
      </c>
      <c r="D45" s="272">
        <v>62315</v>
      </c>
      <c r="E45" s="272">
        <v>138895</v>
      </c>
      <c r="F45" s="272">
        <v>27000</v>
      </c>
    </row>
    <row r="46" spans="1:6" ht="14.1" customHeight="1" x14ac:dyDescent="0.2">
      <c r="A46" s="15" t="s">
        <v>138</v>
      </c>
      <c r="B46" s="16">
        <v>1398686</v>
      </c>
      <c r="C46" s="16">
        <v>16150813</v>
      </c>
      <c r="D46" s="16">
        <v>1731951</v>
      </c>
      <c r="E46" s="16">
        <v>2890905</v>
      </c>
      <c r="F46" s="16">
        <v>2374400</v>
      </c>
    </row>
    <row r="47" spans="1:6" ht="5.0999999999999996" customHeight="1" x14ac:dyDescent="0.2">
      <c r="A47"/>
      <c r="B47"/>
      <c r="C47"/>
      <c r="D47"/>
      <c r="E47"/>
      <c r="F47"/>
    </row>
    <row r="48" spans="1:6" ht="14.1" customHeight="1" x14ac:dyDescent="0.2">
      <c r="A48" s="274" t="s">
        <v>139</v>
      </c>
      <c r="B48" s="275">
        <f>SUM(B11:B46)</f>
        <v>43402755</v>
      </c>
      <c r="C48" s="275">
        <f>SUM(C11:C46)</f>
        <v>88675720</v>
      </c>
      <c r="D48" s="275">
        <f>SUM(D11:D46)</f>
        <v>8940522</v>
      </c>
      <c r="E48" s="275">
        <f>SUM(E11:E46)</f>
        <v>11600985</v>
      </c>
      <c r="F48" s="275">
        <f>SUM(F11:F46)</f>
        <v>10362250</v>
      </c>
    </row>
    <row r="49" spans="1:6" ht="5.0999999999999996" customHeight="1" x14ac:dyDescent="0.2">
      <c r="A49" s="17" t="s">
        <v>1</v>
      </c>
      <c r="B49" s="18"/>
      <c r="C49" s="18"/>
      <c r="D49" s="18"/>
      <c r="E49" s="18"/>
      <c r="F49" s="18"/>
    </row>
    <row r="50" spans="1:6" ht="14.45" customHeight="1" x14ac:dyDescent="0.2">
      <c r="A50" s="15" t="s">
        <v>140</v>
      </c>
      <c r="B50" s="16">
        <v>1128</v>
      </c>
      <c r="C50" s="16">
        <v>76915</v>
      </c>
      <c r="D50" s="16">
        <v>13695</v>
      </c>
      <c r="E50" s="16">
        <v>750</v>
      </c>
      <c r="F50" s="16">
        <v>0</v>
      </c>
    </row>
    <row r="51" spans="1:6" ht="14.1" customHeight="1" x14ac:dyDescent="0.2">
      <c r="A51" s="360" t="s">
        <v>516</v>
      </c>
      <c r="B51" s="272">
        <v>0</v>
      </c>
      <c r="C51" s="272">
        <v>0</v>
      </c>
      <c r="D51" s="272">
        <v>0</v>
      </c>
      <c r="E51" s="272">
        <v>0</v>
      </c>
      <c r="F51" s="272">
        <v>0</v>
      </c>
    </row>
    <row r="52" spans="1:6" ht="50.1" customHeight="1" x14ac:dyDescent="0.2">
      <c r="A52" s="19"/>
      <c r="B52" s="19"/>
      <c r="C52" s="19"/>
      <c r="D52" s="19"/>
      <c r="E52" s="19"/>
      <c r="F52" s="19"/>
    </row>
    <row r="53" spans="1:6" ht="15" customHeight="1" x14ac:dyDescent="0.2">
      <c r="A53" s="31" t="s">
        <v>318</v>
      </c>
      <c r="B53" s="211"/>
      <c r="C53" s="31"/>
      <c r="D53" s="31"/>
      <c r="E53" s="31"/>
      <c r="F53" s="31"/>
    </row>
    <row r="54" spans="1:6" ht="12" customHeight="1" x14ac:dyDescent="0.2">
      <c r="A54" s="782" t="str">
        <f>"(2)  Includes support for coordinators, clinicians and Level 2 and 3 pupils. Note: total special needs support is"&amp;" $"&amp;TEXT(C48+'- 52 -'!B48,"000,000")&amp; " (Student Services, 
       page 52 and Special Needs)."</f>
        <v>(2)  Includes support for coordinators, clinicians and Level 2 and 3 pupils. Note: total special needs support is $152,335,860 (Student Services, 
       page 52 and Special Needs).</v>
      </c>
      <c r="B54" s="782"/>
      <c r="C54" s="782"/>
      <c r="D54" s="782"/>
      <c r="E54" s="782"/>
      <c r="F54" s="782"/>
    </row>
    <row r="55" spans="1:6" ht="12" customHeight="1" x14ac:dyDescent="0.2">
      <c r="A55" s="782"/>
      <c r="B55" s="782"/>
      <c r="C55" s="782"/>
      <c r="D55" s="782"/>
      <c r="E55" s="782"/>
      <c r="F55" s="782"/>
    </row>
    <row r="56" spans="1:6" ht="14.45" customHeight="1" x14ac:dyDescent="0.2">
      <c r="A56" s="233"/>
      <c r="B56" s="31"/>
      <c r="C56" s="234"/>
      <c r="D56" s="31"/>
      <c r="E56" s="31"/>
      <c r="F56" s="31"/>
    </row>
    <row r="57" spans="1:6" ht="14.45" customHeight="1" x14ac:dyDescent="0.2">
      <c r="A57" s="31"/>
    </row>
    <row r="58" spans="1:6" ht="14.45" customHeight="1" x14ac:dyDescent="0.2"/>
  </sheetData>
  <mergeCells count="9">
    <mergeCell ref="A54:F55"/>
    <mergeCell ref="B4:F4"/>
    <mergeCell ref="B5:F5"/>
    <mergeCell ref="B6:F6"/>
    <mergeCell ref="B8:B9"/>
    <mergeCell ref="C8:C9"/>
    <mergeCell ref="D7:D9"/>
    <mergeCell ref="E7:E9"/>
    <mergeCell ref="F7:F9"/>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F59"/>
  <sheetViews>
    <sheetView showGridLines="0" showZeros="0" workbookViewId="0"/>
  </sheetViews>
  <sheetFormatPr defaultColWidth="19.83203125" defaultRowHeight="12" x14ac:dyDescent="0.2"/>
  <cols>
    <col min="1" max="1" width="33.83203125" style="1" customWidth="1"/>
    <col min="2" max="2" width="18.83203125" style="1" customWidth="1"/>
    <col min="3" max="4" width="19.83203125" style="1" customWidth="1"/>
    <col min="5" max="5" width="20.83203125" style="1" customWidth="1"/>
    <col min="6" max="6" width="19.83203125" style="1" customWidth="1"/>
    <col min="7" max="16384" width="19.83203125" style="1"/>
  </cols>
  <sheetData>
    <row r="1" spans="1:6" ht="6.95" customHeight="1" x14ac:dyDescent="0.2">
      <c r="A1" s="3"/>
      <c r="B1" s="3"/>
      <c r="C1" s="3"/>
      <c r="D1" s="3"/>
      <c r="E1" s="3"/>
      <c r="F1" s="3"/>
    </row>
    <row r="2" spans="1:6" ht="15.95" customHeight="1" x14ac:dyDescent="0.2">
      <c r="A2" s="229"/>
      <c r="B2" s="53" t="str">
        <f>REVYEAR</f>
        <v>ANALYSIS OF OPERATING FUND REVENUE: 2017/2018 BUDGET</v>
      </c>
      <c r="C2" s="230"/>
      <c r="D2" s="230"/>
      <c r="E2" s="230"/>
      <c r="F2" s="185" t="s">
        <v>91</v>
      </c>
    </row>
    <row r="3" spans="1:6" ht="15.95" customHeight="1" x14ac:dyDescent="0.2">
      <c r="A3" s="180"/>
      <c r="B3" s="3"/>
      <c r="C3" s="3"/>
      <c r="D3" s="3"/>
      <c r="E3" s="3"/>
      <c r="F3" s="3"/>
    </row>
    <row r="4" spans="1:6" ht="15.95" customHeight="1" x14ac:dyDescent="0.2">
      <c r="B4" s="769" t="s">
        <v>34</v>
      </c>
      <c r="C4" s="770"/>
      <c r="D4" s="770"/>
      <c r="E4" s="770"/>
      <c r="F4" s="771"/>
    </row>
    <row r="5" spans="1:6" ht="15.95" customHeight="1" x14ac:dyDescent="0.2">
      <c r="B5" s="772" t="s">
        <v>101</v>
      </c>
      <c r="C5" s="773"/>
      <c r="D5" s="773"/>
      <c r="E5" s="773"/>
      <c r="F5" s="774"/>
    </row>
    <row r="6" spans="1:6" ht="15.95" customHeight="1" x14ac:dyDescent="0.2">
      <c r="B6" s="783" t="s">
        <v>47</v>
      </c>
      <c r="C6" s="780"/>
      <c r="D6" s="780"/>
      <c r="E6" s="780"/>
      <c r="F6" s="781"/>
    </row>
    <row r="7" spans="1:6" ht="15.95" customHeight="1" x14ac:dyDescent="0.2">
      <c r="B7" s="736" t="s">
        <v>492</v>
      </c>
      <c r="C7" s="786" t="s">
        <v>518</v>
      </c>
      <c r="D7" s="702" t="s">
        <v>519</v>
      </c>
      <c r="E7" s="24"/>
      <c r="F7" s="702" t="s">
        <v>494</v>
      </c>
    </row>
    <row r="8" spans="1:6" ht="15.95" customHeight="1" x14ac:dyDescent="0.2">
      <c r="A8" s="249"/>
      <c r="B8" s="784"/>
      <c r="C8" s="787"/>
      <c r="D8" s="777"/>
      <c r="E8" s="777" t="s">
        <v>493</v>
      </c>
      <c r="F8" s="777"/>
    </row>
    <row r="9" spans="1:6" ht="15.95" customHeight="1" x14ac:dyDescent="0.2">
      <c r="A9" s="250" t="s">
        <v>37</v>
      </c>
      <c r="B9" s="785"/>
      <c r="C9" s="788"/>
      <c r="D9" s="778"/>
      <c r="E9" s="778"/>
      <c r="F9" s="778"/>
    </row>
    <row r="10" spans="1:6" ht="5.0999999999999996" customHeight="1" x14ac:dyDescent="0.2">
      <c r="A10" s="29"/>
      <c r="B10" s="3"/>
      <c r="C10" s="3"/>
      <c r="D10" s="3"/>
      <c r="E10" s="3"/>
      <c r="F10" s="3"/>
    </row>
    <row r="11" spans="1:6" ht="14.1" customHeight="1" x14ac:dyDescent="0.2">
      <c r="A11" s="271" t="s">
        <v>104</v>
      </c>
      <c r="B11" s="272">
        <v>3600</v>
      </c>
      <c r="C11" s="272">
        <v>25500</v>
      </c>
      <c r="D11" s="272">
        <v>140480</v>
      </c>
      <c r="E11" s="272">
        <f>Data!R11-SUM('- 53 -'!$B11:F11,B11:D11)</f>
        <v>311762</v>
      </c>
      <c r="F11" s="272">
        <f>SUM('- 53 -'!$B11:F11,B11:E11)</f>
        <v>2224264</v>
      </c>
    </row>
    <row r="12" spans="1:6" ht="14.1" customHeight="1" x14ac:dyDescent="0.2">
      <c r="A12" s="15" t="s">
        <v>105</v>
      </c>
      <c r="B12" s="16">
        <v>30000</v>
      </c>
      <c r="C12" s="16">
        <v>28913</v>
      </c>
      <c r="D12" s="16">
        <v>158784</v>
      </c>
      <c r="E12" s="16">
        <f>Data!R12-SUM('- 53 -'!$B12:F12,B12:D12)</f>
        <v>169311</v>
      </c>
      <c r="F12" s="16">
        <f>SUM('- 53 -'!$B12:F12,B12:E12)</f>
        <v>3131487</v>
      </c>
    </row>
    <row r="13" spans="1:6" ht="14.1" customHeight="1" x14ac:dyDescent="0.2">
      <c r="A13" s="271" t="s">
        <v>106</v>
      </c>
      <c r="B13" s="272">
        <v>200800</v>
      </c>
      <c r="C13" s="272">
        <v>163000</v>
      </c>
      <c r="D13" s="272">
        <v>726200</v>
      </c>
      <c r="E13" s="272">
        <f>Data!R13-SUM('- 53 -'!$B13:F13,B13:D13)</f>
        <v>335300</v>
      </c>
      <c r="F13" s="272">
        <f>SUM('- 53 -'!$B13:F13,B13:E13)</f>
        <v>7327200</v>
      </c>
    </row>
    <row r="14" spans="1:6" ht="14.1" customHeight="1" x14ac:dyDescent="0.2">
      <c r="A14" s="15" t="s">
        <v>315</v>
      </c>
      <c r="B14" s="16">
        <v>1520000</v>
      </c>
      <c r="C14" s="16">
        <v>91611</v>
      </c>
      <c r="D14" s="16">
        <v>416040</v>
      </c>
      <c r="E14" s="16">
        <f>Data!R14-SUM('- 53 -'!$B14:F14,B14:D14)</f>
        <v>509769</v>
      </c>
      <c r="F14" s="16">
        <f>SUM('- 53 -'!$B14:F14,B14:E14)</f>
        <v>7897997</v>
      </c>
    </row>
    <row r="15" spans="1:6" ht="14.1" customHeight="1" x14ac:dyDescent="0.2">
      <c r="A15" s="271" t="s">
        <v>107</v>
      </c>
      <c r="B15" s="272">
        <v>6100</v>
      </c>
      <c r="C15" s="272">
        <v>19316</v>
      </c>
      <c r="D15" s="272">
        <v>110496</v>
      </c>
      <c r="E15" s="272">
        <f>Data!R15-SUM('- 53 -'!$B15:F15,B15:D15)</f>
        <v>92184</v>
      </c>
      <c r="F15" s="272">
        <f>SUM('- 53 -'!$B15:F15,B15:E15)</f>
        <v>2116438</v>
      </c>
    </row>
    <row r="16" spans="1:6" ht="14.1" customHeight="1" x14ac:dyDescent="0.2">
      <c r="A16" s="15" t="s">
        <v>108</v>
      </c>
      <c r="B16" s="16">
        <v>28300</v>
      </c>
      <c r="C16" s="16">
        <v>11390</v>
      </c>
      <c r="D16" s="16">
        <v>70864</v>
      </c>
      <c r="E16" s="16">
        <f>Data!R16-SUM('- 53 -'!$B16:F16,B16:D16)</f>
        <v>675774</v>
      </c>
      <c r="F16" s="16">
        <f>SUM('- 53 -'!$B16:F16,B16:E16)</f>
        <v>1469035</v>
      </c>
    </row>
    <row r="17" spans="1:6" ht="14.1" customHeight="1" x14ac:dyDescent="0.2">
      <c r="A17" s="271" t="s">
        <v>109</v>
      </c>
      <c r="B17" s="272">
        <v>2000</v>
      </c>
      <c r="C17" s="272">
        <v>19890</v>
      </c>
      <c r="D17" s="272">
        <v>105800</v>
      </c>
      <c r="E17" s="272">
        <f>Data!R17-SUM('- 53 -'!$B17:F17,B17:D17)</f>
        <v>177466</v>
      </c>
      <c r="F17" s="272">
        <f>SUM('- 53 -'!$B17:F17,B17:E17)</f>
        <v>1860681</v>
      </c>
    </row>
    <row r="18" spans="1:6" ht="14.1" customHeight="1" x14ac:dyDescent="0.2">
      <c r="A18" s="15" t="s">
        <v>110</v>
      </c>
      <c r="B18" s="16">
        <v>200</v>
      </c>
      <c r="C18" s="16">
        <v>44155</v>
      </c>
      <c r="D18" s="16">
        <v>183520</v>
      </c>
      <c r="E18" s="16">
        <f>Data!R18-SUM('- 53 -'!$B18:F18,B18:D18)</f>
        <v>2441039</v>
      </c>
      <c r="F18" s="16">
        <f>SUM('- 53 -'!$B18:F18,B18:E18)</f>
        <v>6596355</v>
      </c>
    </row>
    <row r="19" spans="1:6" ht="14.1" customHeight="1" x14ac:dyDescent="0.2">
      <c r="A19" s="271" t="s">
        <v>111</v>
      </c>
      <c r="B19" s="272">
        <v>4600</v>
      </c>
      <c r="C19" s="272">
        <v>59760</v>
      </c>
      <c r="D19" s="272">
        <v>341192</v>
      </c>
      <c r="E19" s="272">
        <f>Data!R19-SUM('- 53 -'!$B19:F19,B19:D19)</f>
        <v>149771</v>
      </c>
      <c r="F19" s="272">
        <f>SUM('- 53 -'!$B19:F19,B19:E19)</f>
        <v>4922836</v>
      </c>
    </row>
    <row r="20" spans="1:6" ht="14.1" customHeight="1" x14ac:dyDescent="0.2">
      <c r="A20" s="15" t="s">
        <v>112</v>
      </c>
      <c r="B20" s="16">
        <v>22000</v>
      </c>
      <c r="C20" s="16">
        <v>118578</v>
      </c>
      <c r="D20" s="16">
        <v>610416</v>
      </c>
      <c r="E20" s="16">
        <f>Data!R20-SUM('- 53 -'!$B20:F20,B20:D20)</f>
        <v>351977</v>
      </c>
      <c r="F20" s="16">
        <f>SUM('- 53 -'!$B20:F20,B20:E20)</f>
        <v>8462923</v>
      </c>
    </row>
    <row r="21" spans="1:6" ht="14.1" customHeight="1" x14ac:dyDescent="0.2">
      <c r="A21" s="271" t="s">
        <v>113</v>
      </c>
      <c r="B21" s="272">
        <v>70900</v>
      </c>
      <c r="C21" s="272">
        <v>43036</v>
      </c>
      <c r="D21" s="272">
        <v>219368</v>
      </c>
      <c r="E21" s="272">
        <f>Data!R21-SUM('- 53 -'!$B21:F21,B21:D21)</f>
        <v>240661</v>
      </c>
      <c r="F21" s="272">
        <f>SUM('- 53 -'!$B21:F21,B21:E21)</f>
        <v>3367483</v>
      </c>
    </row>
    <row r="22" spans="1:6" ht="14.1" customHeight="1" x14ac:dyDescent="0.2">
      <c r="A22" s="15" t="s">
        <v>114</v>
      </c>
      <c r="B22" s="16">
        <v>39100</v>
      </c>
      <c r="C22" s="16">
        <v>27620</v>
      </c>
      <c r="D22" s="16">
        <v>119568</v>
      </c>
      <c r="E22" s="16">
        <f>Data!R22-SUM('- 53 -'!$B22:F22,B22:D22)</f>
        <v>1071697</v>
      </c>
      <c r="F22" s="16">
        <f>SUM('- 53 -'!$B22:F22,B22:E22)</f>
        <v>2694055</v>
      </c>
    </row>
    <row r="23" spans="1:6" ht="14.1" customHeight="1" x14ac:dyDescent="0.2">
      <c r="A23" s="271" t="s">
        <v>115</v>
      </c>
      <c r="B23" s="272">
        <v>2400</v>
      </c>
      <c r="C23" s="272">
        <v>13957</v>
      </c>
      <c r="D23" s="272">
        <v>79400</v>
      </c>
      <c r="E23" s="272">
        <f>Data!R23-SUM('- 53 -'!$B23:F23,B23:D23)</f>
        <v>106379</v>
      </c>
      <c r="F23" s="272">
        <f>SUM('- 53 -'!$B23:F23,B23:E23)</f>
        <v>1960621</v>
      </c>
    </row>
    <row r="24" spans="1:6" ht="14.1" customHeight="1" x14ac:dyDescent="0.2">
      <c r="A24" s="15" t="s">
        <v>116</v>
      </c>
      <c r="B24" s="16">
        <v>97000</v>
      </c>
      <c r="C24" s="16">
        <v>53015</v>
      </c>
      <c r="D24" s="16">
        <v>369524</v>
      </c>
      <c r="E24" s="16">
        <f>Data!R24-SUM('- 53 -'!$B24:F24,B24:D24)</f>
        <v>224906</v>
      </c>
      <c r="F24" s="16">
        <f>SUM('- 53 -'!$B24:F24,B24:E24)</f>
        <v>5133338</v>
      </c>
    </row>
    <row r="25" spans="1:6" ht="14.1" customHeight="1" x14ac:dyDescent="0.2">
      <c r="A25" s="271" t="s">
        <v>117</v>
      </c>
      <c r="B25" s="272">
        <v>1228500</v>
      </c>
      <c r="C25" s="272">
        <v>201640</v>
      </c>
      <c r="D25" s="272">
        <v>1123960</v>
      </c>
      <c r="E25" s="272">
        <f>Data!R25-SUM('- 53 -'!$B25:F25,B25:D25)</f>
        <v>426374</v>
      </c>
      <c r="F25" s="272">
        <f>SUM('- 53 -'!$B25:F25,B25:E25)</f>
        <v>15855679</v>
      </c>
    </row>
    <row r="26" spans="1:6" ht="14.1" customHeight="1" x14ac:dyDescent="0.2">
      <c r="A26" s="15" t="s">
        <v>118</v>
      </c>
      <c r="B26" s="16">
        <v>66600</v>
      </c>
      <c r="C26" s="16">
        <v>38750</v>
      </c>
      <c r="D26" s="16">
        <v>294756</v>
      </c>
      <c r="E26" s="16">
        <f>Data!R26-SUM('- 53 -'!$B26:F26,B26:D26)</f>
        <v>235243</v>
      </c>
      <c r="F26" s="16">
        <f>SUM('- 53 -'!$B26:F26,B26:E26)</f>
        <v>3852479</v>
      </c>
    </row>
    <row r="27" spans="1:6" ht="14.1" customHeight="1" x14ac:dyDescent="0.2">
      <c r="A27" s="271" t="s">
        <v>119</v>
      </c>
      <c r="B27" s="272">
        <v>74500</v>
      </c>
      <c r="C27" s="272">
        <v>57374</v>
      </c>
      <c r="D27" s="272">
        <v>234064</v>
      </c>
      <c r="E27" s="272">
        <f>Data!R27-SUM('- 53 -'!$B27:F27,B27:D27)</f>
        <v>2098801</v>
      </c>
      <c r="F27" s="272">
        <f>SUM('- 53 -'!$B27:F27,B27:E27)</f>
        <v>5056386</v>
      </c>
    </row>
    <row r="28" spans="1:6" ht="14.1" customHeight="1" x14ac:dyDescent="0.2">
      <c r="A28" s="15" t="s">
        <v>120</v>
      </c>
      <c r="B28" s="16">
        <v>6100</v>
      </c>
      <c r="C28" s="16">
        <v>18778</v>
      </c>
      <c r="D28" s="16">
        <v>119240</v>
      </c>
      <c r="E28" s="16">
        <f>Data!R28-SUM('- 53 -'!$B28:F28,B28:D28)</f>
        <v>237590</v>
      </c>
      <c r="F28" s="16">
        <f>SUM('- 53 -'!$B28:F28,B28:E28)</f>
        <v>2401323</v>
      </c>
    </row>
    <row r="29" spans="1:6" ht="14.1" customHeight="1" x14ac:dyDescent="0.2">
      <c r="A29" s="271" t="s">
        <v>121</v>
      </c>
      <c r="B29" s="272">
        <v>686500</v>
      </c>
      <c r="C29" s="272">
        <v>164543</v>
      </c>
      <c r="D29" s="272">
        <v>1031600</v>
      </c>
      <c r="E29" s="272">
        <f>Data!R29-SUM('- 53 -'!$B29:F29,B29:D29)</f>
        <v>703731</v>
      </c>
      <c r="F29" s="272">
        <f>SUM('- 53 -'!$B29:F29,B29:E29)</f>
        <v>12372926</v>
      </c>
    </row>
    <row r="30" spans="1:6" ht="14.1" customHeight="1" x14ac:dyDescent="0.2">
      <c r="A30" s="15" t="s">
        <v>122</v>
      </c>
      <c r="B30" s="16">
        <v>2600</v>
      </c>
      <c r="C30" s="16">
        <v>13940</v>
      </c>
      <c r="D30" s="16">
        <v>79200</v>
      </c>
      <c r="E30" s="16">
        <f>Data!R30-SUM('- 53 -'!$B30:F30,B30:D30)</f>
        <v>163270</v>
      </c>
      <c r="F30" s="16">
        <f>SUM('- 53 -'!$B30:F30,B30:E30)</f>
        <v>1630980</v>
      </c>
    </row>
    <row r="31" spans="1:6" ht="14.1" customHeight="1" x14ac:dyDescent="0.2">
      <c r="A31" s="271" t="s">
        <v>123</v>
      </c>
      <c r="B31" s="272">
        <v>84100</v>
      </c>
      <c r="C31" s="272">
        <v>54377</v>
      </c>
      <c r="D31" s="272">
        <v>249640</v>
      </c>
      <c r="E31" s="272">
        <f>Data!R31-SUM('- 53 -'!$B31:F31,B31:D31)</f>
        <v>142943</v>
      </c>
      <c r="F31" s="272">
        <f>SUM('- 53 -'!$B31:F31,B31:E31)</f>
        <v>3704429</v>
      </c>
    </row>
    <row r="32" spans="1:6" ht="14.1" customHeight="1" x14ac:dyDescent="0.2">
      <c r="A32" s="15" t="s">
        <v>124</v>
      </c>
      <c r="B32" s="16">
        <v>47600</v>
      </c>
      <c r="C32" s="16">
        <v>36229</v>
      </c>
      <c r="D32" s="16">
        <v>172096</v>
      </c>
      <c r="E32" s="16">
        <f>Data!R32-SUM('- 53 -'!$B32:F32,B32:D32)</f>
        <v>335284</v>
      </c>
      <c r="F32" s="16">
        <f>SUM('- 53 -'!$B32:F32,B32:E32)</f>
        <v>2983407</v>
      </c>
    </row>
    <row r="33" spans="1:6" ht="14.1" customHeight="1" x14ac:dyDescent="0.2">
      <c r="A33" s="271" t="s">
        <v>125</v>
      </c>
      <c r="B33" s="272">
        <v>28300</v>
      </c>
      <c r="C33" s="272">
        <v>30295</v>
      </c>
      <c r="D33" s="272">
        <v>159336</v>
      </c>
      <c r="E33" s="272">
        <f>Data!R33-SUM('- 53 -'!$B33:F33,B33:D33)</f>
        <v>344761</v>
      </c>
      <c r="F33" s="272">
        <f>SUM('- 53 -'!$B33:F33,B33:E33)</f>
        <v>3116540</v>
      </c>
    </row>
    <row r="34" spans="1:6" ht="14.1" customHeight="1" x14ac:dyDescent="0.2">
      <c r="A34" s="15" t="s">
        <v>126</v>
      </c>
      <c r="B34" s="16">
        <v>95100</v>
      </c>
      <c r="C34" s="16">
        <v>27643</v>
      </c>
      <c r="D34" s="16">
        <v>163272</v>
      </c>
      <c r="E34" s="16">
        <f>Data!R34-SUM('- 53 -'!$B34:F34,B34:D34)</f>
        <v>177630</v>
      </c>
      <c r="F34" s="16">
        <f>SUM('- 53 -'!$B34:F34,B34:E34)</f>
        <v>3418604</v>
      </c>
    </row>
    <row r="35" spans="1:6" ht="14.1" customHeight="1" x14ac:dyDescent="0.2">
      <c r="A35" s="271" t="s">
        <v>127</v>
      </c>
      <c r="B35" s="272">
        <v>732000</v>
      </c>
      <c r="C35" s="272">
        <v>215103</v>
      </c>
      <c r="D35" s="272">
        <v>1368860</v>
      </c>
      <c r="E35" s="272">
        <f>Data!R35-SUM('- 53 -'!$B35:F35,B35:D35)</f>
        <v>285828</v>
      </c>
      <c r="F35" s="272">
        <f>SUM('- 53 -'!$B35:F35,B35:E35)</f>
        <v>16212342</v>
      </c>
    </row>
    <row r="36" spans="1:6" ht="14.1" customHeight="1" x14ac:dyDescent="0.2">
      <c r="A36" s="15" t="s">
        <v>128</v>
      </c>
      <c r="B36" s="16">
        <v>4400</v>
      </c>
      <c r="C36" s="16">
        <v>21251</v>
      </c>
      <c r="D36" s="16">
        <v>124248</v>
      </c>
      <c r="E36" s="16">
        <f>Data!R36-SUM('- 53 -'!$B36:F36,B36:D36)</f>
        <v>157301</v>
      </c>
      <c r="F36" s="16">
        <f>SUM('- 53 -'!$B36:F36,B36:E36)</f>
        <v>1838941</v>
      </c>
    </row>
    <row r="37" spans="1:6" ht="14.1" customHeight="1" x14ac:dyDescent="0.2">
      <c r="A37" s="271" t="s">
        <v>129</v>
      </c>
      <c r="B37" s="272">
        <v>360100</v>
      </c>
      <c r="C37" s="272">
        <v>64424</v>
      </c>
      <c r="D37" s="272">
        <v>334800</v>
      </c>
      <c r="E37" s="272">
        <f>Data!R37-SUM('- 53 -'!$B37:F37,B37:D37)</f>
        <v>204332</v>
      </c>
      <c r="F37" s="272">
        <f>SUM('- 53 -'!$B37:F37,B37:E37)</f>
        <v>5859904</v>
      </c>
    </row>
    <row r="38" spans="1:6" ht="14.1" customHeight="1" x14ac:dyDescent="0.2">
      <c r="A38" s="15" t="s">
        <v>130</v>
      </c>
      <c r="B38" s="16">
        <v>441000</v>
      </c>
      <c r="C38" s="16">
        <v>145677</v>
      </c>
      <c r="D38" s="16">
        <v>871344</v>
      </c>
      <c r="E38" s="16">
        <f>Data!R38-SUM('- 53 -'!$B38:F38,B38:D38)</f>
        <v>476688</v>
      </c>
      <c r="F38" s="16">
        <f>SUM('- 53 -'!$B38:F38,B38:E38)</f>
        <v>10881704</v>
      </c>
    </row>
    <row r="39" spans="1:6" ht="14.1" customHeight="1" x14ac:dyDescent="0.2">
      <c r="A39" s="271" t="s">
        <v>131</v>
      </c>
      <c r="B39" s="272">
        <v>3100</v>
      </c>
      <c r="C39" s="272">
        <v>20060</v>
      </c>
      <c r="D39" s="272">
        <v>120112</v>
      </c>
      <c r="E39" s="272">
        <f>Data!R39-SUM('- 53 -'!$B39:F39,B39:D39)</f>
        <v>277606</v>
      </c>
      <c r="F39" s="272">
        <f>SUM('- 53 -'!$B39:F39,B39:E39)</f>
        <v>2156793</v>
      </c>
    </row>
    <row r="40" spans="1:6" ht="14.1" customHeight="1" x14ac:dyDescent="0.2">
      <c r="A40" s="15" t="s">
        <v>132</v>
      </c>
      <c r="B40" s="16">
        <v>390200</v>
      </c>
      <c r="C40" s="16">
        <v>108587</v>
      </c>
      <c r="D40" s="16">
        <v>757500</v>
      </c>
      <c r="E40" s="16">
        <f>Data!R40-SUM('- 53 -'!$B40:F40,B40:D40)</f>
        <v>207935</v>
      </c>
      <c r="F40" s="16">
        <f>SUM('- 53 -'!$B40:F40,B40:E40)</f>
        <v>8500130</v>
      </c>
    </row>
    <row r="41" spans="1:6" ht="14.1" customHeight="1" x14ac:dyDescent="0.2">
      <c r="A41" s="271" t="s">
        <v>133</v>
      </c>
      <c r="B41" s="272">
        <v>165600</v>
      </c>
      <c r="C41" s="272">
        <v>63823</v>
      </c>
      <c r="D41" s="272">
        <v>351280</v>
      </c>
      <c r="E41" s="272">
        <f>Data!R41-SUM('- 53 -'!$B41:F41,B41:D41)</f>
        <v>241938</v>
      </c>
      <c r="F41" s="272">
        <f>SUM('- 53 -'!$B41:F41,B41:E41)</f>
        <v>6857099</v>
      </c>
    </row>
    <row r="42" spans="1:6" ht="14.1" customHeight="1" x14ac:dyDescent="0.2">
      <c r="A42" s="15" t="s">
        <v>134</v>
      </c>
      <c r="B42" s="16">
        <v>27300</v>
      </c>
      <c r="C42" s="16">
        <v>20947</v>
      </c>
      <c r="D42" s="16">
        <v>107488</v>
      </c>
      <c r="E42" s="16">
        <f>Data!R42-SUM('- 53 -'!$B42:F42,B42:D42)</f>
        <v>60558</v>
      </c>
      <c r="F42" s="16">
        <f>SUM('- 53 -'!$B42:F42,B42:E42)</f>
        <v>2290886</v>
      </c>
    </row>
    <row r="43" spans="1:6" ht="14.1" customHeight="1" x14ac:dyDescent="0.2">
      <c r="A43" s="271" t="s">
        <v>135</v>
      </c>
      <c r="B43" s="272">
        <v>500</v>
      </c>
      <c r="C43" s="272">
        <v>16513</v>
      </c>
      <c r="D43" s="272">
        <v>77096</v>
      </c>
      <c r="E43" s="272">
        <f>Data!R43-SUM('- 53 -'!$B43:F43,B43:D43)</f>
        <v>100621</v>
      </c>
      <c r="F43" s="272">
        <f>SUM('- 53 -'!$B43:F43,B43:E43)</f>
        <v>1270906</v>
      </c>
    </row>
    <row r="44" spans="1:6" ht="14.1" customHeight="1" x14ac:dyDescent="0.2">
      <c r="A44" s="15" t="s">
        <v>136</v>
      </c>
      <c r="B44" s="16">
        <v>9500</v>
      </c>
      <c r="C44" s="16">
        <v>9674</v>
      </c>
      <c r="D44" s="16">
        <v>55464</v>
      </c>
      <c r="E44" s="16">
        <f>Data!R44-SUM('- 53 -'!$B44:F44,B44:D44)</f>
        <v>100675</v>
      </c>
      <c r="F44" s="16">
        <f>SUM('- 53 -'!$B44:F44,B44:E44)</f>
        <v>1466659</v>
      </c>
    </row>
    <row r="45" spans="1:6" ht="14.1" customHeight="1" x14ac:dyDescent="0.2">
      <c r="A45" s="271" t="s">
        <v>137</v>
      </c>
      <c r="B45" s="272">
        <v>60600</v>
      </c>
      <c r="C45" s="272">
        <v>22610</v>
      </c>
      <c r="D45" s="272">
        <v>132992</v>
      </c>
      <c r="E45" s="272">
        <f>Data!R45-SUM('- 53 -'!$B45:F45,B45:D45)</f>
        <v>49276</v>
      </c>
      <c r="F45" s="272">
        <f>SUM('- 53 -'!$B45:F45,B45:E45)</f>
        <v>1622207</v>
      </c>
    </row>
    <row r="46" spans="1:6" ht="14.1" customHeight="1" x14ac:dyDescent="0.2">
      <c r="A46" s="15" t="s">
        <v>138</v>
      </c>
      <c r="B46" s="16">
        <v>939500</v>
      </c>
      <c r="C46" s="16">
        <v>509576</v>
      </c>
      <c r="D46" s="16">
        <v>2486992</v>
      </c>
      <c r="E46" s="16">
        <f>Data!R46-SUM('- 53 -'!$B46:F46,B46:D46)</f>
        <v>513820</v>
      </c>
      <c r="F46" s="16">
        <f>SUM('- 53 -'!$B46:F46,B46:E46)</f>
        <v>28996643</v>
      </c>
    </row>
    <row r="47" spans="1:6" ht="5.0999999999999996" customHeight="1" x14ac:dyDescent="0.2">
      <c r="A47"/>
      <c r="B47"/>
      <c r="C47"/>
      <c r="D47"/>
      <c r="E47"/>
      <c r="F47"/>
    </row>
    <row r="48" spans="1:6" ht="14.1" customHeight="1" x14ac:dyDescent="0.2">
      <c r="A48" s="274" t="s">
        <v>139</v>
      </c>
      <c r="B48" s="275">
        <f>SUM(B11:B46)</f>
        <v>7480700</v>
      </c>
      <c r="C48" s="275">
        <f>SUM(C11:C46)</f>
        <v>2581555</v>
      </c>
      <c r="D48" s="275">
        <f>SUM(D11:D46)</f>
        <v>14066992</v>
      </c>
      <c r="E48" s="275">
        <f>SUM(E11:E46)</f>
        <v>14400201</v>
      </c>
      <c r="F48" s="275">
        <f>SUM(F11:F46)</f>
        <v>201511680</v>
      </c>
    </row>
    <row r="49" spans="1:6" ht="5.0999999999999996" customHeight="1" x14ac:dyDescent="0.2">
      <c r="A49" s="17" t="s">
        <v>1</v>
      </c>
      <c r="B49" s="18"/>
      <c r="C49" s="18"/>
      <c r="D49" s="18"/>
      <c r="E49" s="18"/>
      <c r="F49" s="18"/>
    </row>
    <row r="50" spans="1:6" ht="14.45" customHeight="1" x14ac:dyDescent="0.2">
      <c r="A50" s="15" t="s">
        <v>140</v>
      </c>
      <c r="B50" s="16">
        <v>600</v>
      </c>
      <c r="C50" s="16">
        <v>5585</v>
      </c>
      <c r="D50" s="16">
        <v>12400</v>
      </c>
      <c r="E50" s="16">
        <f>Data!R50-SUM('- 53 -'!$B50:F50,B50:D50)</f>
        <v>58333</v>
      </c>
      <c r="F50" s="16">
        <f>SUM('- 53 -'!$B50:F50,B50:E50)</f>
        <v>169406</v>
      </c>
    </row>
    <row r="51" spans="1:6" ht="14.1" customHeight="1" x14ac:dyDescent="0.2">
      <c r="A51" s="360" t="s">
        <v>516</v>
      </c>
      <c r="B51" s="272">
        <v>0</v>
      </c>
      <c r="C51" s="272">
        <v>0</v>
      </c>
      <c r="D51" s="272">
        <v>0</v>
      </c>
      <c r="E51" s="272">
        <f>Data!R51-SUM('- 53 -'!$B51:F51,B51:D51)</f>
        <v>0</v>
      </c>
      <c r="F51" s="272">
        <f>SUM('- 53 -'!$B51:F51,B51:E51)</f>
        <v>0</v>
      </c>
    </row>
    <row r="52" spans="1:6" ht="50.1" customHeight="1" x14ac:dyDescent="0.2">
      <c r="A52" s="19"/>
      <c r="B52" s="19"/>
      <c r="C52" s="19"/>
      <c r="D52" s="19"/>
      <c r="E52" s="19"/>
      <c r="F52" s="19"/>
    </row>
    <row r="53" spans="1:6" ht="15" customHeight="1" x14ac:dyDescent="0.2">
      <c r="A53" s="31" t="s">
        <v>353</v>
      </c>
      <c r="E53" s="31"/>
      <c r="F53" s="31"/>
    </row>
    <row r="54" spans="1:6" ht="14.45" customHeight="1" x14ac:dyDescent="0.2">
      <c r="A54" s="31"/>
      <c r="E54" s="31"/>
      <c r="F54" s="31"/>
    </row>
    <row r="55" spans="1:6" ht="14.45" customHeight="1" x14ac:dyDescent="0.2">
      <c r="B55" s="31"/>
      <c r="C55" s="31"/>
      <c r="D55" s="31"/>
      <c r="E55" s="31"/>
      <c r="F55" s="31"/>
    </row>
    <row r="56" spans="1:6" ht="14.45" customHeight="1" x14ac:dyDescent="0.2">
      <c r="E56" s="90"/>
      <c r="F56" s="90"/>
    </row>
    <row r="57" spans="1:6" ht="14.45" customHeight="1" x14ac:dyDescent="0.2">
      <c r="B57" s="90"/>
      <c r="C57" s="90"/>
      <c r="D57" s="90"/>
      <c r="E57" s="90"/>
      <c r="F57" s="90"/>
    </row>
    <row r="58" spans="1:6" ht="14.45" customHeight="1" x14ac:dyDescent="0.2"/>
    <row r="59" spans="1:6" ht="14.45" customHeight="1" x14ac:dyDescent="0.2"/>
  </sheetData>
  <mergeCells count="8">
    <mergeCell ref="B4:F4"/>
    <mergeCell ref="B5:F5"/>
    <mergeCell ref="B6:F6"/>
    <mergeCell ref="B7:B9"/>
    <mergeCell ref="C7:C9"/>
    <mergeCell ref="D7:D9"/>
    <mergeCell ref="E8:E9"/>
    <mergeCell ref="F7:F9"/>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F59"/>
  <sheetViews>
    <sheetView showGridLines="0" showZeros="0" workbookViewId="0"/>
  </sheetViews>
  <sheetFormatPr defaultColWidth="23.83203125" defaultRowHeight="12" x14ac:dyDescent="0.2"/>
  <cols>
    <col min="1" max="1" width="32.5" style="1" customWidth="1"/>
    <col min="2" max="2" width="20.1640625" style="1" customWidth="1"/>
    <col min="3" max="3" width="19.5" style="1" customWidth="1"/>
    <col min="4" max="4" width="20" style="1" customWidth="1"/>
    <col min="5" max="5" width="19.33203125" style="1" customWidth="1"/>
    <col min="6" max="6" width="21.6640625" style="1" customWidth="1"/>
    <col min="7" max="16384" width="23.83203125" style="1"/>
  </cols>
  <sheetData>
    <row r="1" spans="1:6" ht="6.95" customHeight="1" x14ac:dyDescent="0.2">
      <c r="A1" s="3"/>
      <c r="B1" s="3"/>
      <c r="C1" s="3"/>
      <c r="D1" s="3"/>
      <c r="E1" s="3"/>
      <c r="F1" s="3"/>
    </row>
    <row r="2" spans="1:6" ht="15.95" customHeight="1" x14ac:dyDescent="0.2">
      <c r="A2" s="229"/>
      <c r="B2" s="53" t="str">
        <f>REVYEAR</f>
        <v>ANALYSIS OF OPERATING FUND REVENUE: 2017/2018 BUDGET</v>
      </c>
      <c r="C2" s="53"/>
      <c r="D2" s="230"/>
      <c r="E2" s="230"/>
      <c r="F2" s="185" t="s">
        <v>92</v>
      </c>
    </row>
    <row r="3" spans="1:6" ht="15.95" customHeight="1" x14ac:dyDescent="0.2">
      <c r="A3" s="180"/>
      <c r="B3" s="231"/>
      <c r="C3" s="231"/>
      <c r="D3" s="231"/>
      <c r="E3" s="231"/>
      <c r="F3" s="231"/>
    </row>
    <row r="4" spans="1:6" ht="15.95" customHeight="1" x14ac:dyDescent="0.2"/>
    <row r="5" spans="1:6" ht="15.95" customHeight="1" x14ac:dyDescent="0.2">
      <c r="B5" s="769" t="s">
        <v>34</v>
      </c>
      <c r="C5" s="770"/>
      <c r="D5" s="770"/>
      <c r="E5" s="770"/>
      <c r="F5" s="771"/>
    </row>
    <row r="6" spans="1:6" ht="15.95" customHeight="1" x14ac:dyDescent="0.2">
      <c r="B6" s="772" t="s">
        <v>101</v>
      </c>
      <c r="C6" s="773"/>
      <c r="D6" s="773"/>
      <c r="E6" s="773"/>
      <c r="F6" s="774"/>
    </row>
    <row r="7" spans="1:6" ht="15.95" customHeight="1" x14ac:dyDescent="0.2">
      <c r="B7" s="186"/>
      <c r="C7" s="702" t="s">
        <v>496</v>
      </c>
      <c r="D7" s="186"/>
      <c r="E7" s="702" t="s">
        <v>498</v>
      </c>
      <c r="F7" s="702" t="s">
        <v>499</v>
      </c>
    </row>
    <row r="8" spans="1:6" ht="15.95" customHeight="1" x14ac:dyDescent="0.2">
      <c r="A8" s="24"/>
      <c r="B8" s="777" t="s">
        <v>495</v>
      </c>
      <c r="C8" s="777"/>
      <c r="D8" s="777" t="s">
        <v>497</v>
      </c>
      <c r="E8" s="777"/>
      <c r="F8" s="792"/>
    </row>
    <row r="9" spans="1:6" ht="15.95" customHeight="1" x14ac:dyDescent="0.2">
      <c r="A9" s="93" t="s">
        <v>37</v>
      </c>
      <c r="B9" s="778"/>
      <c r="C9" s="778"/>
      <c r="D9" s="778"/>
      <c r="E9" s="778"/>
      <c r="F9" s="701"/>
    </row>
    <row r="10" spans="1:6" ht="5.0999999999999996" customHeight="1" x14ac:dyDescent="0.2">
      <c r="A10" s="29"/>
      <c r="B10" s="3"/>
      <c r="C10" s="3"/>
      <c r="D10" s="3"/>
      <c r="E10" s="3"/>
      <c r="F10" s="3"/>
    </row>
    <row r="11" spans="1:6" ht="14.1" customHeight="1" x14ac:dyDescent="0.2">
      <c r="A11" s="271" t="s">
        <v>104</v>
      </c>
      <c r="B11" s="272">
        <v>2426623</v>
      </c>
      <c r="C11" s="272">
        <v>0</v>
      </c>
      <c r="D11" s="272">
        <v>0</v>
      </c>
      <c r="E11" s="272">
        <v>95000</v>
      </c>
      <c r="F11" s="272">
        <f>SUM('- 52 -'!$G11,'- 54 -'!$F11,B11:E11)</f>
        <v>10490045</v>
      </c>
    </row>
    <row r="12" spans="1:6" ht="14.1" customHeight="1" x14ac:dyDescent="0.2">
      <c r="A12" s="15" t="s">
        <v>105</v>
      </c>
      <c r="B12" s="16">
        <v>4043127</v>
      </c>
      <c r="C12" s="16">
        <v>1575</v>
      </c>
      <c r="D12" s="16">
        <v>930367</v>
      </c>
      <c r="E12" s="16">
        <v>204224</v>
      </c>
      <c r="F12" s="16">
        <f>SUM('- 52 -'!$G12,'- 54 -'!$F12,B12:E12)</f>
        <v>15139060</v>
      </c>
    </row>
    <row r="13" spans="1:6" ht="14.1" customHeight="1" x14ac:dyDescent="0.2">
      <c r="A13" s="271" t="s">
        <v>106</v>
      </c>
      <c r="B13" s="272">
        <v>16585900</v>
      </c>
      <c r="C13" s="272">
        <v>0</v>
      </c>
      <c r="D13" s="272">
        <v>0</v>
      </c>
      <c r="E13" s="272">
        <v>304000</v>
      </c>
      <c r="F13" s="272">
        <f>SUM('- 52 -'!$G13,'- 54 -'!$F13,B13:E13)</f>
        <v>49298700</v>
      </c>
    </row>
    <row r="14" spans="1:6" ht="14.1" customHeight="1" x14ac:dyDescent="0.2">
      <c r="A14" s="15" t="s">
        <v>315</v>
      </c>
      <c r="B14" s="16">
        <v>9882705</v>
      </c>
      <c r="C14" s="16">
        <v>0</v>
      </c>
      <c r="D14" s="16">
        <v>0</v>
      </c>
      <c r="E14" s="16">
        <v>242400</v>
      </c>
      <c r="F14" s="16">
        <f>SUM('- 52 -'!$G14,'- 54 -'!$F14,B14:E14)</f>
        <v>35065708</v>
      </c>
    </row>
    <row r="15" spans="1:6" ht="14.1" customHeight="1" x14ac:dyDescent="0.2">
      <c r="A15" s="271" t="s">
        <v>107</v>
      </c>
      <c r="B15" s="272">
        <v>0</v>
      </c>
      <c r="C15" s="272">
        <v>0</v>
      </c>
      <c r="D15" s="272">
        <v>1206053</v>
      </c>
      <c r="E15" s="272">
        <v>83960</v>
      </c>
      <c r="F15" s="272">
        <f>SUM('- 52 -'!$G15,'- 54 -'!$F15,B15:E15)</f>
        <v>8122535</v>
      </c>
    </row>
    <row r="16" spans="1:6" ht="14.1" customHeight="1" x14ac:dyDescent="0.2">
      <c r="A16" s="15" t="s">
        <v>108</v>
      </c>
      <c r="B16" s="16">
        <v>3919596</v>
      </c>
      <c r="C16" s="16">
        <v>208582</v>
      </c>
      <c r="D16" s="16">
        <v>0</v>
      </c>
      <c r="E16" s="16">
        <v>60920</v>
      </c>
      <c r="F16" s="16">
        <f>SUM('- 52 -'!$G16,'- 54 -'!$F16,B16:E16)</f>
        <v>8640504</v>
      </c>
    </row>
    <row r="17" spans="1:6" ht="14.1" customHeight="1" x14ac:dyDescent="0.2">
      <c r="A17" s="271" t="s">
        <v>109</v>
      </c>
      <c r="B17" s="272">
        <v>0</v>
      </c>
      <c r="C17" s="272">
        <v>0</v>
      </c>
      <c r="D17" s="272">
        <v>726430</v>
      </c>
      <c r="E17" s="272">
        <v>102800</v>
      </c>
      <c r="F17" s="272">
        <f>SUM('- 52 -'!$G17,'- 54 -'!$F17,B17:E17)</f>
        <v>7299283</v>
      </c>
    </row>
    <row r="18" spans="1:6" ht="14.1" customHeight="1" x14ac:dyDescent="0.2">
      <c r="A18" s="15" t="s">
        <v>110</v>
      </c>
      <c r="B18" s="16">
        <v>13781753</v>
      </c>
      <c r="C18" s="16">
        <v>4758592</v>
      </c>
      <c r="D18" s="16">
        <v>0</v>
      </c>
      <c r="E18" s="16">
        <v>380600</v>
      </c>
      <c r="F18" s="16">
        <f>SUM('- 52 -'!$G18,'- 54 -'!$F18,B18:E18)</f>
        <v>37156091</v>
      </c>
    </row>
    <row r="19" spans="1:6" ht="14.1" customHeight="1" x14ac:dyDescent="0.2">
      <c r="A19" s="271" t="s">
        <v>111</v>
      </c>
      <c r="B19" s="272">
        <v>10221918</v>
      </c>
      <c r="C19" s="272">
        <v>0</v>
      </c>
      <c r="D19" s="272">
        <v>0</v>
      </c>
      <c r="E19" s="272">
        <v>125740</v>
      </c>
      <c r="F19" s="272">
        <f>SUM('- 52 -'!$G19,'- 54 -'!$F19,B19:E19)</f>
        <v>28318466</v>
      </c>
    </row>
    <row r="20" spans="1:6" ht="14.1" customHeight="1" x14ac:dyDescent="0.2">
      <c r="A20" s="15" t="s">
        <v>112</v>
      </c>
      <c r="B20" s="16">
        <v>19019903</v>
      </c>
      <c r="C20" s="16">
        <v>0</v>
      </c>
      <c r="D20" s="16">
        <v>0</v>
      </c>
      <c r="E20" s="16">
        <v>270000</v>
      </c>
      <c r="F20" s="16">
        <f>SUM('- 52 -'!$G20,'- 54 -'!$F20,B20:E20)</f>
        <v>50703102</v>
      </c>
    </row>
    <row r="21" spans="1:6" ht="14.1" customHeight="1" x14ac:dyDescent="0.2">
      <c r="A21" s="271" t="s">
        <v>113</v>
      </c>
      <c r="B21" s="272">
        <v>3580103</v>
      </c>
      <c r="C21" s="272">
        <v>0</v>
      </c>
      <c r="D21" s="272">
        <v>568454</v>
      </c>
      <c r="E21" s="272">
        <v>155800</v>
      </c>
      <c r="F21" s="272">
        <f>SUM('- 52 -'!$G21,'- 54 -'!$F21,B21:E21)</f>
        <v>16870579</v>
      </c>
    </row>
    <row r="22" spans="1:6" ht="14.1" customHeight="1" x14ac:dyDescent="0.2">
      <c r="A22" s="15" t="s">
        <v>114</v>
      </c>
      <c r="B22" s="16">
        <v>5341639</v>
      </c>
      <c r="C22" s="16">
        <v>970692</v>
      </c>
      <c r="D22" s="16">
        <v>0</v>
      </c>
      <c r="E22" s="16">
        <v>78340</v>
      </c>
      <c r="F22" s="16">
        <f>SUM('- 52 -'!$G22,'- 54 -'!$F22,B22:E22)</f>
        <v>14016130</v>
      </c>
    </row>
    <row r="23" spans="1:6" ht="14.1" customHeight="1" x14ac:dyDescent="0.2">
      <c r="A23" s="271" t="s">
        <v>115</v>
      </c>
      <c r="B23" s="272">
        <v>3102597</v>
      </c>
      <c r="C23" s="272">
        <v>419953</v>
      </c>
      <c r="D23" s="272">
        <v>154258</v>
      </c>
      <c r="E23" s="272">
        <v>100920</v>
      </c>
      <c r="F23" s="272">
        <f>SUM('- 52 -'!$G23,'- 54 -'!$F23,B23:E23)</f>
        <v>9563297</v>
      </c>
    </row>
    <row r="24" spans="1:6" ht="14.1" customHeight="1" x14ac:dyDescent="0.2">
      <c r="A24" s="15" t="s">
        <v>116</v>
      </c>
      <c r="B24" s="16">
        <v>3562994</v>
      </c>
      <c r="C24" s="16">
        <v>0</v>
      </c>
      <c r="D24" s="16">
        <v>2106796</v>
      </c>
      <c r="E24" s="16">
        <v>258960</v>
      </c>
      <c r="F24" s="16">
        <f>SUM('- 52 -'!$G24,'- 54 -'!$F24,B24:E24)</f>
        <v>23593123</v>
      </c>
    </row>
    <row r="25" spans="1:6" ht="14.1" customHeight="1" x14ac:dyDescent="0.2">
      <c r="A25" s="271" t="s">
        <v>117</v>
      </c>
      <c r="B25" s="272">
        <v>15741045</v>
      </c>
      <c r="C25" s="272">
        <v>0</v>
      </c>
      <c r="D25" s="272">
        <v>0</v>
      </c>
      <c r="E25" s="272">
        <v>567960</v>
      </c>
      <c r="F25" s="272">
        <f>SUM('- 52 -'!$G25,'- 54 -'!$F25,B25:E25)</f>
        <v>75518746</v>
      </c>
    </row>
    <row r="26" spans="1:6" ht="14.1" customHeight="1" x14ac:dyDescent="0.2">
      <c r="A26" s="15" t="s">
        <v>118</v>
      </c>
      <c r="B26" s="16">
        <v>6331767</v>
      </c>
      <c r="C26" s="16">
        <v>719357</v>
      </c>
      <c r="D26" s="16">
        <v>122984</v>
      </c>
      <c r="E26" s="16">
        <v>294380</v>
      </c>
      <c r="F26" s="16">
        <f>SUM('- 52 -'!$G26,'- 54 -'!$F26,B26:E26)</f>
        <v>21848787</v>
      </c>
    </row>
    <row r="27" spans="1:6" ht="14.1" customHeight="1" x14ac:dyDescent="0.2">
      <c r="A27" s="271" t="s">
        <v>119</v>
      </c>
      <c r="B27" s="272">
        <v>13239197</v>
      </c>
      <c r="C27" s="272">
        <v>3841201</v>
      </c>
      <c r="D27" s="272">
        <v>0</v>
      </c>
      <c r="E27" s="272">
        <v>83580</v>
      </c>
      <c r="F27" s="272">
        <f>SUM('- 52 -'!$G27,'- 54 -'!$F27,B27:E27)</f>
        <v>31284826</v>
      </c>
    </row>
    <row r="28" spans="1:6" ht="14.1" customHeight="1" x14ac:dyDescent="0.2">
      <c r="A28" s="15" t="s">
        <v>120</v>
      </c>
      <c r="B28" s="16">
        <v>895099</v>
      </c>
      <c r="C28" s="16">
        <v>0</v>
      </c>
      <c r="D28" s="16">
        <v>1376797</v>
      </c>
      <c r="E28" s="16">
        <v>137560</v>
      </c>
      <c r="F28" s="16">
        <f>SUM('- 52 -'!$G28,'- 54 -'!$F28,B28:E28)</f>
        <v>10535279</v>
      </c>
    </row>
    <row r="29" spans="1:6" ht="14.1" customHeight="1" x14ac:dyDescent="0.2">
      <c r="A29" s="271" t="s">
        <v>121</v>
      </c>
      <c r="B29" s="272">
        <v>1540181</v>
      </c>
      <c r="C29" s="272">
        <v>0</v>
      </c>
      <c r="D29" s="272">
        <v>211923</v>
      </c>
      <c r="E29" s="272">
        <v>413960</v>
      </c>
      <c r="F29" s="272">
        <f>SUM('- 52 -'!$G29,'- 54 -'!$F29,B29:E29)</f>
        <v>53154527</v>
      </c>
    </row>
    <row r="30" spans="1:6" ht="14.1" customHeight="1" x14ac:dyDescent="0.2">
      <c r="A30" s="15" t="s">
        <v>122</v>
      </c>
      <c r="B30" s="16">
        <v>1315621</v>
      </c>
      <c r="C30" s="16">
        <v>0</v>
      </c>
      <c r="D30" s="16">
        <v>651529</v>
      </c>
      <c r="E30" s="16">
        <v>93640</v>
      </c>
      <c r="F30" s="16">
        <f>SUM('- 52 -'!$G30,'- 54 -'!$F30,B30:E30)</f>
        <v>7426118</v>
      </c>
    </row>
    <row r="31" spans="1:6" ht="14.1" customHeight="1" x14ac:dyDescent="0.2">
      <c r="A31" s="271" t="s">
        <v>123</v>
      </c>
      <c r="B31" s="272">
        <v>4907626</v>
      </c>
      <c r="C31" s="272">
        <v>0</v>
      </c>
      <c r="D31" s="272">
        <v>0</v>
      </c>
      <c r="E31" s="272">
        <v>174340</v>
      </c>
      <c r="F31" s="272">
        <f>SUM('- 52 -'!$G31,'- 54 -'!$F31,B31:E31)</f>
        <v>19011271</v>
      </c>
    </row>
    <row r="32" spans="1:6" ht="14.1" customHeight="1" x14ac:dyDescent="0.2">
      <c r="A32" s="15" t="s">
        <v>124</v>
      </c>
      <c r="B32" s="16">
        <v>773675</v>
      </c>
      <c r="C32" s="16">
        <v>0</v>
      </c>
      <c r="D32" s="16">
        <v>1097860</v>
      </c>
      <c r="E32" s="16">
        <v>167760</v>
      </c>
      <c r="F32" s="16">
        <f>SUM('- 52 -'!$G32,'- 54 -'!$F32,B32:E32)</f>
        <v>12641580</v>
      </c>
    </row>
    <row r="33" spans="1:6" ht="14.1" customHeight="1" x14ac:dyDescent="0.2">
      <c r="A33" s="271" t="s">
        <v>125</v>
      </c>
      <c r="B33" s="272">
        <v>384026</v>
      </c>
      <c r="C33" s="272">
        <v>0</v>
      </c>
      <c r="D33" s="272">
        <v>2401509</v>
      </c>
      <c r="E33" s="272">
        <v>194220</v>
      </c>
      <c r="F33" s="272">
        <f>SUM('- 52 -'!$G33,'- 54 -'!$F33,B33:E33)</f>
        <v>13870543</v>
      </c>
    </row>
    <row r="34" spans="1:6" ht="14.1" customHeight="1" x14ac:dyDescent="0.2">
      <c r="A34" s="15" t="s">
        <v>126</v>
      </c>
      <c r="B34" s="16">
        <v>0</v>
      </c>
      <c r="C34" s="16">
        <v>0</v>
      </c>
      <c r="D34" s="16">
        <v>1601518</v>
      </c>
      <c r="E34" s="16">
        <v>126020</v>
      </c>
      <c r="F34" s="16">
        <f>SUM('- 52 -'!$G34,'- 54 -'!$F34,B34:E34)</f>
        <v>12322154</v>
      </c>
    </row>
    <row r="35" spans="1:6" ht="14.1" customHeight="1" x14ac:dyDescent="0.2">
      <c r="A35" s="271" t="s">
        <v>127</v>
      </c>
      <c r="B35" s="272">
        <v>23724090</v>
      </c>
      <c r="C35" s="272">
        <v>3036165</v>
      </c>
      <c r="D35" s="272">
        <v>0</v>
      </c>
      <c r="E35" s="272">
        <v>698460</v>
      </c>
      <c r="F35" s="272">
        <f>SUM('- 52 -'!$G35,'- 54 -'!$F35,B35:E35)</f>
        <v>91224574</v>
      </c>
    </row>
    <row r="36" spans="1:6" ht="14.1" customHeight="1" x14ac:dyDescent="0.2">
      <c r="A36" s="15" t="s">
        <v>128</v>
      </c>
      <c r="B36" s="16">
        <v>362546</v>
      </c>
      <c r="C36" s="16">
        <v>0</v>
      </c>
      <c r="D36" s="16">
        <v>1922006</v>
      </c>
      <c r="E36" s="16">
        <v>132540</v>
      </c>
      <c r="F36" s="16">
        <f>SUM('- 52 -'!$G36,'- 54 -'!$F36,B36:E36)</f>
        <v>9996252</v>
      </c>
    </row>
    <row r="37" spans="1:6" ht="14.1" customHeight="1" x14ac:dyDescent="0.2">
      <c r="A37" s="271" t="s">
        <v>129</v>
      </c>
      <c r="B37" s="272">
        <v>9725468</v>
      </c>
      <c r="C37" s="272">
        <v>0</v>
      </c>
      <c r="D37" s="272">
        <v>0</v>
      </c>
      <c r="E37" s="272">
        <v>148780</v>
      </c>
      <c r="F37" s="272">
        <f>SUM('- 52 -'!$G37,'- 54 -'!$F37,B37:E37)</f>
        <v>28817187</v>
      </c>
    </row>
    <row r="38" spans="1:6" ht="14.1" customHeight="1" x14ac:dyDescent="0.2">
      <c r="A38" s="15" t="s">
        <v>130</v>
      </c>
      <c r="B38" s="16">
        <v>27209365</v>
      </c>
      <c r="C38" s="16">
        <v>4111702</v>
      </c>
      <c r="D38" s="16">
        <v>0</v>
      </c>
      <c r="E38" s="16">
        <v>340180</v>
      </c>
      <c r="F38" s="16">
        <f>SUM('- 52 -'!$G38,'- 54 -'!$F38,B38:E38)</f>
        <v>74960328</v>
      </c>
    </row>
    <row r="39" spans="1:6" ht="14.1" customHeight="1" x14ac:dyDescent="0.2">
      <c r="A39" s="271" t="s">
        <v>131</v>
      </c>
      <c r="B39" s="272">
        <v>0</v>
      </c>
      <c r="C39" s="272">
        <v>0</v>
      </c>
      <c r="D39" s="272">
        <v>1271320</v>
      </c>
      <c r="E39" s="272">
        <v>111820</v>
      </c>
      <c r="F39" s="272">
        <f>SUM('- 52 -'!$G39,'- 54 -'!$F39,B39:E39)</f>
        <v>8995081</v>
      </c>
    </row>
    <row r="40" spans="1:6" ht="14.1" customHeight="1" x14ac:dyDescent="0.2">
      <c r="A40" s="15" t="s">
        <v>132</v>
      </c>
      <c r="B40" s="16">
        <v>3043570</v>
      </c>
      <c r="C40" s="16">
        <v>0</v>
      </c>
      <c r="D40" s="16">
        <v>1068311</v>
      </c>
      <c r="E40" s="16">
        <v>487560</v>
      </c>
      <c r="F40" s="16">
        <f>SUM('- 52 -'!$G40,'- 54 -'!$F40,B40:E40)</f>
        <v>38210348</v>
      </c>
    </row>
    <row r="41" spans="1:6" ht="14.1" customHeight="1" x14ac:dyDescent="0.2">
      <c r="A41" s="271" t="s">
        <v>133</v>
      </c>
      <c r="B41" s="272">
        <v>3050623</v>
      </c>
      <c r="C41" s="272">
        <v>0</v>
      </c>
      <c r="D41" s="272">
        <v>1052133</v>
      </c>
      <c r="E41" s="272">
        <v>213300</v>
      </c>
      <c r="F41" s="272">
        <f>SUM('- 52 -'!$G41,'- 54 -'!$F41,B41:E41)</f>
        <v>25183191</v>
      </c>
    </row>
    <row r="42" spans="1:6" ht="14.1" customHeight="1" x14ac:dyDescent="0.2">
      <c r="A42" s="15" t="s">
        <v>134</v>
      </c>
      <c r="B42" s="16">
        <v>2706104</v>
      </c>
      <c r="C42" s="16">
        <v>557431</v>
      </c>
      <c r="D42" s="16">
        <v>958402</v>
      </c>
      <c r="E42" s="16">
        <v>145140</v>
      </c>
      <c r="F42" s="16">
        <f>SUM('- 52 -'!$G42,'- 54 -'!$F42,B42:E42)</f>
        <v>11534635</v>
      </c>
    </row>
    <row r="43" spans="1:6" ht="14.1" customHeight="1" x14ac:dyDescent="0.2">
      <c r="A43" s="271" t="s">
        <v>135</v>
      </c>
      <c r="B43" s="272">
        <v>37222</v>
      </c>
      <c r="C43" s="272">
        <v>0</v>
      </c>
      <c r="D43" s="272">
        <v>1166291</v>
      </c>
      <c r="E43" s="272">
        <v>61140</v>
      </c>
      <c r="F43" s="272">
        <f>SUM('- 52 -'!$G43,'- 54 -'!$F43,B43:E43)</f>
        <v>5918373</v>
      </c>
    </row>
    <row r="44" spans="1:6" ht="14.1" customHeight="1" x14ac:dyDescent="0.2">
      <c r="A44" s="15" t="s">
        <v>136</v>
      </c>
      <c r="B44" s="16">
        <v>2496093</v>
      </c>
      <c r="C44" s="16">
        <v>434059</v>
      </c>
      <c r="D44" s="16">
        <v>0</v>
      </c>
      <c r="E44" s="16">
        <v>67660</v>
      </c>
      <c r="F44" s="16">
        <f>SUM('- 52 -'!$G44,'- 54 -'!$F44,B44:E44)</f>
        <v>7283487</v>
      </c>
    </row>
    <row r="45" spans="1:6" ht="14.1" customHeight="1" x14ac:dyDescent="0.2">
      <c r="A45" s="271" t="s">
        <v>137</v>
      </c>
      <c r="B45" s="272">
        <v>3698015</v>
      </c>
      <c r="C45" s="272">
        <v>0</v>
      </c>
      <c r="D45" s="272">
        <v>0</v>
      </c>
      <c r="E45" s="272">
        <v>46520</v>
      </c>
      <c r="F45" s="272">
        <f>SUM('- 52 -'!$G45,'- 54 -'!$F45,B45:E45)</f>
        <v>10301916</v>
      </c>
    </row>
    <row r="46" spans="1:6" ht="14.1" customHeight="1" x14ac:dyDescent="0.2">
      <c r="A46" s="15" t="s">
        <v>138</v>
      </c>
      <c r="B46" s="16">
        <v>51604062</v>
      </c>
      <c r="C46" s="16">
        <v>4863665</v>
      </c>
      <c r="D46" s="16">
        <v>0</v>
      </c>
      <c r="E46" s="16">
        <v>1362540</v>
      </c>
      <c r="F46" s="16">
        <f>SUM('- 52 -'!$G46,'- 54 -'!$F46,B46:E46)</f>
        <v>185537600</v>
      </c>
    </row>
    <row r="47" spans="1:6" ht="5.0999999999999996" customHeight="1" x14ac:dyDescent="0.2">
      <c r="A47"/>
      <c r="B47"/>
      <c r="C47"/>
      <c r="D47"/>
      <c r="E47" s="508"/>
      <c r="F47"/>
    </row>
    <row r="48" spans="1:6" ht="14.1" customHeight="1" x14ac:dyDescent="0.2">
      <c r="A48" s="274" t="s">
        <v>139</v>
      </c>
      <c r="B48" s="275">
        <f>SUM(B11:B46)</f>
        <v>268254253</v>
      </c>
      <c r="C48" s="275">
        <f>SUM(C11:C46)</f>
        <v>23922974</v>
      </c>
      <c r="D48" s="275">
        <f>SUM(D11:D46)</f>
        <v>20594941</v>
      </c>
      <c r="E48" s="275">
        <f>SUM(E11:E46)</f>
        <v>8532724</v>
      </c>
      <c r="F48" s="275">
        <f>SUM(F11:F46)</f>
        <v>1069853426</v>
      </c>
    </row>
    <row r="49" spans="1:6" ht="5.0999999999999996" customHeight="1" x14ac:dyDescent="0.2">
      <c r="A49" s="17" t="s">
        <v>1</v>
      </c>
      <c r="B49" s="18"/>
      <c r="C49" s="18"/>
      <c r="D49" s="18"/>
      <c r="E49" s="18"/>
      <c r="F49" s="18"/>
    </row>
    <row r="50" spans="1:6" ht="14.45" customHeight="1" x14ac:dyDescent="0.2">
      <c r="A50" s="15" t="s">
        <v>140</v>
      </c>
      <c r="B50" s="16">
        <v>0</v>
      </c>
      <c r="C50" s="16">
        <v>0</v>
      </c>
      <c r="D50" s="16">
        <v>168181</v>
      </c>
      <c r="E50" s="16">
        <v>0</v>
      </c>
      <c r="F50" s="16">
        <f>SUM('- 52 -'!$G50,'- 54 -'!$F50,B50:E50)</f>
        <v>926592</v>
      </c>
    </row>
    <row r="51" spans="1:6" ht="14.1" customHeight="1" x14ac:dyDescent="0.2">
      <c r="A51" s="360" t="s">
        <v>516</v>
      </c>
      <c r="B51" s="272">
        <v>0</v>
      </c>
      <c r="C51" s="272">
        <v>0</v>
      </c>
      <c r="D51" s="272">
        <v>0</v>
      </c>
      <c r="E51" s="272">
        <v>0</v>
      </c>
      <c r="F51" s="272">
        <f>SUM('- 52 -'!$G51,'- 54 -'!$F51,B51:E51)</f>
        <v>0</v>
      </c>
    </row>
    <row r="52" spans="1:6" ht="50.1" customHeight="1" x14ac:dyDescent="0.2">
      <c r="A52" s="19"/>
      <c r="B52" s="19"/>
      <c r="C52" s="19"/>
      <c r="D52" s="19"/>
      <c r="E52" s="19"/>
      <c r="F52" s="19"/>
    </row>
    <row r="53" spans="1:6" x14ac:dyDescent="0.2">
      <c r="A53" s="789" t="s">
        <v>500</v>
      </c>
      <c r="B53" s="789"/>
      <c r="C53" s="789"/>
      <c r="D53" s="789"/>
      <c r="E53" s="789"/>
      <c r="F53" s="789"/>
    </row>
    <row r="54" spans="1:6" ht="12" customHeight="1" x14ac:dyDescent="0.2">
      <c r="A54" s="790"/>
      <c r="B54" s="790"/>
      <c r="C54" s="790"/>
      <c r="D54" s="790"/>
      <c r="E54" s="790"/>
      <c r="F54" s="790"/>
    </row>
    <row r="55" spans="1:6" ht="12" customHeight="1" x14ac:dyDescent="0.2">
      <c r="A55" s="791" t="str">
        <f>"(2)  Additional Equalization is provided to specifically assist school divisions or districts that have both higher than average tax effort and lower
       than average assessment per pupil. Please see "&amp;'- 60 -'!C9&amp;" Funding of Schools Booklet for more information."</f>
        <v>(2)  Additional Equalization is provided to specifically assist school divisions or districts that have both higher than average tax effort and lower
       than average assessment per pupil. Please see 2017/18 Funding of Schools Booklet for more information.</v>
      </c>
      <c r="B55" s="791"/>
      <c r="C55" s="791"/>
      <c r="D55" s="791"/>
      <c r="E55" s="791"/>
      <c r="F55" s="791"/>
    </row>
    <row r="56" spans="1:6" ht="12" customHeight="1" x14ac:dyDescent="0.2">
      <c r="A56" s="791"/>
      <c r="B56" s="791"/>
      <c r="C56" s="791"/>
      <c r="D56" s="791"/>
      <c r="E56" s="791"/>
      <c r="F56" s="791"/>
    </row>
    <row r="57" spans="1:6" ht="12" customHeight="1" x14ac:dyDescent="0.2">
      <c r="A57" s="356" t="s">
        <v>602</v>
      </c>
    </row>
    <row r="58" spans="1:6" ht="12" customHeight="1" x14ac:dyDescent="0.2">
      <c r="A58" s="2" t="s">
        <v>350</v>
      </c>
    </row>
    <row r="59" spans="1:6" ht="14.45" customHeight="1" x14ac:dyDescent="0.2"/>
  </sheetData>
  <mergeCells count="9">
    <mergeCell ref="A53:F54"/>
    <mergeCell ref="A55:F56"/>
    <mergeCell ref="B5:F5"/>
    <mergeCell ref="B6:F6"/>
    <mergeCell ref="B8:B9"/>
    <mergeCell ref="C7:C9"/>
    <mergeCell ref="D8:D9"/>
    <mergeCell ref="E7:E9"/>
    <mergeCell ref="F7:F9"/>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1">
    <pageSetUpPr fitToPage="1"/>
  </sheetPr>
  <dimension ref="A1:AY62"/>
  <sheetViews>
    <sheetView showGridLines="0" showZeros="0" workbookViewId="0"/>
  </sheetViews>
  <sheetFormatPr defaultColWidth="14.83203125" defaultRowHeight="12" x14ac:dyDescent="0.2"/>
  <cols>
    <col min="1" max="1" width="32.83203125" style="1" customWidth="1"/>
    <col min="2" max="4" width="22.6640625" style="1" customWidth="1"/>
    <col min="5" max="5" width="14.83203125" style="1" hidden="1" customWidth="1"/>
    <col min="6" max="6" width="32.83203125" style="1" customWidth="1"/>
    <col min="7" max="16384" width="14.83203125" style="1"/>
  </cols>
  <sheetData>
    <row r="1" spans="1:51" ht="6.95" customHeight="1" x14ac:dyDescent="0.2">
      <c r="A1" s="3"/>
      <c r="B1" s="4"/>
    </row>
    <row r="2" spans="1:51" ht="18" customHeight="1" x14ac:dyDescent="0.2">
      <c r="A2" s="219"/>
      <c r="B2" s="794" t="s">
        <v>587</v>
      </c>
      <c r="C2" s="795"/>
      <c r="D2" s="795"/>
      <c r="E2" s="364"/>
      <c r="F2" s="364" t="s">
        <v>222</v>
      </c>
      <c r="AX2" s="482" t="str">
        <f>"ADMINISTRATION EXPENSES (1) "&amp;YEAR&amp;"/"&amp;YEAR+1&amp;" BUDGET"</f>
        <v>ADMINISTRATION EXPENSES (1) 2017/2018 BUDGET</v>
      </c>
      <c r="AY2" s="456" t="str">
        <f>"DÉPENSES ADMINISTRATIVES (1) – BUDGET "&amp;YEAR&amp;" - "&amp;YEAR+1</f>
        <v>DÉPENSES ADMINISTRATIVES (1) – BUDGET 2017 - 2018</v>
      </c>
    </row>
    <row r="3" spans="1:51" ht="3.95" customHeight="1" x14ac:dyDescent="0.2">
      <c r="A3" s="220"/>
      <c r="B3" s="221"/>
      <c r="C3" s="221"/>
      <c r="D3" s="228"/>
    </row>
    <row r="4" spans="1:51" ht="15" customHeight="1" x14ac:dyDescent="0.2">
      <c r="A4" s="220"/>
      <c r="B4" s="164"/>
    </row>
    <row r="5" spans="1:51" ht="14.1" customHeight="1" x14ac:dyDescent="0.2">
      <c r="A5" s="224"/>
      <c r="B5" s="796" t="s">
        <v>549</v>
      </c>
      <c r="C5" s="797"/>
      <c r="D5" s="798"/>
    </row>
    <row r="6" spans="1:51" ht="14.1" customHeight="1" x14ac:dyDescent="0.2">
      <c r="A6" s="224"/>
      <c r="B6" s="226"/>
      <c r="C6" s="736" t="s">
        <v>548</v>
      </c>
      <c r="D6" s="226"/>
    </row>
    <row r="7" spans="1:51" ht="18.75" customHeight="1" x14ac:dyDescent="0.2">
      <c r="A7" s="224"/>
      <c r="B7" s="226"/>
      <c r="C7" s="784"/>
      <c r="D7" s="226"/>
    </row>
    <row r="8" spans="1:51" ht="14.1" customHeight="1" x14ac:dyDescent="0.2">
      <c r="A8" s="224"/>
      <c r="B8" s="784" t="s">
        <v>547</v>
      </c>
      <c r="C8" s="784"/>
      <c r="D8" s="784" t="s">
        <v>550</v>
      </c>
    </row>
    <row r="9" spans="1:51" ht="14.1" customHeight="1" x14ac:dyDescent="0.2">
      <c r="A9" s="12"/>
      <c r="B9" s="784"/>
      <c r="C9" s="784"/>
      <c r="D9" s="784"/>
    </row>
    <row r="10" spans="1:51" ht="14.1" customHeight="1" x14ac:dyDescent="0.2">
      <c r="A10" s="13" t="s">
        <v>37</v>
      </c>
      <c r="B10" s="785"/>
      <c r="C10" s="785"/>
      <c r="D10" s="785"/>
      <c r="F10" s="128"/>
    </row>
    <row r="11" spans="1:51" ht="5.0999999999999996" customHeight="1" x14ac:dyDescent="0.2">
      <c r="A11" s="14"/>
    </row>
    <row r="12" spans="1:51" ht="13.5" customHeight="1" x14ac:dyDescent="0.2">
      <c r="A12" s="271" t="s">
        <v>104</v>
      </c>
      <c r="B12" s="272">
        <v>616100</v>
      </c>
      <c r="C12" s="272">
        <f>-Data!M11-Data!N11-Data!O11-Data!P11</f>
        <v>-30000</v>
      </c>
      <c r="D12" s="272">
        <f>SUM(B12:C12)</f>
        <v>586100</v>
      </c>
      <c r="E12" s="329">
        <v>586100</v>
      </c>
      <c r="F12" s="1">
        <f>D12-E12</f>
        <v>0</v>
      </c>
    </row>
    <row r="13" spans="1:51" ht="13.5" customHeight="1" x14ac:dyDescent="0.2">
      <c r="A13" s="15" t="s">
        <v>105</v>
      </c>
      <c r="B13" s="16">
        <v>1430859</v>
      </c>
      <c r="C13" s="16">
        <f>-Data!M12-Data!N12-Data!O12-Data!P12</f>
        <v>-37000</v>
      </c>
      <c r="D13" s="16">
        <f t="shared" ref="D13:D47" si="0">SUM(B13:C13)</f>
        <v>1393859</v>
      </c>
      <c r="E13" s="330">
        <v>1393859</v>
      </c>
      <c r="F13" s="1">
        <f t="shared" ref="F13:F49" si="1">D13-E13</f>
        <v>0</v>
      </c>
    </row>
    <row r="14" spans="1:51" ht="13.5" customHeight="1" x14ac:dyDescent="0.2">
      <c r="A14" s="271" t="s">
        <v>106</v>
      </c>
      <c r="B14" s="272">
        <v>3372200</v>
      </c>
      <c r="C14" s="272">
        <f>-Data!M13-Data!N13-Data!O13-Data!P13</f>
        <v>-87800</v>
      </c>
      <c r="D14" s="272">
        <f t="shared" si="0"/>
        <v>3284400</v>
      </c>
      <c r="E14" s="329">
        <v>3284400</v>
      </c>
      <c r="F14" s="1">
        <f t="shared" si="1"/>
        <v>0</v>
      </c>
    </row>
    <row r="15" spans="1:51" ht="13.5" customHeight="1" x14ac:dyDescent="0.2">
      <c r="A15" s="15" t="s">
        <v>315</v>
      </c>
      <c r="B15" s="16"/>
      <c r="C15" s="16">
        <f>-Data!M14-Data!N14-Data!O14</f>
        <v>0</v>
      </c>
      <c r="D15" s="16"/>
      <c r="E15" s="330"/>
      <c r="F15" s="1">
        <f t="shared" si="1"/>
        <v>0</v>
      </c>
    </row>
    <row r="16" spans="1:51" ht="13.5" customHeight="1" x14ac:dyDescent="0.2">
      <c r="A16" s="271" t="s">
        <v>107</v>
      </c>
      <c r="B16" s="272">
        <v>863300</v>
      </c>
      <c r="C16" s="272">
        <f>-Data!M15-Data!N15-Data!O15-Data!P15</f>
        <v>-26500</v>
      </c>
      <c r="D16" s="272">
        <f t="shared" si="0"/>
        <v>836800</v>
      </c>
      <c r="E16" s="329">
        <v>836800</v>
      </c>
      <c r="F16" s="1">
        <f t="shared" si="1"/>
        <v>0</v>
      </c>
    </row>
    <row r="17" spans="1:6" ht="13.5" customHeight="1" x14ac:dyDescent="0.2">
      <c r="A17" s="15" t="s">
        <v>108</v>
      </c>
      <c r="B17" s="16">
        <v>718250</v>
      </c>
      <c r="C17" s="16">
        <f>-Data!M16-Data!N16-Data!O16-Data!P16</f>
        <v>-25000</v>
      </c>
      <c r="D17" s="16">
        <f t="shared" si="0"/>
        <v>693250</v>
      </c>
      <c r="E17" s="330">
        <v>693250</v>
      </c>
      <c r="F17" s="1">
        <f t="shared" si="1"/>
        <v>0</v>
      </c>
    </row>
    <row r="18" spans="1:6" ht="13.5" customHeight="1" x14ac:dyDescent="0.2">
      <c r="A18" s="271" t="s">
        <v>109</v>
      </c>
      <c r="B18" s="272">
        <v>810068</v>
      </c>
      <c r="C18" s="272">
        <f>-Data!M17-Data!N17-Data!O17-Data!P17</f>
        <v>-35500</v>
      </c>
      <c r="D18" s="272">
        <f t="shared" si="0"/>
        <v>774568</v>
      </c>
      <c r="E18" s="329">
        <v>774568</v>
      </c>
      <c r="F18" s="1">
        <f t="shared" si="1"/>
        <v>0</v>
      </c>
    </row>
    <row r="19" spans="1:6" ht="13.5" customHeight="1" x14ac:dyDescent="0.2">
      <c r="A19" s="15" t="s">
        <v>110</v>
      </c>
      <c r="B19" s="16"/>
      <c r="C19" s="16">
        <f>-Data!M18-Data!N18-Data!O18</f>
        <v>0</v>
      </c>
      <c r="D19" s="16"/>
      <c r="E19" s="330"/>
      <c r="F19" s="1">
        <f t="shared" si="1"/>
        <v>0</v>
      </c>
    </row>
    <row r="20" spans="1:6" ht="13.5" customHeight="1" x14ac:dyDescent="0.2">
      <c r="A20" s="271" t="s">
        <v>111</v>
      </c>
      <c r="B20" s="272">
        <v>1448355</v>
      </c>
      <c r="C20" s="272">
        <f>-Data!M19-Data!N19-Data!O19-Data!P19</f>
        <v>-38500</v>
      </c>
      <c r="D20" s="272">
        <f t="shared" si="0"/>
        <v>1409855</v>
      </c>
      <c r="E20" s="329">
        <v>1409855</v>
      </c>
      <c r="F20" s="1">
        <f t="shared" si="1"/>
        <v>0</v>
      </c>
    </row>
    <row r="21" spans="1:6" ht="13.5" customHeight="1" x14ac:dyDescent="0.2">
      <c r="A21" s="15" t="s">
        <v>112</v>
      </c>
      <c r="B21" s="16">
        <v>2302400</v>
      </c>
      <c r="C21" s="16">
        <f>-Data!M20-Data!N20-Data!O20-Data!P20</f>
        <v>-74000</v>
      </c>
      <c r="D21" s="16">
        <f t="shared" si="0"/>
        <v>2228400</v>
      </c>
      <c r="E21" s="330">
        <v>2228400</v>
      </c>
      <c r="F21" s="1">
        <f t="shared" si="1"/>
        <v>0</v>
      </c>
    </row>
    <row r="22" spans="1:6" ht="13.5" customHeight="1" x14ac:dyDescent="0.2">
      <c r="A22" s="271" t="s">
        <v>113</v>
      </c>
      <c r="B22" s="272">
        <v>1419000</v>
      </c>
      <c r="C22" s="272">
        <f>-Data!M21-Data!N21-Data!O21-Data!P21</f>
        <v>-44000</v>
      </c>
      <c r="D22" s="272">
        <f t="shared" si="0"/>
        <v>1375000</v>
      </c>
      <c r="E22" s="329">
        <v>1375000</v>
      </c>
      <c r="F22" s="1">
        <f t="shared" si="1"/>
        <v>0</v>
      </c>
    </row>
    <row r="23" spans="1:6" ht="13.5" customHeight="1" x14ac:dyDescent="0.2">
      <c r="A23" s="15" t="s">
        <v>114</v>
      </c>
      <c r="B23" s="16">
        <v>896130</v>
      </c>
      <c r="C23" s="16">
        <f>-Data!M22-Data!N22-Data!O22-Data!P22</f>
        <v>-32000</v>
      </c>
      <c r="D23" s="16">
        <f t="shared" si="0"/>
        <v>864130</v>
      </c>
      <c r="E23" s="330">
        <v>864130</v>
      </c>
      <c r="F23" s="1">
        <f t="shared" si="1"/>
        <v>0</v>
      </c>
    </row>
    <row r="24" spans="1:6" ht="13.5" customHeight="1" x14ac:dyDescent="0.2">
      <c r="A24" s="271" t="s">
        <v>115</v>
      </c>
      <c r="B24" s="272">
        <v>662900</v>
      </c>
      <c r="C24" s="272">
        <f>-Data!M23-Data!N23-Data!O23-Data!P23</f>
        <v>-26000</v>
      </c>
      <c r="D24" s="272">
        <f t="shared" si="0"/>
        <v>636900</v>
      </c>
      <c r="E24" s="329">
        <v>636900</v>
      </c>
      <c r="F24" s="1">
        <f t="shared" si="1"/>
        <v>0</v>
      </c>
    </row>
    <row r="25" spans="1:6" ht="13.5" customHeight="1" x14ac:dyDescent="0.2">
      <c r="A25" s="15" t="s">
        <v>116</v>
      </c>
      <c r="B25" s="16">
        <v>2057600</v>
      </c>
      <c r="C25" s="16">
        <f>-Data!M24-Data!N24-Data!O24-Data!P24</f>
        <v>-65500</v>
      </c>
      <c r="D25" s="16">
        <f t="shared" si="0"/>
        <v>1992100</v>
      </c>
      <c r="E25" s="330">
        <v>1992100</v>
      </c>
      <c r="F25" s="1">
        <f t="shared" si="1"/>
        <v>0</v>
      </c>
    </row>
    <row r="26" spans="1:6" ht="13.5" customHeight="1" x14ac:dyDescent="0.2">
      <c r="A26" s="271" t="s">
        <v>117</v>
      </c>
      <c r="B26" s="272">
        <v>6241211</v>
      </c>
      <c r="C26" s="272">
        <f>-Data!M25-Data!N25-Data!O25-Data!P25</f>
        <v>-913836</v>
      </c>
      <c r="D26" s="272">
        <f t="shared" si="0"/>
        <v>5327375</v>
      </c>
      <c r="E26" s="329">
        <v>5327375</v>
      </c>
      <c r="F26" s="1">
        <f t="shared" si="1"/>
        <v>0</v>
      </c>
    </row>
    <row r="27" spans="1:6" ht="13.5" customHeight="1" x14ac:dyDescent="0.2">
      <c r="A27" s="15" t="s">
        <v>118</v>
      </c>
      <c r="B27" s="16">
        <v>1457860</v>
      </c>
      <c r="C27" s="16">
        <f>-Data!M26-Data!N26-Data!O26-Data!P26</f>
        <v>-36000</v>
      </c>
      <c r="D27" s="16">
        <f t="shared" si="0"/>
        <v>1421860</v>
      </c>
      <c r="E27" s="330">
        <v>1421860</v>
      </c>
      <c r="F27" s="1">
        <f t="shared" si="1"/>
        <v>0</v>
      </c>
    </row>
    <row r="28" spans="1:6" ht="13.5" customHeight="1" x14ac:dyDescent="0.2">
      <c r="A28" s="271" t="s">
        <v>119</v>
      </c>
      <c r="B28" s="272">
        <v>2007277</v>
      </c>
      <c r="C28" s="272">
        <f>-Data!M27-Data!N27-Data!O27-Data!P27</f>
        <v>-70000</v>
      </c>
      <c r="D28" s="272">
        <f t="shared" si="0"/>
        <v>1937277</v>
      </c>
      <c r="E28" s="329">
        <v>1937277</v>
      </c>
      <c r="F28" s="1">
        <f t="shared" si="1"/>
        <v>0</v>
      </c>
    </row>
    <row r="29" spans="1:6" ht="13.5" customHeight="1" x14ac:dyDescent="0.2">
      <c r="A29" s="15" t="s">
        <v>120</v>
      </c>
      <c r="B29" s="16">
        <v>1193947</v>
      </c>
      <c r="C29" s="16">
        <f>-Data!M28-Data!N28-Data!O28-Data!P28</f>
        <v>-230784</v>
      </c>
      <c r="D29" s="16">
        <f t="shared" si="0"/>
        <v>963163</v>
      </c>
      <c r="E29" s="330">
        <v>963163</v>
      </c>
      <c r="F29" s="1">
        <f t="shared" si="1"/>
        <v>0</v>
      </c>
    </row>
    <row r="30" spans="1:6" ht="13.5" customHeight="1" x14ac:dyDescent="0.2">
      <c r="A30" s="271" t="s">
        <v>121</v>
      </c>
      <c r="B30" s="272">
        <v>5930913</v>
      </c>
      <c r="C30" s="272">
        <f>-Data!M29-Data!N29-Data!O29-Data!P29</f>
        <v>-1047439</v>
      </c>
      <c r="D30" s="272">
        <f t="shared" si="0"/>
        <v>4883474</v>
      </c>
      <c r="E30" s="329">
        <v>4883474</v>
      </c>
      <c r="F30" s="1">
        <f t="shared" si="1"/>
        <v>0</v>
      </c>
    </row>
    <row r="31" spans="1:6" ht="13.5" customHeight="1" x14ac:dyDescent="0.2">
      <c r="A31" s="15" t="s">
        <v>122</v>
      </c>
      <c r="B31" s="16">
        <v>557491</v>
      </c>
      <c r="C31" s="16">
        <f>-Data!M30-Data!N30-Data!O30-Data!P30</f>
        <v>-24500</v>
      </c>
      <c r="D31" s="16">
        <f t="shared" si="0"/>
        <v>532991</v>
      </c>
      <c r="E31" s="330">
        <v>532991</v>
      </c>
      <c r="F31" s="1">
        <f t="shared" si="1"/>
        <v>0</v>
      </c>
    </row>
    <row r="32" spans="1:6" ht="13.5" customHeight="1" x14ac:dyDescent="0.2">
      <c r="A32" s="271" t="s">
        <v>123</v>
      </c>
      <c r="B32" s="272">
        <v>1300392</v>
      </c>
      <c r="C32" s="272">
        <f>-Data!M31-Data!N31-Data!O31-Data!P31</f>
        <v>-42000</v>
      </c>
      <c r="D32" s="272">
        <f t="shared" si="0"/>
        <v>1258392</v>
      </c>
      <c r="E32" s="329">
        <v>1258392</v>
      </c>
      <c r="F32" s="1">
        <f t="shared" si="1"/>
        <v>0</v>
      </c>
    </row>
    <row r="33" spans="1:6" ht="13.5" customHeight="1" x14ac:dyDescent="0.2">
      <c r="A33" s="15" t="s">
        <v>124</v>
      </c>
      <c r="B33" s="16">
        <v>1126983</v>
      </c>
      <c r="C33" s="16">
        <f>-Data!M32-Data!N32-Data!O32-Data!P32</f>
        <v>-32378</v>
      </c>
      <c r="D33" s="16">
        <f t="shared" si="0"/>
        <v>1094605</v>
      </c>
      <c r="E33" s="330">
        <v>1094605</v>
      </c>
      <c r="F33" s="1">
        <f t="shared" si="1"/>
        <v>0</v>
      </c>
    </row>
    <row r="34" spans="1:6" ht="13.5" customHeight="1" x14ac:dyDescent="0.2">
      <c r="A34" s="271" t="s">
        <v>125</v>
      </c>
      <c r="B34" s="272">
        <v>919400</v>
      </c>
      <c r="C34" s="272">
        <f>-Data!M33-Data!N33-Data!O33-Data!P33</f>
        <v>-42000</v>
      </c>
      <c r="D34" s="272">
        <f t="shared" si="0"/>
        <v>877400</v>
      </c>
      <c r="E34" s="329">
        <v>877400</v>
      </c>
      <c r="F34" s="1">
        <f t="shared" si="1"/>
        <v>0</v>
      </c>
    </row>
    <row r="35" spans="1:6" ht="13.5" customHeight="1" x14ac:dyDescent="0.2">
      <c r="A35" s="15" t="s">
        <v>126</v>
      </c>
      <c r="B35" s="16">
        <v>1214887</v>
      </c>
      <c r="C35" s="16">
        <f>-Data!M34-Data!N34-Data!O34-Data!P34</f>
        <v>-38500</v>
      </c>
      <c r="D35" s="16">
        <f t="shared" si="0"/>
        <v>1176387</v>
      </c>
      <c r="E35" s="330">
        <v>1176387</v>
      </c>
      <c r="F35" s="1">
        <f t="shared" si="1"/>
        <v>0</v>
      </c>
    </row>
    <row r="36" spans="1:6" ht="13.5" customHeight="1" x14ac:dyDescent="0.2">
      <c r="A36" s="271" t="s">
        <v>127</v>
      </c>
      <c r="B36" s="272">
        <v>4988274</v>
      </c>
      <c r="C36" s="272">
        <f>-Data!M35-Data!N35-Data!O35-Data!P35</f>
        <v>-60000</v>
      </c>
      <c r="D36" s="272">
        <f t="shared" si="0"/>
        <v>4928274</v>
      </c>
      <c r="E36" s="329">
        <v>4928274</v>
      </c>
      <c r="F36" s="1">
        <f t="shared" si="1"/>
        <v>0</v>
      </c>
    </row>
    <row r="37" spans="1:6" ht="13.5" customHeight="1" x14ac:dyDescent="0.2">
      <c r="A37" s="15" t="s">
        <v>128</v>
      </c>
      <c r="B37" s="16">
        <v>973315</v>
      </c>
      <c r="C37" s="16">
        <f>-Data!M36-Data!N36-Data!O36-Data!P36</f>
        <v>-34740</v>
      </c>
      <c r="D37" s="16">
        <f t="shared" si="0"/>
        <v>938575</v>
      </c>
      <c r="E37" s="330">
        <v>938575</v>
      </c>
      <c r="F37" s="1">
        <f t="shared" si="1"/>
        <v>0</v>
      </c>
    </row>
    <row r="38" spans="1:6" ht="13.5" customHeight="1" x14ac:dyDescent="0.2">
      <c r="A38" s="271" t="s">
        <v>129</v>
      </c>
      <c r="B38" s="272">
        <v>1763500</v>
      </c>
      <c r="C38" s="272">
        <f>-Data!M37-Data!N37-Data!O37-Data!P37</f>
        <v>-45000</v>
      </c>
      <c r="D38" s="272">
        <f t="shared" si="0"/>
        <v>1718500</v>
      </c>
      <c r="E38" s="329">
        <v>1718500</v>
      </c>
      <c r="F38" s="1">
        <f t="shared" si="1"/>
        <v>0</v>
      </c>
    </row>
    <row r="39" spans="1:6" ht="13.5" customHeight="1" x14ac:dyDescent="0.2">
      <c r="A39" s="15" t="s">
        <v>130</v>
      </c>
      <c r="B39" s="16">
        <v>4161330</v>
      </c>
      <c r="C39" s="16">
        <f>-Data!M38-Data!N38-Data!O38-Data!P38</f>
        <v>-86500</v>
      </c>
      <c r="D39" s="16">
        <f t="shared" si="0"/>
        <v>4074830</v>
      </c>
      <c r="E39" s="330">
        <v>4074830</v>
      </c>
      <c r="F39" s="1">
        <f t="shared" si="1"/>
        <v>0</v>
      </c>
    </row>
    <row r="40" spans="1:6" ht="13.5" customHeight="1" x14ac:dyDescent="0.2">
      <c r="A40" s="271" t="s">
        <v>131</v>
      </c>
      <c r="B40" s="272">
        <v>989900</v>
      </c>
      <c r="C40" s="272">
        <f>-Data!M39-Data!N39-Data!O39-Data!P39</f>
        <v>-37500</v>
      </c>
      <c r="D40" s="272">
        <f t="shared" si="0"/>
        <v>952400</v>
      </c>
      <c r="E40" s="329">
        <v>952400</v>
      </c>
      <c r="F40" s="1">
        <f t="shared" si="1"/>
        <v>0</v>
      </c>
    </row>
    <row r="41" spans="1:6" ht="13.5" customHeight="1" x14ac:dyDescent="0.2">
      <c r="A41" s="15" t="s">
        <v>132</v>
      </c>
      <c r="B41" s="16">
        <v>3841836</v>
      </c>
      <c r="C41" s="16">
        <f>-Data!M40-Data!N40-Data!O40-Data!P40</f>
        <v>-415538</v>
      </c>
      <c r="D41" s="16">
        <f t="shared" si="0"/>
        <v>3426298</v>
      </c>
      <c r="E41" s="330">
        <v>3426298</v>
      </c>
      <c r="F41" s="1">
        <f t="shared" si="1"/>
        <v>0</v>
      </c>
    </row>
    <row r="42" spans="1:6" ht="13.5" customHeight="1" x14ac:dyDescent="0.2">
      <c r="A42" s="271" t="s">
        <v>133</v>
      </c>
      <c r="B42" s="272">
        <v>2411521</v>
      </c>
      <c r="C42" s="272">
        <f>-Data!M41-Data!N41-Data!O41-Data!P41</f>
        <v>-54713</v>
      </c>
      <c r="D42" s="272">
        <f t="shared" si="0"/>
        <v>2356808</v>
      </c>
      <c r="E42" s="329">
        <v>2356808</v>
      </c>
      <c r="F42" s="1">
        <f t="shared" si="1"/>
        <v>0</v>
      </c>
    </row>
    <row r="43" spans="1:6" ht="13.5" customHeight="1" x14ac:dyDescent="0.2">
      <c r="A43" s="15" t="s">
        <v>134</v>
      </c>
      <c r="B43" s="16">
        <v>861274</v>
      </c>
      <c r="C43" s="16">
        <f>-Data!M42-Data!N42-Data!O42-Data!P42</f>
        <v>-31000</v>
      </c>
      <c r="D43" s="16">
        <f t="shared" si="0"/>
        <v>830274</v>
      </c>
      <c r="E43" s="330">
        <v>830274</v>
      </c>
      <c r="F43" s="1">
        <f t="shared" si="1"/>
        <v>0</v>
      </c>
    </row>
    <row r="44" spans="1:6" ht="13.5" customHeight="1" x14ac:dyDescent="0.2">
      <c r="A44" s="271" t="s">
        <v>135</v>
      </c>
      <c r="B44" s="272">
        <v>586800</v>
      </c>
      <c r="C44" s="272">
        <f>-Data!M43-Data!N43-Data!O43-Data!P43</f>
        <v>-22000</v>
      </c>
      <c r="D44" s="272">
        <f t="shared" si="0"/>
        <v>564800</v>
      </c>
      <c r="E44" s="329">
        <v>564800</v>
      </c>
      <c r="F44" s="1">
        <f t="shared" si="1"/>
        <v>0</v>
      </c>
    </row>
    <row r="45" spans="1:6" ht="13.5" customHeight="1" x14ac:dyDescent="0.2">
      <c r="A45" s="15" t="s">
        <v>136</v>
      </c>
      <c r="B45" s="16">
        <v>427299</v>
      </c>
      <c r="C45" s="16">
        <f>-Data!M44-Data!N44-Data!O44-Data!P44</f>
        <v>-17000</v>
      </c>
      <c r="D45" s="16">
        <f t="shared" si="0"/>
        <v>410299</v>
      </c>
      <c r="E45" s="330">
        <v>410299</v>
      </c>
      <c r="F45" s="1">
        <f t="shared" si="1"/>
        <v>0</v>
      </c>
    </row>
    <row r="46" spans="1:6" ht="13.5" customHeight="1" x14ac:dyDescent="0.2">
      <c r="A46" s="271" t="s">
        <v>137</v>
      </c>
      <c r="B46" s="272">
        <v>844381</v>
      </c>
      <c r="C46" s="272">
        <f>-Data!M45-Data!N45-Data!O45-Data!P45</f>
        <v>-16500</v>
      </c>
      <c r="D46" s="272">
        <f t="shared" si="0"/>
        <v>827881</v>
      </c>
      <c r="E46" s="329">
        <v>827881</v>
      </c>
      <c r="F46" s="1">
        <f t="shared" si="1"/>
        <v>0</v>
      </c>
    </row>
    <row r="47" spans="1:6" ht="13.5" customHeight="1" x14ac:dyDescent="0.2">
      <c r="A47" s="15" t="s">
        <v>138</v>
      </c>
      <c r="B47" s="16">
        <v>12031600</v>
      </c>
      <c r="C47" s="16">
        <f>-Data!M46-Data!N46-Data!O46-Data!P46</f>
        <v>-190000</v>
      </c>
      <c r="D47" s="16">
        <f t="shared" si="0"/>
        <v>11841600</v>
      </c>
      <c r="E47" s="330">
        <v>11841600</v>
      </c>
      <c r="F47" s="1">
        <f t="shared" si="1"/>
        <v>0</v>
      </c>
    </row>
    <row r="48" spans="1:6" ht="5.0999999999999996" customHeight="1" x14ac:dyDescent="0.2">
      <c r="A48"/>
      <c r="B48"/>
      <c r="C48"/>
      <c r="D48"/>
      <c r="E48" s="331"/>
    </row>
    <row r="49" spans="1:6" ht="13.5" customHeight="1" x14ac:dyDescent="0.2">
      <c r="A49" s="274" t="s">
        <v>139</v>
      </c>
      <c r="B49" s="275">
        <f>SUM(B12:B47)</f>
        <v>72428553</v>
      </c>
      <c r="C49" s="275">
        <f>SUM(C12:C47)</f>
        <v>-4009728</v>
      </c>
      <c r="D49" s="275">
        <f>SUM(D12:D47)</f>
        <v>68418825</v>
      </c>
      <c r="E49" s="332">
        <f>SUM(E12:E47)</f>
        <v>68418825</v>
      </c>
      <c r="F49" s="1">
        <f t="shared" si="1"/>
        <v>0</v>
      </c>
    </row>
    <row r="50" spans="1:6" ht="5.0999999999999996" customHeight="1" x14ac:dyDescent="0.2">
      <c r="A50" s="17" t="s">
        <v>1</v>
      </c>
      <c r="B50" s="18"/>
      <c r="C50" s="18"/>
      <c r="D50" s="18"/>
      <c r="E50" s="333"/>
    </row>
    <row r="51" spans="1:6" ht="13.5" customHeight="1" x14ac:dyDescent="0.2">
      <c r="A51" s="15" t="s">
        <v>140</v>
      </c>
      <c r="B51" s="16"/>
      <c r="C51" s="16">
        <f>-Data!M50-Data!N50-Data!O50-Data!P50</f>
        <v>0</v>
      </c>
      <c r="D51" s="16"/>
      <c r="E51" s="330">
        <v>180370</v>
      </c>
    </row>
    <row r="52" spans="1:6" ht="13.5" customHeight="1" x14ac:dyDescent="0.2">
      <c r="A52" s="360" t="s">
        <v>516</v>
      </c>
      <c r="B52" s="272"/>
      <c r="C52" s="272">
        <f>-Data!M51-Data!N51-Data!O51-Data!P51</f>
        <v>0</v>
      </c>
      <c r="D52" s="272"/>
      <c r="E52" s="329"/>
      <c r="F52" s="1">
        <f>D52-E52</f>
        <v>0</v>
      </c>
    </row>
    <row r="53" spans="1:6" ht="45.75" customHeight="1" x14ac:dyDescent="0.2">
      <c r="A53" s="19"/>
      <c r="B53" s="19"/>
      <c r="C53" s="19"/>
      <c r="D53" s="19"/>
      <c r="E53" s="19"/>
      <c r="F53" s="19"/>
    </row>
    <row r="54" spans="1:6" x14ac:dyDescent="0.2">
      <c r="A54" s="760" t="s">
        <v>573</v>
      </c>
      <c r="B54" s="760"/>
      <c r="C54" s="760"/>
      <c r="D54" s="760"/>
      <c r="E54" s="760"/>
      <c r="F54" s="760"/>
    </row>
    <row r="55" spans="1:6" ht="12" customHeight="1" x14ac:dyDescent="0.2">
      <c r="A55" s="793"/>
      <c r="B55" s="793"/>
      <c r="C55" s="793"/>
      <c r="D55" s="793"/>
      <c r="E55" s="793"/>
      <c r="F55" s="793"/>
    </row>
    <row r="56" spans="1:6" ht="12" customHeight="1" x14ac:dyDescent="0.2">
      <c r="A56" s="793"/>
      <c r="B56" s="793"/>
      <c r="C56" s="793"/>
      <c r="D56" s="793"/>
      <c r="E56" s="793"/>
      <c r="F56" s="793"/>
    </row>
    <row r="57" spans="1:6" ht="12" customHeight="1" x14ac:dyDescent="0.2">
      <c r="A57" s="793"/>
      <c r="B57" s="793"/>
      <c r="C57" s="793"/>
      <c r="D57" s="793"/>
      <c r="E57" s="793"/>
      <c r="F57" s="793"/>
    </row>
    <row r="58" spans="1:6" x14ac:dyDescent="0.2">
      <c r="A58" s="793"/>
      <c r="B58" s="793"/>
      <c r="C58" s="793"/>
      <c r="D58" s="793"/>
      <c r="E58" s="793"/>
      <c r="F58" s="793"/>
    </row>
    <row r="59" spans="1:6" x14ac:dyDescent="0.2">
      <c r="A59" s="793"/>
      <c r="B59" s="793"/>
      <c r="C59" s="793"/>
      <c r="D59" s="793"/>
      <c r="E59" s="793"/>
      <c r="F59" s="793"/>
    </row>
    <row r="60" spans="1:6" ht="12" customHeight="1" x14ac:dyDescent="0.2">
      <c r="A60" s="793"/>
      <c r="B60" s="793"/>
      <c r="C60" s="793"/>
      <c r="D60" s="793"/>
      <c r="E60" s="793"/>
      <c r="F60" s="793"/>
    </row>
    <row r="61" spans="1:6" ht="12" customHeight="1" x14ac:dyDescent="0.2">
      <c r="A61" s="227" t="s">
        <v>319</v>
      </c>
      <c r="B61" s="31"/>
    </row>
    <row r="62" spans="1:6" ht="12" customHeight="1" x14ac:dyDescent="0.2">
      <c r="A62" s="227"/>
    </row>
  </sheetData>
  <mergeCells count="6">
    <mergeCell ref="A54:F60"/>
    <mergeCell ref="B2:D2"/>
    <mergeCell ref="B5:D5"/>
    <mergeCell ref="D8:D10"/>
    <mergeCell ref="B8:B10"/>
    <mergeCell ref="C6:C10"/>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59"/>
  <sheetViews>
    <sheetView showGridLines="0" showZeros="0" workbookViewId="0"/>
  </sheetViews>
  <sheetFormatPr defaultColWidth="15.83203125" defaultRowHeight="12" x14ac:dyDescent="0.2"/>
  <cols>
    <col min="1" max="1" width="32.83203125" style="1" customWidth="1"/>
    <col min="2" max="3" width="19.83203125" style="1" customWidth="1"/>
    <col min="4" max="4" width="1.83203125" style="1" customWidth="1"/>
    <col min="5" max="6" width="18.83203125" style="1" customWidth="1"/>
    <col min="7" max="16384" width="15.83203125" style="1"/>
  </cols>
  <sheetData>
    <row r="1" spans="1:6" ht="6.95" customHeight="1" x14ac:dyDescent="0.2">
      <c r="A1" s="3"/>
      <c r="B1" s="3"/>
      <c r="C1" s="3"/>
      <c r="D1" s="4"/>
      <c r="E1" s="4"/>
    </row>
    <row r="2" spans="1:6" ht="15.95" customHeight="1" x14ac:dyDescent="0.2">
      <c r="A2" s="33"/>
      <c r="B2" s="5" t="str">
        <f>+'- 6 -'!B2</f>
        <v>FRAME STUDENT STATISTICS</v>
      </c>
      <c r="C2" s="6"/>
      <c r="D2" s="6"/>
      <c r="E2" s="85"/>
      <c r="F2" s="92" t="s">
        <v>5</v>
      </c>
    </row>
    <row r="3" spans="1:6" ht="15.95" customHeight="1" x14ac:dyDescent="0.2">
      <c r="A3" s="37"/>
      <c r="B3" s="7" t="str">
        <f>+STATDATE</f>
        <v>ESTIMATE SEPTEMBER 30, 2017</v>
      </c>
      <c r="C3" s="8"/>
      <c r="D3" s="8"/>
      <c r="E3" s="87"/>
      <c r="F3" s="87"/>
    </row>
    <row r="4" spans="1:6" ht="15.95" customHeight="1" x14ac:dyDescent="0.2">
      <c r="D4" s="4"/>
      <c r="E4" s="4"/>
    </row>
    <row r="5" spans="1:6" ht="15.95" customHeight="1" x14ac:dyDescent="0.2"/>
    <row r="6" spans="1:6" ht="15.95" customHeight="1" x14ac:dyDescent="0.2">
      <c r="B6" s="570" t="s">
        <v>341</v>
      </c>
      <c r="C6" s="571"/>
      <c r="E6" s="568" t="s">
        <v>25</v>
      </c>
    </row>
    <row r="7" spans="1:6" ht="15.95" customHeight="1" x14ac:dyDescent="0.2">
      <c r="B7" s="572"/>
      <c r="C7" s="573"/>
      <c r="E7" s="569"/>
    </row>
    <row r="8" spans="1:6" ht="15.95" customHeight="1" x14ac:dyDescent="0.2">
      <c r="A8" s="24"/>
      <c r="B8" s="574" t="s">
        <v>375</v>
      </c>
      <c r="C8" s="575" t="s">
        <v>25</v>
      </c>
      <c r="D8" s="11"/>
      <c r="E8" s="577" t="s">
        <v>376</v>
      </c>
    </row>
    <row r="9" spans="1:6" ht="15.95" customHeight="1" x14ac:dyDescent="0.2">
      <c r="A9" s="93" t="s">
        <v>37</v>
      </c>
      <c r="B9" s="540"/>
      <c r="C9" s="576"/>
      <c r="D9" s="95"/>
      <c r="E9" s="578"/>
    </row>
    <row r="10" spans="1:6" ht="5.0999999999999996" customHeight="1" x14ac:dyDescent="0.2">
      <c r="A10" s="29"/>
      <c r="B10" s="46"/>
      <c r="C10" s="29"/>
      <c r="D10" s="96"/>
    </row>
    <row r="11" spans="1:6" ht="14.1" customHeight="1" x14ac:dyDescent="0.2">
      <c r="A11" s="271" t="s">
        <v>104</v>
      </c>
      <c r="B11" s="292">
        <v>0</v>
      </c>
      <c r="C11" s="292">
        <f>SUM('- 6 -'!$B11:H11,B11)</f>
        <v>1796</v>
      </c>
      <c r="D11" s="97"/>
      <c r="E11" s="292">
        <f>C11</f>
        <v>1796</v>
      </c>
    </row>
    <row r="12" spans="1:6" ht="14.1" customHeight="1" x14ac:dyDescent="0.2">
      <c r="A12" s="15" t="s">
        <v>105</v>
      </c>
      <c r="B12" s="47">
        <v>188</v>
      </c>
      <c r="C12" s="47">
        <f>SUM('- 6 -'!$B12:H12,B12)</f>
        <v>2150</v>
      </c>
      <c r="D12" s="97"/>
      <c r="E12" s="47">
        <f t="shared" ref="E12:E46" si="0">C12</f>
        <v>2150</v>
      </c>
    </row>
    <row r="13" spans="1:6" ht="14.1" customHeight="1" x14ac:dyDescent="0.2">
      <c r="A13" s="271" t="s">
        <v>106</v>
      </c>
      <c r="B13" s="292">
        <v>433</v>
      </c>
      <c r="C13" s="292">
        <f>SUM('- 6 -'!$B13:H13,B13)</f>
        <v>8530</v>
      </c>
      <c r="D13" s="97"/>
      <c r="E13" s="292">
        <f t="shared" si="0"/>
        <v>8530</v>
      </c>
    </row>
    <row r="14" spans="1:6" ht="14.1" customHeight="1" x14ac:dyDescent="0.2">
      <c r="A14" s="15" t="s">
        <v>315</v>
      </c>
      <c r="B14" s="47">
        <v>20</v>
      </c>
      <c r="C14" s="47">
        <f>SUM('- 6 -'!$B14:H14,B14)</f>
        <v>5570</v>
      </c>
      <c r="D14" s="97"/>
      <c r="E14" s="47">
        <f t="shared" si="0"/>
        <v>5570</v>
      </c>
    </row>
    <row r="15" spans="1:6" ht="14.1" customHeight="1" x14ac:dyDescent="0.2">
      <c r="A15" s="271" t="s">
        <v>107</v>
      </c>
      <c r="B15" s="292">
        <v>20</v>
      </c>
      <c r="C15" s="292">
        <f>SUM('- 6 -'!$B15:H15,B15)</f>
        <v>1378</v>
      </c>
      <c r="D15" s="97"/>
      <c r="E15" s="292">
        <f t="shared" si="0"/>
        <v>1378</v>
      </c>
    </row>
    <row r="16" spans="1:6" ht="14.1" customHeight="1" x14ac:dyDescent="0.2">
      <c r="A16" s="15" t="s">
        <v>108</v>
      </c>
      <c r="B16" s="47">
        <v>11</v>
      </c>
      <c r="C16" s="47">
        <f>SUM('- 6 -'!$B16:H16,B16)</f>
        <v>927.5</v>
      </c>
      <c r="D16" s="97"/>
      <c r="E16" s="47">
        <f t="shared" si="0"/>
        <v>927.5</v>
      </c>
    </row>
    <row r="17" spans="1:5" ht="14.1" customHeight="1" x14ac:dyDescent="0.2">
      <c r="A17" s="271" t="s">
        <v>109</v>
      </c>
      <c r="B17" s="292">
        <v>30</v>
      </c>
      <c r="C17" s="292">
        <f>SUM('- 6 -'!$B17:H17,B17)</f>
        <v>1408.5</v>
      </c>
      <c r="D17" s="97"/>
      <c r="E17" s="292">
        <f t="shared" si="0"/>
        <v>1408.5</v>
      </c>
    </row>
    <row r="18" spans="1:5" ht="14.1" customHeight="1" x14ac:dyDescent="0.2">
      <c r="A18" s="15" t="s">
        <v>110</v>
      </c>
      <c r="B18" s="47">
        <v>49</v>
      </c>
      <c r="C18" s="47">
        <f>SUM('- 6 -'!$B18:H18,B18)</f>
        <v>6114.8</v>
      </c>
      <c r="D18" s="97"/>
      <c r="E18" s="47">
        <f t="shared" si="0"/>
        <v>6114.8</v>
      </c>
    </row>
    <row r="19" spans="1:5" ht="14.1" customHeight="1" x14ac:dyDescent="0.2">
      <c r="A19" s="271" t="s">
        <v>111</v>
      </c>
      <c r="B19" s="292">
        <v>125</v>
      </c>
      <c r="C19" s="292">
        <f>SUM('- 6 -'!$B19:H19,B19)</f>
        <v>4338.5</v>
      </c>
      <c r="D19" s="97"/>
      <c r="E19" s="292">
        <f t="shared" si="0"/>
        <v>4338.5</v>
      </c>
    </row>
    <row r="20" spans="1:5" ht="14.1" customHeight="1" x14ac:dyDescent="0.2">
      <c r="A20" s="15" t="s">
        <v>112</v>
      </c>
      <c r="B20" s="47">
        <v>492.7</v>
      </c>
      <c r="C20" s="47">
        <f>SUM('- 6 -'!$B20:H20,B20)</f>
        <v>7745</v>
      </c>
      <c r="D20" s="97"/>
      <c r="E20" s="47">
        <f t="shared" si="0"/>
        <v>7745</v>
      </c>
    </row>
    <row r="21" spans="1:5" ht="14.1" customHeight="1" x14ac:dyDescent="0.2">
      <c r="A21" s="271" t="s">
        <v>113</v>
      </c>
      <c r="B21" s="292">
        <v>0</v>
      </c>
      <c r="C21" s="292">
        <f>SUM('- 6 -'!$B21:H21,B21)</f>
        <v>2755.5</v>
      </c>
      <c r="D21" s="97"/>
      <c r="E21" s="292">
        <f t="shared" si="0"/>
        <v>2755.5</v>
      </c>
    </row>
    <row r="22" spans="1:5" ht="14.1" customHeight="1" x14ac:dyDescent="0.2">
      <c r="A22" s="15" t="s">
        <v>114</v>
      </c>
      <c r="B22" s="47">
        <v>0</v>
      </c>
      <c r="C22" s="47">
        <f>SUM('- 6 -'!$B22:H22,B22)</f>
        <v>1519.2</v>
      </c>
      <c r="D22" s="97"/>
      <c r="E22" s="47">
        <f t="shared" si="0"/>
        <v>1519.2</v>
      </c>
    </row>
    <row r="23" spans="1:5" ht="14.1" customHeight="1" x14ac:dyDescent="0.2">
      <c r="A23" s="271" t="s">
        <v>115</v>
      </c>
      <c r="B23" s="292">
        <v>14</v>
      </c>
      <c r="C23" s="292">
        <f>SUM('- 6 -'!$B23:H23,B23)</f>
        <v>1105</v>
      </c>
      <c r="D23" s="97"/>
      <c r="E23" s="292">
        <f t="shared" si="0"/>
        <v>1105</v>
      </c>
    </row>
    <row r="24" spans="1:5" ht="14.1" customHeight="1" x14ac:dyDescent="0.2">
      <c r="A24" s="15" t="s">
        <v>116</v>
      </c>
      <c r="B24" s="47">
        <v>266</v>
      </c>
      <c r="C24" s="47">
        <f>SUM('- 6 -'!$B24:H24,B24)</f>
        <v>3894.5</v>
      </c>
      <c r="D24" s="97"/>
      <c r="E24" s="47">
        <f t="shared" si="0"/>
        <v>3894.5</v>
      </c>
    </row>
    <row r="25" spans="1:5" ht="14.1" customHeight="1" x14ac:dyDescent="0.2">
      <c r="A25" s="271" t="s">
        <v>117</v>
      </c>
      <c r="B25" s="292">
        <v>143.9</v>
      </c>
      <c r="C25" s="292">
        <f>SUM('- 6 -'!$B25:H25,B25)</f>
        <v>14472.5</v>
      </c>
      <c r="D25" s="97"/>
      <c r="E25" s="292">
        <f t="shared" si="0"/>
        <v>14472.5</v>
      </c>
    </row>
    <row r="26" spans="1:5" ht="14.1" customHeight="1" x14ac:dyDescent="0.2">
      <c r="A26" s="15" t="s">
        <v>118</v>
      </c>
      <c r="B26" s="47">
        <v>135.6</v>
      </c>
      <c r="C26" s="47">
        <f>SUM('- 6 -'!$B26:H26,B26)</f>
        <v>3050</v>
      </c>
      <c r="D26" s="97"/>
      <c r="E26" s="47">
        <f t="shared" si="0"/>
        <v>3050</v>
      </c>
    </row>
    <row r="27" spans="1:5" ht="14.1" customHeight="1" x14ac:dyDescent="0.2">
      <c r="A27" s="271" t="s">
        <v>119</v>
      </c>
      <c r="B27" s="292">
        <v>205.85714285714286</v>
      </c>
      <c r="C27" s="292">
        <f>SUM('- 6 -'!$B27:H27,B27)</f>
        <v>2990.4571428571426</v>
      </c>
      <c r="D27" s="97"/>
      <c r="E27" s="292">
        <f t="shared" si="0"/>
        <v>2990.4571428571426</v>
      </c>
    </row>
    <row r="28" spans="1:5" ht="14.1" customHeight="1" x14ac:dyDescent="0.2">
      <c r="A28" s="15" t="s">
        <v>120</v>
      </c>
      <c r="B28" s="47">
        <v>0</v>
      </c>
      <c r="C28" s="47">
        <f>SUM('- 6 -'!$B28:H28,B28)</f>
        <v>1959</v>
      </c>
      <c r="D28" s="97"/>
      <c r="E28" s="47">
        <f t="shared" si="0"/>
        <v>1959</v>
      </c>
    </row>
    <row r="29" spans="1:5" ht="14.1" customHeight="1" x14ac:dyDescent="0.2">
      <c r="A29" s="271" t="s">
        <v>121</v>
      </c>
      <c r="B29" s="292">
        <v>0</v>
      </c>
      <c r="C29" s="292">
        <f>SUM('- 6 -'!$B29:H29,B29)</f>
        <v>13063.9</v>
      </c>
      <c r="D29" s="97"/>
      <c r="E29" s="292">
        <f t="shared" si="0"/>
        <v>13063.9</v>
      </c>
    </row>
    <row r="30" spans="1:5" ht="14.1" customHeight="1" x14ac:dyDescent="0.2">
      <c r="A30" s="15" t="s">
        <v>122</v>
      </c>
      <c r="B30" s="47">
        <v>0</v>
      </c>
      <c r="C30" s="47">
        <f>SUM('- 6 -'!$B30:H30,B30)</f>
        <v>1015.5</v>
      </c>
      <c r="D30" s="97"/>
      <c r="E30" s="47">
        <f t="shared" si="0"/>
        <v>1015.5</v>
      </c>
    </row>
    <row r="31" spans="1:5" ht="14.1" customHeight="1" x14ac:dyDescent="0.2">
      <c r="A31" s="271" t="s">
        <v>123</v>
      </c>
      <c r="B31" s="292">
        <v>148</v>
      </c>
      <c r="C31" s="292">
        <f>SUM('- 6 -'!$B31:H31,B31)</f>
        <v>3284.5</v>
      </c>
      <c r="D31" s="97"/>
      <c r="E31" s="292">
        <f t="shared" si="0"/>
        <v>3284.5</v>
      </c>
    </row>
    <row r="32" spans="1:5" ht="14.1" customHeight="1" x14ac:dyDescent="0.2">
      <c r="A32" s="15" t="s">
        <v>124</v>
      </c>
      <c r="B32" s="47">
        <v>119.9</v>
      </c>
      <c r="C32" s="47">
        <f>SUM('- 6 -'!$B32:H32,B32)</f>
        <v>2213</v>
      </c>
      <c r="D32" s="97"/>
      <c r="E32" s="491">
        <f t="shared" si="0"/>
        <v>2213</v>
      </c>
    </row>
    <row r="33" spans="1:6" ht="14.1" customHeight="1" x14ac:dyDescent="0.2">
      <c r="A33" s="271" t="s">
        <v>125</v>
      </c>
      <c r="B33" s="292">
        <v>50</v>
      </c>
      <c r="C33" s="292">
        <f>SUM('- 6 -'!$B33:H33,B33)</f>
        <v>1984</v>
      </c>
      <c r="D33" s="97"/>
      <c r="E33" s="292">
        <f t="shared" si="0"/>
        <v>1984</v>
      </c>
    </row>
    <row r="34" spans="1:6" ht="14.1" customHeight="1" x14ac:dyDescent="0.2">
      <c r="A34" s="15" t="s">
        <v>126</v>
      </c>
      <c r="B34" s="47">
        <v>22.5</v>
      </c>
      <c r="C34" s="47">
        <f>SUM('- 6 -'!$B34:H34,B34)</f>
        <v>2055</v>
      </c>
      <c r="D34" s="97"/>
      <c r="E34" s="47">
        <f t="shared" si="0"/>
        <v>2055</v>
      </c>
    </row>
    <row r="35" spans="1:6" ht="14.1" customHeight="1" x14ac:dyDescent="0.2">
      <c r="A35" s="271" t="s">
        <v>127</v>
      </c>
      <c r="B35" s="292">
        <v>714</v>
      </c>
      <c r="C35" s="292">
        <f>SUM('- 6 -'!$B35:H35,B35)</f>
        <v>15702.5</v>
      </c>
      <c r="D35" s="97"/>
      <c r="E35" s="292">
        <f t="shared" si="0"/>
        <v>15702.5</v>
      </c>
    </row>
    <row r="36" spans="1:6" ht="14.1" customHeight="1" x14ac:dyDescent="0.2">
      <c r="A36" s="15" t="s">
        <v>128</v>
      </c>
      <c r="B36" s="47">
        <v>6.9</v>
      </c>
      <c r="C36" s="47">
        <f>SUM('- 6 -'!$B36:H36,B36)</f>
        <v>1681.5</v>
      </c>
      <c r="D36" s="97"/>
      <c r="E36" s="47">
        <f t="shared" si="0"/>
        <v>1681.5</v>
      </c>
    </row>
    <row r="37" spans="1:6" ht="14.1" customHeight="1" x14ac:dyDescent="0.2">
      <c r="A37" s="271" t="s">
        <v>129</v>
      </c>
      <c r="B37" s="292">
        <v>0</v>
      </c>
      <c r="C37" s="292">
        <f>SUM('- 6 -'!$B37:H37,B37)</f>
        <v>4253.7</v>
      </c>
      <c r="D37" s="97"/>
      <c r="E37" s="292">
        <f t="shared" si="0"/>
        <v>4253.7</v>
      </c>
    </row>
    <row r="38" spans="1:6" ht="14.1" customHeight="1" x14ac:dyDescent="0.2">
      <c r="A38" s="15" t="s">
        <v>130</v>
      </c>
      <c r="B38" s="47">
        <v>210</v>
      </c>
      <c r="C38" s="47">
        <f>SUM('- 6 -'!$B38:H38,B38)</f>
        <v>11290</v>
      </c>
      <c r="D38" s="97"/>
      <c r="E38" s="47">
        <f t="shared" si="0"/>
        <v>11290</v>
      </c>
    </row>
    <row r="39" spans="1:6" ht="14.1" customHeight="1" x14ac:dyDescent="0.2">
      <c r="A39" s="271" t="s">
        <v>131</v>
      </c>
      <c r="B39" s="292">
        <v>36</v>
      </c>
      <c r="C39" s="292">
        <f>SUM('- 6 -'!$B39:H39,B39)</f>
        <v>1508</v>
      </c>
      <c r="D39" s="97"/>
      <c r="E39" s="292">
        <f t="shared" si="0"/>
        <v>1508</v>
      </c>
    </row>
    <row r="40" spans="1:6" ht="14.1" customHeight="1" x14ac:dyDescent="0.2">
      <c r="A40" s="15" t="s">
        <v>132</v>
      </c>
      <c r="B40" s="47">
        <v>253.8</v>
      </c>
      <c r="C40" s="47">
        <f>SUM('- 6 -'!$B40:H40,B40)</f>
        <v>8219.6</v>
      </c>
      <c r="D40" s="97"/>
      <c r="E40" s="47">
        <f t="shared" si="0"/>
        <v>8219.6</v>
      </c>
    </row>
    <row r="41" spans="1:6" ht="14.1" customHeight="1" x14ac:dyDescent="0.2">
      <c r="A41" s="271" t="s">
        <v>133</v>
      </c>
      <c r="B41" s="292">
        <v>0</v>
      </c>
      <c r="C41" s="292">
        <f>SUM('- 6 -'!$B41:H41,B41)</f>
        <v>4428</v>
      </c>
      <c r="D41" s="97"/>
      <c r="E41" s="292">
        <f t="shared" si="0"/>
        <v>4428</v>
      </c>
    </row>
    <row r="42" spans="1:6" ht="14.1" customHeight="1" x14ac:dyDescent="0.2">
      <c r="A42" s="15" t="s">
        <v>134</v>
      </c>
      <c r="B42" s="47">
        <v>125</v>
      </c>
      <c r="C42" s="47">
        <f>SUM('- 6 -'!$B42:H42,B42)</f>
        <v>1387</v>
      </c>
      <c r="D42" s="97"/>
      <c r="E42" s="47">
        <f t="shared" si="0"/>
        <v>1387</v>
      </c>
    </row>
    <row r="43" spans="1:6" ht="14.1" customHeight="1" x14ac:dyDescent="0.2">
      <c r="A43" s="271" t="s">
        <v>135</v>
      </c>
      <c r="B43" s="292">
        <v>31</v>
      </c>
      <c r="C43" s="292">
        <f>SUM('- 6 -'!$B43:H43,B43)</f>
        <v>952.5</v>
      </c>
      <c r="D43" s="97"/>
      <c r="E43" s="292">
        <f t="shared" si="0"/>
        <v>952.5</v>
      </c>
    </row>
    <row r="44" spans="1:6" ht="14.1" customHeight="1" x14ac:dyDescent="0.2">
      <c r="A44" s="15" t="s">
        <v>136</v>
      </c>
      <c r="B44" s="47">
        <v>0</v>
      </c>
      <c r="C44" s="47">
        <f>SUM('- 6 -'!$B44:H44,B44)</f>
        <v>716</v>
      </c>
      <c r="D44" s="97"/>
      <c r="E44" s="47">
        <f t="shared" si="0"/>
        <v>716</v>
      </c>
    </row>
    <row r="45" spans="1:6" ht="14.1" customHeight="1" x14ac:dyDescent="0.2">
      <c r="A45" s="271" t="s">
        <v>137</v>
      </c>
      <c r="B45" s="292">
        <v>40</v>
      </c>
      <c r="C45" s="292">
        <f>SUM('- 6 -'!$B45:H45,B45)</f>
        <v>1732</v>
      </c>
      <c r="D45" s="97"/>
      <c r="E45" s="292">
        <f t="shared" si="0"/>
        <v>1732</v>
      </c>
    </row>
    <row r="46" spans="1:6" ht="14.1" customHeight="1" x14ac:dyDescent="0.2">
      <c r="A46" s="15" t="s">
        <v>138</v>
      </c>
      <c r="B46" s="47">
        <v>698.1</v>
      </c>
      <c r="C46" s="47">
        <f>SUM('- 6 -'!$B46:H46,B46)</f>
        <v>30260.5</v>
      </c>
      <c r="D46" s="97"/>
      <c r="E46" s="47">
        <f t="shared" si="0"/>
        <v>30260.5</v>
      </c>
    </row>
    <row r="47" spans="1:6" ht="5.0999999999999996" customHeight="1" x14ac:dyDescent="0.2">
      <c r="A47"/>
      <c r="B47"/>
      <c r="C47"/>
      <c r="D47"/>
      <c r="E47"/>
      <c r="F47"/>
    </row>
    <row r="48" spans="1:6" ht="14.1" customHeight="1" x14ac:dyDescent="0.2">
      <c r="A48" s="274" t="s">
        <v>139</v>
      </c>
      <c r="B48" s="293">
        <f>SUM(B11:B46)</f>
        <v>4589.2571428571437</v>
      </c>
      <c r="C48" s="293">
        <f>SUM(C11:C46)</f>
        <v>177451.65714285712</v>
      </c>
      <c r="D48" s="98"/>
      <c r="E48" s="293">
        <f>SUM(E11:E46)</f>
        <v>177451.65714285712</v>
      </c>
    </row>
    <row r="49" spans="1:6" ht="5.0999999999999996" customHeight="1" x14ac:dyDescent="0.2">
      <c r="A49" s="17" t="s">
        <v>1</v>
      </c>
      <c r="B49" s="50"/>
      <c r="C49" s="50"/>
      <c r="D49" s="96"/>
      <c r="E49" s="50"/>
    </row>
    <row r="50" spans="1:6" ht="14.1" customHeight="1" x14ac:dyDescent="0.2">
      <c r="A50" s="15" t="s">
        <v>140</v>
      </c>
      <c r="B50" s="47">
        <v>0</v>
      </c>
      <c r="C50" s="47">
        <f>SUM('- 6 -'!$B50:H50,B50)</f>
        <v>162</v>
      </c>
      <c r="D50" s="97"/>
      <c r="E50" s="47">
        <f t="shared" ref="E50:E51" si="1">C50</f>
        <v>162</v>
      </c>
    </row>
    <row r="51" spans="1:6" ht="14.1" customHeight="1" x14ac:dyDescent="0.2">
      <c r="A51" s="360" t="s">
        <v>516</v>
      </c>
      <c r="B51" s="292">
        <v>947.5</v>
      </c>
      <c r="C51" s="292">
        <f>SUM('- 6 -'!$B51:H51,B51)</f>
        <v>1066</v>
      </c>
      <c r="D51" s="97"/>
      <c r="E51" s="292">
        <f t="shared" si="1"/>
        <v>1066</v>
      </c>
    </row>
    <row r="52" spans="1:6" ht="50.1" customHeight="1" x14ac:dyDescent="0.2">
      <c r="A52" s="370"/>
      <c r="B52" s="370"/>
      <c r="C52" s="370"/>
      <c r="D52" s="370"/>
      <c r="E52" s="370"/>
      <c r="F52" s="370"/>
    </row>
    <row r="53" spans="1:6" ht="15" customHeight="1" x14ac:dyDescent="0.2">
      <c r="A53" s="566" t="s">
        <v>523</v>
      </c>
      <c r="B53" s="566"/>
      <c r="C53" s="566"/>
      <c r="D53" s="566"/>
      <c r="E53" s="566"/>
      <c r="F53" s="566"/>
    </row>
    <row r="54" spans="1:6" ht="12" customHeight="1" x14ac:dyDescent="0.2">
      <c r="A54" s="567"/>
      <c r="B54" s="567"/>
      <c r="C54" s="567"/>
      <c r="D54" s="567"/>
      <c r="E54" s="567"/>
      <c r="F54" s="567"/>
    </row>
    <row r="55" spans="1:6" x14ac:dyDescent="0.2">
      <c r="A55" s="20" t="s">
        <v>352</v>
      </c>
    </row>
    <row r="56" spans="1:6" ht="14.45" customHeight="1" x14ac:dyDescent="0.2"/>
    <row r="57" spans="1:6" ht="14.45" customHeight="1" x14ac:dyDescent="0.2"/>
    <row r="58" spans="1:6" ht="14.45" customHeight="1" x14ac:dyDescent="0.2"/>
    <row r="59" spans="1:6" ht="14.45" customHeight="1" x14ac:dyDescent="0.2"/>
  </sheetData>
  <mergeCells count="6">
    <mergeCell ref="A53:F54"/>
    <mergeCell ref="E6:E7"/>
    <mergeCell ref="B6:C7"/>
    <mergeCell ref="B8:B9"/>
    <mergeCell ref="C8:C9"/>
    <mergeCell ref="E8:E9"/>
  </mergeCells>
  <phoneticPr fontId="0" type="noConversion"/>
  <printOptions horizontalCentered="1"/>
  <pageMargins left="0.5" right="0.5" top="0.6" bottom="0" header="0.3" footer="0"/>
  <pageSetup scale="91" orientation="portrait" r:id="rId1"/>
  <headerFooter alignWithMargins="0">
    <oddHeader>&amp;C&amp;"Arial,Bold"&amp;10&amp;A</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11">
    <pageSetUpPr fitToPage="1"/>
  </sheetPr>
  <dimension ref="A1:K60"/>
  <sheetViews>
    <sheetView showGridLines="0" showZeros="0" workbookViewId="0"/>
  </sheetViews>
  <sheetFormatPr defaultColWidth="14.83203125" defaultRowHeight="12" x14ac:dyDescent="0.2"/>
  <cols>
    <col min="1" max="1" width="26.83203125" style="1" customWidth="1"/>
    <col min="2" max="2" width="16.83203125" style="1" customWidth="1"/>
    <col min="3" max="3" width="16.33203125" style="1" customWidth="1"/>
    <col min="4" max="4" width="14.1640625" style="1" customWidth="1"/>
    <col min="5" max="5" width="15.5" style="1" customWidth="1"/>
    <col min="6" max="6" width="16.33203125" style="1" customWidth="1"/>
    <col min="7" max="7" width="15.6640625" style="1" customWidth="1"/>
    <col min="8" max="8" width="11.83203125" style="1" customWidth="1"/>
    <col min="9" max="10" width="14.83203125" style="1" hidden="1" customWidth="1"/>
    <col min="11" max="16384" width="14.83203125" style="1"/>
  </cols>
  <sheetData>
    <row r="1" spans="1:11" ht="6.95" customHeight="1" x14ac:dyDescent="0.2">
      <c r="A1" s="3"/>
      <c r="B1" s="4"/>
      <c r="C1" s="4"/>
      <c r="D1" s="4"/>
    </row>
    <row r="2" spans="1:11" ht="20.100000000000001" customHeight="1" x14ac:dyDescent="0.2">
      <c r="A2" s="219"/>
      <c r="B2" s="219" t="s">
        <v>588</v>
      </c>
      <c r="C2" s="363"/>
      <c r="D2" s="363"/>
      <c r="E2" s="363"/>
      <c r="F2" s="363"/>
      <c r="G2" s="363"/>
      <c r="H2" s="365" t="s">
        <v>223</v>
      </c>
    </row>
    <row r="3" spans="1:11" ht="20.100000000000001" customHeight="1" x14ac:dyDescent="0.2">
      <c r="A3" s="5"/>
      <c r="B3" s="220"/>
      <c r="C3" s="221"/>
      <c r="D3" s="221"/>
      <c r="E3" s="221"/>
      <c r="F3" s="221"/>
      <c r="G3" s="221"/>
      <c r="H3" s="222"/>
    </row>
    <row r="4" spans="1:11" ht="15.95" customHeight="1" x14ac:dyDescent="0.2">
      <c r="A4" s="223"/>
      <c r="B4" s="799" t="s">
        <v>224</v>
      </c>
      <c r="C4" s="800"/>
      <c r="D4" s="800"/>
      <c r="E4" s="800"/>
      <c r="F4" s="800"/>
      <c r="G4" s="800"/>
      <c r="H4" s="801"/>
    </row>
    <row r="5" spans="1:11" ht="13.5" customHeight="1" x14ac:dyDescent="0.2">
      <c r="A5" s="224"/>
      <c r="B5" s="225"/>
      <c r="C5" s="225"/>
      <c r="D5" s="225"/>
      <c r="E5" s="225"/>
      <c r="F5" s="225"/>
      <c r="G5" s="225"/>
      <c r="H5" s="225"/>
    </row>
    <row r="6" spans="1:11" ht="14.1" customHeight="1" x14ac:dyDescent="0.2">
      <c r="A6" s="224"/>
      <c r="B6" s="210"/>
      <c r="C6" s="210"/>
      <c r="D6" s="210"/>
      <c r="E6" s="210"/>
      <c r="F6" s="210"/>
      <c r="G6" s="784" t="s">
        <v>551</v>
      </c>
      <c r="H6" s="737" t="s">
        <v>552</v>
      </c>
    </row>
    <row r="7" spans="1:11" ht="14.1" customHeight="1" x14ac:dyDescent="0.2">
      <c r="A7" s="224"/>
      <c r="B7" s="226"/>
      <c r="C7" s="114"/>
      <c r="D7" s="784" t="s">
        <v>504</v>
      </c>
      <c r="E7" s="226"/>
      <c r="F7" s="226"/>
      <c r="G7" s="784"/>
      <c r="H7" s="784"/>
    </row>
    <row r="8" spans="1:11" ht="14.1" customHeight="1" x14ac:dyDescent="0.2">
      <c r="A8" s="224"/>
      <c r="B8" s="784" t="s">
        <v>502</v>
      </c>
      <c r="C8" s="784" t="s">
        <v>503</v>
      </c>
      <c r="D8" s="784"/>
      <c r="E8" s="226"/>
      <c r="F8" s="784" t="s">
        <v>554</v>
      </c>
      <c r="G8" s="784"/>
      <c r="H8" s="784"/>
    </row>
    <row r="9" spans="1:11" ht="14.1" customHeight="1" x14ac:dyDescent="0.2">
      <c r="A9" s="224"/>
      <c r="B9" s="784"/>
      <c r="C9" s="784"/>
      <c r="D9" s="784"/>
      <c r="E9" s="784" t="s">
        <v>505</v>
      </c>
      <c r="F9" s="784"/>
      <c r="G9" s="784"/>
      <c r="H9" s="784"/>
    </row>
    <row r="10" spans="1:11" ht="14.1" customHeight="1" x14ac:dyDescent="0.2">
      <c r="A10" s="12"/>
      <c r="B10" s="784"/>
      <c r="C10" s="784"/>
      <c r="D10" s="784"/>
      <c r="E10" s="784"/>
      <c r="F10" s="784"/>
      <c r="G10" s="784"/>
      <c r="H10" s="784"/>
    </row>
    <row r="11" spans="1:11" ht="14.1" customHeight="1" x14ac:dyDescent="0.2">
      <c r="A11" s="13" t="s">
        <v>37</v>
      </c>
      <c r="B11" s="785"/>
      <c r="C11" s="785"/>
      <c r="D11" s="785"/>
      <c r="E11" s="785"/>
      <c r="F11" s="785"/>
      <c r="G11" s="785"/>
      <c r="H11" s="785"/>
    </row>
    <row r="12" spans="1:11" ht="5.0999999999999996" customHeight="1" x14ac:dyDescent="0.2">
      <c r="A12" s="14"/>
      <c r="C12" s="204"/>
      <c r="D12" s="182"/>
      <c r="E12" s="3"/>
    </row>
    <row r="13" spans="1:11" ht="14.1" customHeight="1" x14ac:dyDescent="0.2">
      <c r="A13" s="271" t="s">
        <v>104</v>
      </c>
      <c r="B13" s="272">
        <f>'- 3 -'!B11</f>
        <v>20244014</v>
      </c>
      <c r="C13" s="272">
        <v>79000</v>
      </c>
      <c r="D13" s="272">
        <v>0</v>
      </c>
      <c r="E13" s="272">
        <f>SUM(B13:D13)</f>
        <v>20323014</v>
      </c>
      <c r="F13" s="272">
        <f>'- 56 -'!D12</f>
        <v>586100</v>
      </c>
      <c r="G13" s="273">
        <f>F13/E13*100</f>
        <v>2.883922630767267</v>
      </c>
      <c r="H13" s="273">
        <v>4.1000000000000005</v>
      </c>
      <c r="I13" s="338">
        <v>2.8839226307672671E-2</v>
      </c>
      <c r="J13" s="329">
        <v>20323014</v>
      </c>
      <c r="K13" s="1">
        <f t="shared" ref="K13:K48" si="0">J13-E13</f>
        <v>0</v>
      </c>
    </row>
    <row r="14" spans="1:11" ht="14.1" customHeight="1" x14ac:dyDescent="0.2">
      <c r="A14" s="15" t="s">
        <v>105</v>
      </c>
      <c r="B14" s="16">
        <f>'- 3 -'!B12</f>
        <v>35436645</v>
      </c>
      <c r="C14" s="16">
        <v>298260</v>
      </c>
      <c r="D14" s="16">
        <v>-682961</v>
      </c>
      <c r="E14" s="16">
        <f t="shared" ref="E14:E48" si="1">SUM(B14:D14)</f>
        <v>35051944</v>
      </c>
      <c r="F14" s="16">
        <f>'- 56 -'!D13</f>
        <v>1393859</v>
      </c>
      <c r="G14" s="267">
        <f>F14/E14*100</f>
        <v>3.9765526271524338</v>
      </c>
      <c r="H14" s="267">
        <v>4.03</v>
      </c>
      <c r="I14" s="339">
        <v>3.976552627152434E-2</v>
      </c>
      <c r="J14" s="330">
        <v>35051944</v>
      </c>
      <c r="K14" s="1">
        <f t="shared" si="0"/>
        <v>0</v>
      </c>
    </row>
    <row r="15" spans="1:11" ht="14.1" customHeight="1" x14ac:dyDescent="0.2">
      <c r="A15" s="271" t="s">
        <v>106</v>
      </c>
      <c r="B15" s="272">
        <f>'- 3 -'!B13</f>
        <v>101967200</v>
      </c>
      <c r="C15" s="272">
        <v>37500</v>
      </c>
      <c r="D15" s="272">
        <v>0</v>
      </c>
      <c r="E15" s="272">
        <f t="shared" si="1"/>
        <v>102004700</v>
      </c>
      <c r="F15" s="272">
        <f>'- 56 -'!D14</f>
        <v>3284400</v>
      </c>
      <c r="G15" s="273">
        <f>F15/E15*100</f>
        <v>3.2198516342874397</v>
      </c>
      <c r="H15" s="273">
        <v>3.5000000000000004</v>
      </c>
      <c r="I15" s="338">
        <v>3.2198516342874399E-2</v>
      </c>
      <c r="J15" s="329">
        <v>102004700</v>
      </c>
      <c r="K15" s="1">
        <f t="shared" si="0"/>
        <v>0</v>
      </c>
    </row>
    <row r="16" spans="1:11" ht="14.1" customHeight="1" x14ac:dyDescent="0.2">
      <c r="A16" s="15" t="s">
        <v>315</v>
      </c>
      <c r="B16" s="16"/>
      <c r="C16" s="16"/>
      <c r="D16" s="16"/>
      <c r="E16" s="16"/>
      <c r="F16" s="16"/>
      <c r="G16" s="334" t="s">
        <v>84</v>
      </c>
      <c r="H16" s="334" t="s">
        <v>84</v>
      </c>
      <c r="I16" s="340"/>
      <c r="J16" s="330"/>
      <c r="K16" s="1">
        <f t="shared" si="0"/>
        <v>0</v>
      </c>
    </row>
    <row r="17" spans="1:11" ht="14.1" customHeight="1" x14ac:dyDescent="0.2">
      <c r="A17" s="271" t="s">
        <v>107</v>
      </c>
      <c r="B17" s="272">
        <f>'- 3 -'!B15</f>
        <v>20803536</v>
      </c>
      <c r="C17" s="272">
        <v>407534</v>
      </c>
      <c r="D17" s="272">
        <v>0</v>
      </c>
      <c r="E17" s="272">
        <f t="shared" si="1"/>
        <v>21211070</v>
      </c>
      <c r="F17" s="272">
        <f>'- 56 -'!D16</f>
        <v>836800</v>
      </c>
      <c r="G17" s="273">
        <f>F17/E17*100</f>
        <v>3.9451097940839381</v>
      </c>
      <c r="H17" s="273">
        <v>4.18</v>
      </c>
      <c r="I17" s="338">
        <v>3.9451097940839383E-2</v>
      </c>
      <c r="J17" s="329">
        <v>21211070</v>
      </c>
      <c r="K17" s="1">
        <f t="shared" si="0"/>
        <v>0</v>
      </c>
    </row>
    <row r="18" spans="1:11" ht="14.1" customHeight="1" x14ac:dyDescent="0.2">
      <c r="A18" s="15" t="s">
        <v>108</v>
      </c>
      <c r="B18" s="16">
        <f>'- 3 -'!B16</f>
        <v>14790796</v>
      </c>
      <c r="C18" s="16">
        <v>42500</v>
      </c>
      <c r="D18" s="16">
        <v>-92300</v>
      </c>
      <c r="E18" s="16">
        <f t="shared" si="1"/>
        <v>14740996</v>
      </c>
      <c r="F18" s="16">
        <f>'- 56 -'!D17</f>
        <v>693250</v>
      </c>
      <c r="G18" s="267">
        <f>F18/E18*100</f>
        <v>4.7028708236539787</v>
      </c>
      <c r="H18" s="267">
        <v>5</v>
      </c>
      <c r="I18" s="339">
        <v>4.7028708236539783E-2</v>
      </c>
      <c r="J18" s="330">
        <v>14740996</v>
      </c>
      <c r="K18" s="1">
        <f t="shared" si="0"/>
        <v>0</v>
      </c>
    </row>
    <row r="19" spans="1:11" ht="14.1" customHeight="1" x14ac:dyDescent="0.2">
      <c r="A19" s="271" t="s">
        <v>109</v>
      </c>
      <c r="B19" s="272">
        <f>'- 3 -'!B17</f>
        <v>18768716</v>
      </c>
      <c r="C19" s="272">
        <v>200000</v>
      </c>
      <c r="D19" s="272">
        <v>0</v>
      </c>
      <c r="E19" s="272">
        <f t="shared" si="1"/>
        <v>18968716</v>
      </c>
      <c r="F19" s="272">
        <f>'- 56 -'!D18</f>
        <v>774568</v>
      </c>
      <c r="G19" s="273">
        <f>F19/E19*100</f>
        <v>4.0833971050017297</v>
      </c>
      <c r="H19" s="273">
        <v>4.17</v>
      </c>
      <c r="I19" s="338">
        <v>4.0833971050017299E-2</v>
      </c>
      <c r="J19" s="329">
        <v>18968716</v>
      </c>
      <c r="K19" s="1">
        <f t="shared" si="0"/>
        <v>0</v>
      </c>
    </row>
    <row r="20" spans="1:11" ht="14.1" customHeight="1" x14ac:dyDescent="0.2">
      <c r="A20" s="15" t="s">
        <v>110</v>
      </c>
      <c r="B20" s="16"/>
      <c r="C20" s="16"/>
      <c r="D20" s="16"/>
      <c r="E20" s="16"/>
      <c r="F20" s="16"/>
      <c r="G20" s="334" t="s">
        <v>84</v>
      </c>
      <c r="H20" s="334" t="s">
        <v>84</v>
      </c>
      <c r="I20" s="340"/>
      <c r="J20" s="330"/>
      <c r="K20" s="1">
        <f t="shared" si="0"/>
        <v>0</v>
      </c>
    </row>
    <row r="21" spans="1:11" ht="14.1" customHeight="1" x14ac:dyDescent="0.2">
      <c r="A21" s="271" t="s">
        <v>111</v>
      </c>
      <c r="B21" s="272">
        <f>'- 3 -'!B19</f>
        <v>49194717</v>
      </c>
      <c r="C21" s="272">
        <v>836900</v>
      </c>
      <c r="D21" s="272">
        <v>0</v>
      </c>
      <c r="E21" s="272">
        <f t="shared" si="1"/>
        <v>50031617</v>
      </c>
      <c r="F21" s="272">
        <f>'- 56 -'!D20</f>
        <v>1409855</v>
      </c>
      <c r="G21" s="273">
        <f t="shared" ref="G21:G48" si="2">F21/E21*100</f>
        <v>2.8179281113380763</v>
      </c>
      <c r="H21" s="273">
        <v>3.62</v>
      </c>
      <c r="I21" s="338">
        <v>2.8179281113380764E-2</v>
      </c>
      <c r="J21" s="329">
        <v>50031617</v>
      </c>
      <c r="K21" s="1">
        <f t="shared" si="0"/>
        <v>0</v>
      </c>
    </row>
    <row r="22" spans="1:11" ht="14.1" customHeight="1" x14ac:dyDescent="0.2">
      <c r="A22" s="15" t="s">
        <v>112</v>
      </c>
      <c r="B22" s="16">
        <f>'- 3 -'!B20</f>
        <v>86636800</v>
      </c>
      <c r="C22" s="16">
        <v>1180500</v>
      </c>
      <c r="D22" s="16">
        <v>0</v>
      </c>
      <c r="E22" s="16">
        <f t="shared" si="1"/>
        <v>87817300</v>
      </c>
      <c r="F22" s="16">
        <f>'- 56 -'!D21</f>
        <v>2228400</v>
      </c>
      <c r="G22" s="267">
        <f t="shared" si="2"/>
        <v>2.5375410084345567</v>
      </c>
      <c r="H22" s="267">
        <v>3.5000000000000004</v>
      </c>
      <c r="I22" s="339">
        <v>2.5375410084345566E-2</v>
      </c>
      <c r="J22" s="330">
        <v>87817300</v>
      </c>
      <c r="K22" s="1">
        <f t="shared" si="0"/>
        <v>0</v>
      </c>
    </row>
    <row r="23" spans="1:11" ht="14.1" customHeight="1" x14ac:dyDescent="0.2">
      <c r="A23" s="271" t="s">
        <v>113</v>
      </c>
      <c r="B23" s="272">
        <f>'- 3 -'!B21</f>
        <v>37541600</v>
      </c>
      <c r="C23" s="272">
        <v>558400</v>
      </c>
      <c r="D23" s="272">
        <v>0</v>
      </c>
      <c r="E23" s="272">
        <f t="shared" si="1"/>
        <v>38100000</v>
      </c>
      <c r="F23" s="272">
        <f>'- 56 -'!D22</f>
        <v>1375000</v>
      </c>
      <c r="G23" s="273">
        <f t="shared" si="2"/>
        <v>3.6089238845144358</v>
      </c>
      <c r="H23" s="273">
        <v>3.92</v>
      </c>
      <c r="I23" s="338">
        <v>3.608923884514436E-2</v>
      </c>
      <c r="J23" s="329">
        <v>38100000</v>
      </c>
      <c r="K23" s="1">
        <f t="shared" si="0"/>
        <v>0</v>
      </c>
    </row>
    <row r="24" spans="1:11" ht="14.1" customHeight="1" x14ac:dyDescent="0.2">
      <c r="A24" s="15" t="s">
        <v>114</v>
      </c>
      <c r="B24" s="16">
        <f>'- 3 -'!B22</f>
        <v>21340890</v>
      </c>
      <c r="C24" s="16">
        <v>200000</v>
      </c>
      <c r="D24" s="16">
        <v>-654480</v>
      </c>
      <c r="E24" s="16">
        <f t="shared" si="1"/>
        <v>20886410</v>
      </c>
      <c r="F24" s="16">
        <f>'- 56 -'!D23</f>
        <v>864130</v>
      </c>
      <c r="G24" s="267">
        <f t="shared" si="2"/>
        <v>4.1372835255077343</v>
      </c>
      <c r="H24" s="267">
        <v>5</v>
      </c>
      <c r="I24" s="339">
        <v>4.1372835255077345E-2</v>
      </c>
      <c r="J24" s="330">
        <v>20886410</v>
      </c>
      <c r="K24" s="1">
        <f t="shared" si="0"/>
        <v>0</v>
      </c>
    </row>
    <row r="25" spans="1:11" ht="14.1" customHeight="1" x14ac:dyDescent="0.2">
      <c r="A25" s="271" t="s">
        <v>115</v>
      </c>
      <c r="B25" s="272">
        <f>'- 3 -'!B23</f>
        <v>16870351</v>
      </c>
      <c r="C25" s="272">
        <v>0</v>
      </c>
      <c r="D25" s="272">
        <v>-239300</v>
      </c>
      <c r="E25" s="272">
        <f t="shared" si="1"/>
        <v>16631051</v>
      </c>
      <c r="F25" s="272">
        <f>'- 56 -'!D24</f>
        <v>636900</v>
      </c>
      <c r="G25" s="273">
        <f t="shared" si="2"/>
        <v>3.8295835903575783</v>
      </c>
      <c r="H25" s="273">
        <v>4.2299999999999995</v>
      </c>
      <c r="I25" s="338">
        <v>3.8295835903575784E-2</v>
      </c>
      <c r="J25" s="329">
        <v>16631051</v>
      </c>
      <c r="K25" s="1">
        <f t="shared" si="0"/>
        <v>0</v>
      </c>
    </row>
    <row r="26" spans="1:11" ht="14.1" customHeight="1" x14ac:dyDescent="0.2">
      <c r="A26" s="15" t="s">
        <v>116</v>
      </c>
      <c r="B26" s="16">
        <f>'- 3 -'!B24</f>
        <v>58585118</v>
      </c>
      <c r="C26" s="16">
        <v>379170</v>
      </c>
      <c r="D26" s="16">
        <v>-345395</v>
      </c>
      <c r="E26" s="16">
        <f t="shared" si="1"/>
        <v>58618893</v>
      </c>
      <c r="F26" s="16">
        <f>'- 56 -'!D25</f>
        <v>1992100</v>
      </c>
      <c r="G26" s="267">
        <f t="shared" si="2"/>
        <v>3.3983923920228247</v>
      </c>
      <c r="H26" s="267">
        <v>3.71</v>
      </c>
      <c r="I26" s="339">
        <v>3.3983923920228247E-2</v>
      </c>
      <c r="J26" s="330">
        <v>58618893</v>
      </c>
      <c r="K26" s="1">
        <f t="shared" si="0"/>
        <v>0</v>
      </c>
    </row>
    <row r="27" spans="1:11" ht="14.1" customHeight="1" x14ac:dyDescent="0.2">
      <c r="A27" s="271" t="s">
        <v>117</v>
      </c>
      <c r="B27" s="272">
        <f>'- 3 -'!B25</f>
        <v>182869472</v>
      </c>
      <c r="C27" s="272">
        <v>1151218</v>
      </c>
      <c r="D27" s="272">
        <v>-649076</v>
      </c>
      <c r="E27" s="272">
        <f t="shared" si="1"/>
        <v>183371614</v>
      </c>
      <c r="F27" s="272">
        <f>'- 56 -'!D26</f>
        <v>5327375</v>
      </c>
      <c r="G27" s="273">
        <f t="shared" si="2"/>
        <v>2.9052342856075857</v>
      </c>
      <c r="H27" s="273">
        <v>3.5000000000000004</v>
      </c>
      <c r="I27" s="338">
        <v>2.9052342856075858E-2</v>
      </c>
      <c r="J27" s="329">
        <v>183371614</v>
      </c>
      <c r="K27" s="1">
        <f t="shared" si="0"/>
        <v>0</v>
      </c>
    </row>
    <row r="28" spans="1:11" ht="14.1" customHeight="1" x14ac:dyDescent="0.2">
      <c r="A28" s="15" t="s">
        <v>118</v>
      </c>
      <c r="B28" s="16">
        <f>'- 3 -'!B26</f>
        <v>41176957</v>
      </c>
      <c r="C28" s="16">
        <v>1010322</v>
      </c>
      <c r="D28" s="16">
        <v>0</v>
      </c>
      <c r="E28" s="16">
        <f t="shared" si="1"/>
        <v>42187279</v>
      </c>
      <c r="F28" s="16">
        <f>'- 56 -'!D27</f>
        <v>1421860</v>
      </c>
      <c r="G28" s="267">
        <f t="shared" si="2"/>
        <v>3.3703524704686454</v>
      </c>
      <c r="H28" s="267">
        <v>3.8699999999999997</v>
      </c>
      <c r="I28" s="339">
        <v>3.3703524704686454E-2</v>
      </c>
      <c r="J28" s="330">
        <v>42187279</v>
      </c>
      <c r="K28" s="1">
        <f t="shared" si="0"/>
        <v>0</v>
      </c>
    </row>
    <row r="29" spans="1:11" ht="14.1" customHeight="1" x14ac:dyDescent="0.2">
      <c r="A29" s="271" t="s">
        <v>119</v>
      </c>
      <c r="B29" s="272">
        <f>'- 3 -'!B27</f>
        <v>44055724</v>
      </c>
      <c r="C29" s="272">
        <v>40000</v>
      </c>
      <c r="D29" s="272">
        <v>0</v>
      </c>
      <c r="E29" s="272">
        <f t="shared" si="1"/>
        <v>44095724</v>
      </c>
      <c r="F29" s="272">
        <f>'- 56 -'!D28</f>
        <v>1937277</v>
      </c>
      <c r="G29" s="273">
        <f t="shared" si="2"/>
        <v>4.3933443523911748</v>
      </c>
      <c r="H29" s="273">
        <v>5</v>
      </c>
      <c r="I29" s="338">
        <v>4.393344352391175E-2</v>
      </c>
      <c r="J29" s="329">
        <v>44095724</v>
      </c>
      <c r="K29" s="1">
        <f t="shared" si="0"/>
        <v>0</v>
      </c>
    </row>
    <row r="30" spans="1:11" ht="14.1" customHeight="1" x14ac:dyDescent="0.2">
      <c r="A30" s="15" t="s">
        <v>120</v>
      </c>
      <c r="B30" s="16">
        <f>'- 3 -'!B28</f>
        <v>29045981</v>
      </c>
      <c r="C30" s="16">
        <v>135000</v>
      </c>
      <c r="D30" s="16">
        <v>-175412</v>
      </c>
      <c r="E30" s="16">
        <f t="shared" si="1"/>
        <v>29005569</v>
      </c>
      <c r="F30" s="16">
        <f>'- 56 -'!D29</f>
        <v>963163</v>
      </c>
      <c r="G30" s="267">
        <f t="shared" si="2"/>
        <v>3.3206140517360652</v>
      </c>
      <c r="H30" s="267">
        <v>4.07</v>
      </c>
      <c r="I30" s="339">
        <v>3.3206140517360649E-2</v>
      </c>
      <c r="J30" s="330">
        <v>29005569</v>
      </c>
      <c r="K30" s="1">
        <f t="shared" si="0"/>
        <v>0</v>
      </c>
    </row>
    <row r="31" spans="1:11" ht="14.1" customHeight="1" x14ac:dyDescent="0.2">
      <c r="A31" s="271" t="s">
        <v>121</v>
      </c>
      <c r="B31" s="272">
        <f>'- 3 -'!B29</f>
        <v>166420961</v>
      </c>
      <c r="C31" s="272">
        <v>2131500</v>
      </c>
      <c r="D31" s="272">
        <v>0</v>
      </c>
      <c r="E31" s="272">
        <f t="shared" si="1"/>
        <v>168552461</v>
      </c>
      <c r="F31" s="272">
        <f>'- 56 -'!D30</f>
        <v>4883474</v>
      </c>
      <c r="G31" s="273">
        <f t="shared" si="2"/>
        <v>2.8973021046545266</v>
      </c>
      <c r="H31" s="273">
        <v>3.5000000000000004</v>
      </c>
      <c r="I31" s="338">
        <v>2.8973021046545266E-2</v>
      </c>
      <c r="J31" s="329">
        <v>168552461</v>
      </c>
      <c r="K31" s="1">
        <f t="shared" si="0"/>
        <v>0</v>
      </c>
    </row>
    <row r="32" spans="1:11" ht="14.1" customHeight="1" x14ac:dyDescent="0.2">
      <c r="A32" s="15" t="s">
        <v>122</v>
      </c>
      <c r="B32" s="16">
        <f>'- 3 -'!B30</f>
        <v>15188554</v>
      </c>
      <c r="C32" s="16">
        <v>346494</v>
      </c>
      <c r="D32" s="16">
        <v>0</v>
      </c>
      <c r="E32" s="16">
        <f t="shared" si="1"/>
        <v>15535048</v>
      </c>
      <c r="F32" s="16">
        <f>'- 56 -'!D31</f>
        <v>532991</v>
      </c>
      <c r="G32" s="267">
        <f t="shared" si="2"/>
        <v>3.4308938086319398</v>
      </c>
      <c r="H32" s="267">
        <v>4.25</v>
      </c>
      <c r="I32" s="339">
        <v>3.43089380863194E-2</v>
      </c>
      <c r="J32" s="330">
        <v>15535048</v>
      </c>
      <c r="K32" s="1">
        <f t="shared" si="0"/>
        <v>0</v>
      </c>
    </row>
    <row r="33" spans="1:11" ht="14.1" customHeight="1" x14ac:dyDescent="0.2">
      <c r="A33" s="271" t="s">
        <v>123</v>
      </c>
      <c r="B33" s="272">
        <f>'- 3 -'!B31</f>
        <v>38330000</v>
      </c>
      <c r="C33" s="272">
        <v>920000</v>
      </c>
      <c r="D33" s="272">
        <v>0</v>
      </c>
      <c r="E33" s="272">
        <f t="shared" si="1"/>
        <v>39250000</v>
      </c>
      <c r="F33" s="272">
        <f>'- 56 -'!D32</f>
        <v>1258392</v>
      </c>
      <c r="G33" s="273">
        <f t="shared" si="2"/>
        <v>3.2060942675159234</v>
      </c>
      <c r="H33" s="273">
        <v>3.82</v>
      </c>
      <c r="I33" s="338">
        <v>3.2060942675159236E-2</v>
      </c>
      <c r="J33" s="329">
        <v>39250000</v>
      </c>
      <c r="K33" s="1">
        <f t="shared" si="0"/>
        <v>0</v>
      </c>
    </row>
    <row r="34" spans="1:11" ht="14.1" customHeight="1" x14ac:dyDescent="0.2">
      <c r="A34" s="15" t="s">
        <v>124</v>
      </c>
      <c r="B34" s="16">
        <f>'- 3 -'!B32</f>
        <v>31549688</v>
      </c>
      <c r="C34" s="16">
        <v>413600</v>
      </c>
      <c r="D34" s="16">
        <v>-278728</v>
      </c>
      <c r="E34" s="16">
        <f t="shared" si="1"/>
        <v>31684560</v>
      </c>
      <c r="F34" s="16">
        <f>'- 56 -'!D33</f>
        <v>1094605</v>
      </c>
      <c r="G34" s="267">
        <f t="shared" si="2"/>
        <v>3.4546952837596607</v>
      </c>
      <c r="H34" s="267">
        <v>4.0199999999999996</v>
      </c>
      <c r="I34" s="339">
        <v>3.4546952837596609E-2</v>
      </c>
      <c r="J34" s="330">
        <v>31684560</v>
      </c>
      <c r="K34" s="1">
        <f t="shared" si="0"/>
        <v>0</v>
      </c>
    </row>
    <row r="35" spans="1:11" ht="14.1" customHeight="1" x14ac:dyDescent="0.2">
      <c r="A35" s="271" t="s">
        <v>125</v>
      </c>
      <c r="B35" s="272">
        <f>'- 3 -'!B33</f>
        <v>28470600</v>
      </c>
      <c r="C35" s="272">
        <v>384327</v>
      </c>
      <c r="D35" s="272">
        <v>0</v>
      </c>
      <c r="E35" s="272">
        <f t="shared" si="1"/>
        <v>28854927</v>
      </c>
      <c r="F35" s="272">
        <f>'- 56 -'!D34</f>
        <v>877400</v>
      </c>
      <c r="G35" s="273">
        <f t="shared" si="2"/>
        <v>3.0407285383186036</v>
      </c>
      <c r="H35" s="273">
        <v>4.07</v>
      </c>
      <c r="I35" s="338">
        <v>3.0407285383186034E-2</v>
      </c>
      <c r="J35" s="329">
        <v>28854927</v>
      </c>
      <c r="K35" s="1">
        <f t="shared" si="0"/>
        <v>0</v>
      </c>
    </row>
    <row r="36" spans="1:11" ht="14.1" customHeight="1" x14ac:dyDescent="0.2">
      <c r="A36" s="15" t="s">
        <v>126</v>
      </c>
      <c r="B36" s="16">
        <f>'- 3 -'!B34</f>
        <v>31173730</v>
      </c>
      <c r="C36" s="16">
        <v>507076</v>
      </c>
      <c r="D36" s="16">
        <v>0</v>
      </c>
      <c r="E36" s="16">
        <f t="shared" si="1"/>
        <v>31680806</v>
      </c>
      <c r="F36" s="16">
        <f>'- 56 -'!D35</f>
        <v>1176387</v>
      </c>
      <c r="G36" s="267">
        <f t="shared" si="2"/>
        <v>3.7132483308663295</v>
      </c>
      <c r="H36" s="267">
        <v>4.05</v>
      </c>
      <c r="I36" s="339">
        <v>3.7132483308663297E-2</v>
      </c>
      <c r="J36" s="330">
        <v>31680806</v>
      </c>
      <c r="K36" s="1">
        <f t="shared" si="0"/>
        <v>0</v>
      </c>
    </row>
    <row r="37" spans="1:11" ht="14.1" customHeight="1" x14ac:dyDescent="0.2">
      <c r="A37" s="271" t="s">
        <v>127</v>
      </c>
      <c r="B37" s="272">
        <f>'- 3 -'!B35</f>
        <v>185266359</v>
      </c>
      <c r="C37" s="272">
        <v>2420085</v>
      </c>
      <c r="D37" s="272">
        <v>0</v>
      </c>
      <c r="E37" s="272">
        <f t="shared" si="1"/>
        <v>187686444</v>
      </c>
      <c r="F37" s="272">
        <f>'- 56 -'!D36</f>
        <v>4928274</v>
      </c>
      <c r="G37" s="273">
        <f t="shared" si="2"/>
        <v>2.6258017867289341</v>
      </c>
      <c r="H37" s="273">
        <v>3.5000000000000004</v>
      </c>
      <c r="I37" s="338">
        <v>2.6258017867289339E-2</v>
      </c>
      <c r="J37" s="329">
        <v>187686444</v>
      </c>
      <c r="K37" s="1">
        <f t="shared" si="0"/>
        <v>0</v>
      </c>
    </row>
    <row r="38" spans="1:11" ht="14.1" customHeight="1" x14ac:dyDescent="0.2">
      <c r="A38" s="15" t="s">
        <v>128</v>
      </c>
      <c r="B38" s="16">
        <f>'- 3 -'!B36</f>
        <v>24362755</v>
      </c>
      <c r="C38" s="16">
        <v>165000</v>
      </c>
      <c r="D38" s="16">
        <v>0</v>
      </c>
      <c r="E38" s="16">
        <f t="shared" si="1"/>
        <v>24527755</v>
      </c>
      <c r="F38" s="16">
        <f>'- 56 -'!D37</f>
        <v>938575</v>
      </c>
      <c r="G38" s="267">
        <f t="shared" si="2"/>
        <v>3.8265833950151573</v>
      </c>
      <c r="H38" s="267">
        <v>4.12</v>
      </c>
      <c r="I38" s="339">
        <v>3.8265833950151575E-2</v>
      </c>
      <c r="J38" s="330">
        <v>24527755</v>
      </c>
      <c r="K38" s="1">
        <f t="shared" si="0"/>
        <v>0</v>
      </c>
    </row>
    <row r="39" spans="1:11" ht="14.1" customHeight="1" x14ac:dyDescent="0.2">
      <c r="A39" s="271" t="s">
        <v>129</v>
      </c>
      <c r="B39" s="272">
        <f>'- 3 -'!B37</f>
        <v>52571000</v>
      </c>
      <c r="C39" s="272">
        <v>833000</v>
      </c>
      <c r="D39" s="272">
        <v>0</v>
      </c>
      <c r="E39" s="272">
        <f t="shared" si="1"/>
        <v>53404000</v>
      </c>
      <c r="F39" s="272">
        <f>'- 56 -'!D38</f>
        <v>1718500</v>
      </c>
      <c r="G39" s="273">
        <f t="shared" si="2"/>
        <v>3.2179237510298853</v>
      </c>
      <c r="H39" s="273">
        <v>3.64</v>
      </c>
      <c r="I39" s="338">
        <v>3.2179237510298851E-2</v>
      </c>
      <c r="J39" s="329">
        <v>53404000</v>
      </c>
      <c r="K39" s="1">
        <f t="shared" si="0"/>
        <v>0</v>
      </c>
    </row>
    <row r="40" spans="1:11" ht="14.1" customHeight="1" x14ac:dyDescent="0.2">
      <c r="A40" s="15" t="s">
        <v>130</v>
      </c>
      <c r="B40" s="16">
        <f>'- 3 -'!B38</f>
        <v>142447460</v>
      </c>
      <c r="C40" s="16">
        <v>2395200</v>
      </c>
      <c r="D40" s="16">
        <v>-939200</v>
      </c>
      <c r="E40" s="16">
        <f t="shared" si="1"/>
        <v>143903460</v>
      </c>
      <c r="F40" s="16">
        <f>'- 56 -'!D39</f>
        <v>4074830</v>
      </c>
      <c r="G40" s="267">
        <f t="shared" si="2"/>
        <v>2.8316414351677159</v>
      </c>
      <c r="H40" s="267">
        <v>3.5000000000000004</v>
      </c>
      <c r="I40" s="339">
        <v>2.8316414351677158E-2</v>
      </c>
      <c r="J40" s="330">
        <v>143903460</v>
      </c>
      <c r="K40" s="1">
        <f t="shared" si="0"/>
        <v>0</v>
      </c>
    </row>
    <row r="41" spans="1:11" ht="14.1" customHeight="1" x14ac:dyDescent="0.2">
      <c r="A41" s="271" t="s">
        <v>131</v>
      </c>
      <c r="B41" s="272">
        <f>'- 3 -'!B39</f>
        <v>23475550</v>
      </c>
      <c r="C41" s="272">
        <v>0</v>
      </c>
      <c r="D41" s="272">
        <v>0</v>
      </c>
      <c r="E41" s="272">
        <f t="shared" si="1"/>
        <v>23475550</v>
      </c>
      <c r="F41" s="272">
        <f>'- 56 -'!D40</f>
        <v>952400</v>
      </c>
      <c r="G41" s="273">
        <f t="shared" si="2"/>
        <v>4.0569869502524964</v>
      </c>
      <c r="H41" s="273">
        <v>4.1500000000000004</v>
      </c>
      <c r="I41" s="338">
        <v>4.0569869502524968E-2</v>
      </c>
      <c r="J41" s="329">
        <v>23475550</v>
      </c>
      <c r="K41" s="1">
        <f t="shared" si="0"/>
        <v>0</v>
      </c>
    </row>
    <row r="42" spans="1:11" ht="14.1" customHeight="1" x14ac:dyDescent="0.2">
      <c r="A42" s="15" t="s">
        <v>132</v>
      </c>
      <c r="B42" s="16">
        <f>'- 3 -'!B40</f>
        <v>108289892</v>
      </c>
      <c r="C42" s="16">
        <v>1261879</v>
      </c>
      <c r="D42" s="16">
        <v>0</v>
      </c>
      <c r="E42" s="16">
        <f t="shared" si="1"/>
        <v>109551771</v>
      </c>
      <c r="F42" s="16">
        <f>'- 56 -'!D41</f>
        <v>3426298</v>
      </c>
      <c r="G42" s="267">
        <f t="shared" si="2"/>
        <v>3.1275605759034235</v>
      </c>
      <c r="H42" s="267">
        <v>3.5000000000000004</v>
      </c>
      <c r="I42" s="339">
        <v>3.1275605759034236E-2</v>
      </c>
      <c r="J42" s="330">
        <v>109551771</v>
      </c>
      <c r="K42" s="1">
        <f t="shared" si="0"/>
        <v>0</v>
      </c>
    </row>
    <row r="43" spans="1:11" ht="14.1" customHeight="1" x14ac:dyDescent="0.2">
      <c r="A43" s="271" t="s">
        <v>133</v>
      </c>
      <c r="B43" s="272">
        <f>'- 3 -'!B41</f>
        <v>65309095</v>
      </c>
      <c r="C43" s="272">
        <v>1430000</v>
      </c>
      <c r="D43" s="272">
        <v>-1012673</v>
      </c>
      <c r="E43" s="272">
        <f t="shared" si="1"/>
        <v>65726422</v>
      </c>
      <c r="F43" s="272">
        <f>'- 56 -'!D42</f>
        <v>2356808</v>
      </c>
      <c r="G43" s="273">
        <f t="shared" si="2"/>
        <v>3.5857847244446082</v>
      </c>
      <c r="H43" s="273">
        <v>3.61</v>
      </c>
      <c r="I43" s="338">
        <v>3.585784724444608E-2</v>
      </c>
      <c r="J43" s="329">
        <v>65726422</v>
      </c>
      <c r="K43" s="1">
        <f t="shared" si="0"/>
        <v>0</v>
      </c>
    </row>
    <row r="44" spans="1:11" ht="14.1" customHeight="1" x14ac:dyDescent="0.2">
      <c r="A44" s="15" t="s">
        <v>134</v>
      </c>
      <c r="B44" s="16">
        <f>'- 3 -'!B42</f>
        <v>21515516</v>
      </c>
      <c r="C44" s="16">
        <v>45000</v>
      </c>
      <c r="D44" s="16">
        <v>0</v>
      </c>
      <c r="E44" s="16">
        <f t="shared" si="1"/>
        <v>21560516</v>
      </c>
      <c r="F44" s="16">
        <f>'- 56 -'!D43</f>
        <v>830274</v>
      </c>
      <c r="G44" s="267">
        <f t="shared" si="2"/>
        <v>3.8509004144427714</v>
      </c>
      <c r="H44" s="267">
        <v>4.18</v>
      </c>
      <c r="I44" s="339">
        <v>3.8509004144427712E-2</v>
      </c>
      <c r="J44" s="330">
        <v>21560516</v>
      </c>
      <c r="K44" s="1">
        <f t="shared" si="0"/>
        <v>0</v>
      </c>
    </row>
    <row r="45" spans="1:11" ht="14.1" customHeight="1" x14ac:dyDescent="0.2">
      <c r="A45" s="271" t="s">
        <v>135</v>
      </c>
      <c r="B45" s="272">
        <f>'- 3 -'!B43</f>
        <v>13695206</v>
      </c>
      <c r="C45" s="272">
        <v>0</v>
      </c>
      <c r="D45" s="272">
        <v>-230495</v>
      </c>
      <c r="E45" s="272">
        <f t="shared" si="1"/>
        <v>13464711</v>
      </c>
      <c r="F45" s="272">
        <f>'- 56 -'!D44</f>
        <v>564800</v>
      </c>
      <c r="G45" s="273">
        <f t="shared" si="2"/>
        <v>4.1946685673387272</v>
      </c>
      <c r="H45" s="273">
        <v>4.25</v>
      </c>
      <c r="I45" s="338">
        <v>4.1946685673387274E-2</v>
      </c>
      <c r="J45" s="329">
        <v>13464711</v>
      </c>
      <c r="K45" s="1">
        <f t="shared" si="0"/>
        <v>0</v>
      </c>
    </row>
    <row r="46" spans="1:11" ht="14.1" customHeight="1" x14ac:dyDescent="0.2">
      <c r="A46" s="15" t="s">
        <v>136</v>
      </c>
      <c r="B46" s="16">
        <f>'- 3 -'!B44</f>
        <v>11463366</v>
      </c>
      <c r="C46" s="16">
        <v>0</v>
      </c>
      <c r="D46" s="16">
        <v>0</v>
      </c>
      <c r="E46" s="16">
        <f t="shared" si="1"/>
        <v>11463366</v>
      </c>
      <c r="F46" s="16">
        <f>'- 56 -'!D45</f>
        <v>410299</v>
      </c>
      <c r="G46" s="267">
        <f t="shared" si="2"/>
        <v>3.5792192275811487</v>
      </c>
      <c r="H46" s="267">
        <v>4.25</v>
      </c>
      <c r="I46" s="339">
        <v>3.5792192275811485E-2</v>
      </c>
      <c r="J46" s="330">
        <v>11463366</v>
      </c>
      <c r="K46" s="1">
        <f t="shared" si="0"/>
        <v>0</v>
      </c>
    </row>
    <row r="47" spans="1:11" ht="14.1" customHeight="1" x14ac:dyDescent="0.2">
      <c r="A47" s="271" t="s">
        <v>137</v>
      </c>
      <c r="B47" s="272">
        <f>'- 3 -'!B45</f>
        <v>20489337</v>
      </c>
      <c r="C47" s="272">
        <v>90000</v>
      </c>
      <c r="D47" s="272">
        <v>-406633</v>
      </c>
      <c r="E47" s="272">
        <f>SUM(B47:D47)</f>
        <v>20172704</v>
      </c>
      <c r="F47" s="272">
        <f>'- 56 -'!D46</f>
        <v>827881</v>
      </c>
      <c r="G47" s="273">
        <f t="shared" si="2"/>
        <v>4.1039664290915088</v>
      </c>
      <c r="H47" s="273">
        <v>4.1099999999999994</v>
      </c>
      <c r="I47" s="338">
        <v>4.1039664290915087E-2</v>
      </c>
      <c r="J47" s="329">
        <v>20172704</v>
      </c>
      <c r="K47" s="1">
        <f t="shared" si="0"/>
        <v>0</v>
      </c>
    </row>
    <row r="48" spans="1:11" ht="14.1" customHeight="1" x14ac:dyDescent="0.2">
      <c r="A48" s="15" t="s">
        <v>138</v>
      </c>
      <c r="B48" s="16">
        <f>'- 3 -'!B46</f>
        <v>405049500</v>
      </c>
      <c r="C48" s="16">
        <v>1544700</v>
      </c>
      <c r="D48" s="16">
        <v>-781400</v>
      </c>
      <c r="E48" s="16">
        <f t="shared" si="1"/>
        <v>405812800</v>
      </c>
      <c r="F48" s="16">
        <f>'- 56 -'!D47</f>
        <v>11841600</v>
      </c>
      <c r="G48" s="267">
        <f t="shared" si="2"/>
        <v>2.9179956866811496</v>
      </c>
      <c r="H48" s="267">
        <v>3.5000000000000004</v>
      </c>
      <c r="I48" s="339">
        <v>2.9179956866811494E-2</v>
      </c>
      <c r="J48" s="330">
        <v>405812800</v>
      </c>
      <c r="K48" s="1">
        <f t="shared" si="0"/>
        <v>0</v>
      </c>
    </row>
    <row r="49" spans="1:11" ht="5.0999999999999996" customHeight="1" x14ac:dyDescent="0.2">
      <c r="A49"/>
      <c r="B49"/>
      <c r="C49"/>
      <c r="D49"/>
      <c r="E49"/>
      <c r="F49"/>
      <c r="G49" s="506"/>
      <c r="H49"/>
      <c r="I49" s="341"/>
      <c r="J49" s="331"/>
    </row>
    <row r="50" spans="1:11" ht="14.45" customHeight="1" x14ac:dyDescent="0.2">
      <c r="A50" s="274" t="s">
        <v>139</v>
      </c>
      <c r="B50" s="275">
        <f>SUM(B13:B48)</f>
        <v>2164397086</v>
      </c>
      <c r="C50" s="275">
        <f>SUM(C13:C48)</f>
        <v>21444165</v>
      </c>
      <c r="D50" s="275">
        <f>SUM(D13:D48)</f>
        <v>-6488053</v>
      </c>
      <c r="E50" s="275">
        <f>SUM(E13:E48)</f>
        <v>2179353198</v>
      </c>
      <c r="F50" s="275">
        <f>SUM(F13:F48)</f>
        <v>68418825</v>
      </c>
      <c r="G50" s="276">
        <f>F50/E50*100</f>
        <v>3.139409668097314</v>
      </c>
      <c r="H50" s="507" t="s">
        <v>84</v>
      </c>
      <c r="I50" s="342"/>
      <c r="J50" s="343">
        <f>SUM(J13:J48)</f>
        <v>2179353198</v>
      </c>
      <c r="K50" s="1">
        <f>J50-E50</f>
        <v>0</v>
      </c>
    </row>
    <row r="51" spans="1:11" ht="5.0999999999999996" customHeight="1" x14ac:dyDescent="0.2">
      <c r="A51" s="17" t="s">
        <v>1</v>
      </c>
      <c r="B51" s="18"/>
      <c r="C51" s="18"/>
      <c r="D51" s="18"/>
      <c r="E51" s="18"/>
      <c r="F51" s="18"/>
      <c r="G51" s="266"/>
      <c r="H51" s="266"/>
      <c r="I51" s="341"/>
      <c r="J51" s="333"/>
    </row>
    <row r="52" spans="1:11" ht="14.45" customHeight="1" x14ac:dyDescent="0.2">
      <c r="A52" s="15" t="s">
        <v>140</v>
      </c>
      <c r="B52" s="16"/>
      <c r="C52" s="16"/>
      <c r="D52" s="16"/>
      <c r="E52" s="16"/>
      <c r="F52" s="16"/>
      <c r="G52" s="334" t="s">
        <v>84</v>
      </c>
      <c r="H52" s="334" t="s">
        <v>84</v>
      </c>
      <c r="I52" s="339">
        <v>5.057055541536995E-2</v>
      </c>
      <c r="J52" s="330">
        <v>3566700</v>
      </c>
    </row>
    <row r="53" spans="1:11" ht="14.45" customHeight="1" x14ac:dyDescent="0.2">
      <c r="A53" s="360" t="s">
        <v>516</v>
      </c>
      <c r="B53" s="272"/>
      <c r="C53" s="272"/>
      <c r="D53" s="272"/>
      <c r="E53" s="272"/>
      <c r="F53" s="272"/>
      <c r="G53" s="335" t="s">
        <v>84</v>
      </c>
      <c r="H53" s="335" t="s">
        <v>84</v>
      </c>
      <c r="I53" s="246"/>
      <c r="J53" s="240"/>
    </row>
    <row r="54" spans="1:11" ht="49.5" customHeight="1" x14ac:dyDescent="0.2">
      <c r="A54" s="19"/>
      <c r="B54" s="19"/>
      <c r="C54" s="19"/>
      <c r="D54" s="19"/>
      <c r="E54" s="19"/>
      <c r="F54" s="19"/>
      <c r="G54" s="19"/>
      <c r="H54" s="19"/>
    </row>
    <row r="55" spans="1:11" ht="14.45" customHeight="1" x14ac:dyDescent="0.2">
      <c r="A55" s="760" t="s">
        <v>501</v>
      </c>
      <c r="B55" s="760"/>
      <c r="C55" s="760"/>
      <c r="D55" s="760"/>
      <c r="E55" s="760"/>
      <c r="F55" s="760"/>
      <c r="G55" s="760"/>
      <c r="H55" s="760"/>
    </row>
    <row r="56" spans="1:11" ht="12" customHeight="1" x14ac:dyDescent="0.2">
      <c r="A56" s="793"/>
      <c r="B56" s="793"/>
      <c r="C56" s="793"/>
      <c r="D56" s="793"/>
      <c r="E56" s="793"/>
      <c r="F56" s="793"/>
      <c r="G56" s="793"/>
      <c r="H56" s="793"/>
    </row>
    <row r="57" spans="1:11" ht="14.45" customHeight="1" x14ac:dyDescent="0.2">
      <c r="A57" s="31"/>
      <c r="B57" s="31"/>
      <c r="C57" s="31"/>
      <c r="D57" s="31"/>
    </row>
    <row r="58" spans="1:11" ht="14.45" customHeight="1" x14ac:dyDescent="0.2">
      <c r="A58" s="31"/>
      <c r="B58" s="31"/>
      <c r="C58" s="31"/>
      <c r="D58" s="31"/>
    </row>
    <row r="59" spans="1:11" ht="14.45" customHeight="1" x14ac:dyDescent="0.2">
      <c r="A59" s="31"/>
      <c r="B59" s="31"/>
      <c r="C59" s="31"/>
      <c r="D59" s="31"/>
    </row>
    <row r="60" spans="1:11" x14ac:dyDescent="0.2">
      <c r="A60" s="31"/>
    </row>
  </sheetData>
  <mergeCells count="9">
    <mergeCell ref="B4:H4"/>
    <mergeCell ref="A55:H56"/>
    <mergeCell ref="B8:B11"/>
    <mergeCell ref="C8:C11"/>
    <mergeCell ref="E9:E11"/>
    <mergeCell ref="F8:F11"/>
    <mergeCell ref="H6:H11"/>
    <mergeCell ref="G6:G11"/>
    <mergeCell ref="D7:D11"/>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39">
    <pageSetUpPr autoPageBreaks="0" fitToPage="1"/>
  </sheetPr>
  <dimension ref="A1:BB56"/>
  <sheetViews>
    <sheetView showGridLines="0" showZeros="0" defaultGridColor="0" colorId="22" workbookViewId="0"/>
  </sheetViews>
  <sheetFormatPr defaultColWidth="15.83203125" defaultRowHeight="12" x14ac:dyDescent="0.2"/>
  <cols>
    <col min="1" max="1" width="26.1640625" style="378" bestFit="1" customWidth="1"/>
    <col min="2" max="2" width="15.83203125" style="395" customWidth="1"/>
    <col min="3" max="3" width="13.33203125" style="378" customWidth="1"/>
    <col min="4" max="4" width="13.1640625" style="378" customWidth="1"/>
    <col min="5" max="5" width="16" style="378" customWidth="1"/>
    <col min="6" max="6" width="15.33203125" style="378" customWidth="1"/>
    <col min="7" max="7" width="14.83203125" style="378" customWidth="1"/>
    <col min="8" max="8" width="10.5" style="378" customWidth="1"/>
    <col min="9" max="9" width="13" style="378" customWidth="1"/>
    <col min="10" max="16384" width="15.83203125" style="378"/>
  </cols>
  <sheetData>
    <row r="1" spans="1:54" ht="20.25" x14ac:dyDescent="0.3">
      <c r="A1" s="376"/>
      <c r="B1" s="377"/>
    </row>
    <row r="2" spans="1:54" s="380" customFormat="1" ht="15.95" customHeight="1" x14ac:dyDescent="0.2">
      <c r="A2" s="809" t="s">
        <v>543</v>
      </c>
      <c r="B2" s="810"/>
      <c r="C2" s="810"/>
      <c r="D2" s="810"/>
      <c r="E2" s="810"/>
      <c r="F2" s="810"/>
      <c r="G2" s="810"/>
      <c r="H2" s="810"/>
      <c r="I2" s="379"/>
      <c r="BA2" s="483" t="s">
        <v>507</v>
      </c>
      <c r="BB2" s="483" t="s">
        <v>508</v>
      </c>
    </row>
    <row r="3" spans="1:54" s="380" customFormat="1" ht="15.95" customHeight="1" x14ac:dyDescent="0.2">
      <c r="A3" s="811" t="str">
        <f>IF(Lang=1,BA3,BB3)</f>
        <v>2017/2018 BUDGET</v>
      </c>
      <c r="B3" s="812"/>
      <c r="C3" s="812"/>
      <c r="D3" s="812"/>
      <c r="E3" s="812"/>
      <c r="F3" s="812"/>
      <c r="G3" s="812"/>
      <c r="H3" s="812"/>
      <c r="I3" s="381"/>
      <c r="BA3" s="483" t="str">
        <f>RIGHT(TEXT('- 57 -'!B2,"0"),16)</f>
        <v>2017/2018 BUDGET</v>
      </c>
      <c r="BB3" s="484" t="str">
        <f>"BUDGET "&amp;TEXT(YEAR,"0")&amp;" - "&amp;TEXT(YEAR+1,"0")</f>
        <v>BUDGET 2017 - 2018</v>
      </c>
    </row>
    <row r="4" spans="1:54" x14ac:dyDescent="0.2">
      <c r="B4" s="382"/>
    </row>
    <row r="5" spans="1:54" x14ac:dyDescent="0.2">
      <c r="B5" s="382"/>
    </row>
    <row r="6" spans="1:54" x14ac:dyDescent="0.2">
      <c r="B6" s="378"/>
    </row>
    <row r="7" spans="1:54" x14ac:dyDescent="0.2">
      <c r="B7" s="808"/>
      <c r="C7" s="808"/>
      <c r="D7" s="808"/>
      <c r="E7" s="808"/>
      <c r="F7" s="808"/>
      <c r="G7" s="808"/>
      <c r="H7" s="808"/>
    </row>
    <row r="8" spans="1:54" ht="36" customHeight="1" x14ac:dyDescent="0.2">
      <c r="A8" s="383"/>
      <c r="B8" s="813" t="s">
        <v>297</v>
      </c>
      <c r="C8" s="804" t="s">
        <v>100</v>
      </c>
      <c r="D8" s="805"/>
      <c r="E8" s="814" t="s">
        <v>298</v>
      </c>
      <c r="F8" s="806" t="s">
        <v>299</v>
      </c>
      <c r="G8" s="806" t="s">
        <v>339</v>
      </c>
      <c r="H8" s="806" t="s">
        <v>300</v>
      </c>
      <c r="I8" s="806" t="s">
        <v>13</v>
      </c>
    </row>
    <row r="9" spans="1:54" ht="18.75" customHeight="1" x14ac:dyDescent="0.2">
      <c r="A9" s="384" t="s">
        <v>261</v>
      </c>
      <c r="B9" s="807"/>
      <c r="C9" s="426" t="s">
        <v>340</v>
      </c>
      <c r="D9" s="426" t="s">
        <v>19</v>
      </c>
      <c r="E9" s="807"/>
      <c r="F9" s="807"/>
      <c r="G9" s="807"/>
      <c r="H9" s="807"/>
      <c r="I9" s="807"/>
    </row>
    <row r="10" spans="1:54" ht="3.95" customHeight="1" x14ac:dyDescent="0.2">
      <c r="A10" s="385"/>
      <c r="B10" s="382"/>
    </row>
    <row r="11" spans="1:54" x14ac:dyDescent="0.2">
      <c r="A11" s="386" t="s">
        <v>104</v>
      </c>
      <c r="B11" s="387">
        <v>11.65</v>
      </c>
      <c r="C11" s="387">
        <v>121.92</v>
      </c>
      <c r="D11" s="387">
        <v>56.87</v>
      </c>
      <c r="E11" s="387">
        <v>41.099999999999994</v>
      </c>
      <c r="F11" s="387">
        <v>9.49</v>
      </c>
      <c r="G11" s="387">
        <v>2</v>
      </c>
      <c r="H11" s="387">
        <v>2.25</v>
      </c>
      <c r="I11" s="387">
        <f t="shared" ref="I11:I46" si="0">SUM(B11:H11)</f>
        <v>245.28</v>
      </c>
    </row>
    <row r="12" spans="1:54" x14ac:dyDescent="0.2">
      <c r="A12" s="388" t="s">
        <v>105</v>
      </c>
      <c r="B12" s="389">
        <v>20.25</v>
      </c>
      <c r="C12" s="389">
        <v>178.45999999999998</v>
      </c>
      <c r="D12" s="389">
        <v>116.09</v>
      </c>
      <c r="E12" s="389">
        <v>71.09</v>
      </c>
      <c r="F12" s="389">
        <v>24.830000000000002</v>
      </c>
      <c r="G12" s="389">
        <v>6.2</v>
      </c>
      <c r="H12" s="389">
        <v>5.61</v>
      </c>
      <c r="I12" s="389">
        <f t="shared" si="0"/>
        <v>422.53</v>
      </c>
    </row>
    <row r="13" spans="1:54" x14ac:dyDescent="0.2">
      <c r="A13" s="386" t="s">
        <v>106</v>
      </c>
      <c r="B13" s="387">
        <v>47.75</v>
      </c>
      <c r="C13" s="387">
        <v>626.5</v>
      </c>
      <c r="D13" s="387">
        <v>296.49999999999994</v>
      </c>
      <c r="E13" s="387">
        <v>135.35</v>
      </c>
      <c r="F13" s="387">
        <v>50.35</v>
      </c>
      <c r="G13" s="387">
        <v>27.25</v>
      </c>
      <c r="H13" s="387">
        <v>8</v>
      </c>
      <c r="I13" s="387">
        <f t="shared" si="0"/>
        <v>1191.6999999999998</v>
      </c>
    </row>
    <row r="14" spans="1:54" x14ac:dyDescent="0.2">
      <c r="A14" s="388" t="s">
        <v>315</v>
      </c>
      <c r="B14" s="389">
        <v>61.9</v>
      </c>
      <c r="C14" s="389">
        <v>422.6</v>
      </c>
      <c r="D14" s="389">
        <v>234.3</v>
      </c>
      <c r="E14" s="389">
        <v>68.3</v>
      </c>
      <c r="F14" s="389">
        <v>55.5</v>
      </c>
      <c r="G14" s="389">
        <v>10.6</v>
      </c>
      <c r="H14" s="389">
        <v>8</v>
      </c>
      <c r="I14" s="389">
        <f t="shared" si="0"/>
        <v>861.19999999999993</v>
      </c>
    </row>
    <row r="15" spans="1:54" x14ac:dyDescent="0.2">
      <c r="A15" s="386" t="s">
        <v>107</v>
      </c>
      <c r="B15" s="387">
        <v>12.900000000000002</v>
      </c>
      <c r="C15" s="387">
        <v>100.15</v>
      </c>
      <c r="D15" s="387">
        <v>64.83</v>
      </c>
      <c r="E15" s="387">
        <v>36.950000000000003</v>
      </c>
      <c r="F15" s="387">
        <v>13.55</v>
      </c>
      <c r="G15" s="387">
        <v>2</v>
      </c>
      <c r="H15" s="387">
        <v>2</v>
      </c>
      <c r="I15" s="387">
        <f t="shared" si="0"/>
        <v>232.38</v>
      </c>
    </row>
    <row r="16" spans="1:54" x14ac:dyDescent="0.2">
      <c r="A16" s="388" t="s">
        <v>108</v>
      </c>
      <c r="B16" s="389">
        <v>10.17</v>
      </c>
      <c r="C16" s="389">
        <v>70.789999999999992</v>
      </c>
      <c r="D16" s="389">
        <v>32.5</v>
      </c>
      <c r="E16" s="389">
        <v>26.33</v>
      </c>
      <c r="F16" s="389">
        <v>8.9400000000000013</v>
      </c>
      <c r="G16" s="389">
        <v>2.7</v>
      </c>
      <c r="H16" s="389">
        <v>0.67</v>
      </c>
      <c r="I16" s="389">
        <f t="shared" si="0"/>
        <v>152.09999999999997</v>
      </c>
    </row>
    <row r="17" spans="1:9" x14ac:dyDescent="0.2">
      <c r="A17" s="386" t="s">
        <v>262</v>
      </c>
      <c r="B17" s="387">
        <v>11</v>
      </c>
      <c r="C17" s="387">
        <v>100.9</v>
      </c>
      <c r="D17" s="387">
        <v>51.72</v>
      </c>
      <c r="E17" s="387">
        <v>50.8</v>
      </c>
      <c r="F17" s="387">
        <v>13.53</v>
      </c>
      <c r="G17" s="387">
        <v>3</v>
      </c>
      <c r="H17" s="387">
        <v>2</v>
      </c>
      <c r="I17" s="387">
        <f t="shared" si="0"/>
        <v>232.95000000000002</v>
      </c>
    </row>
    <row r="18" spans="1:9" x14ac:dyDescent="0.2">
      <c r="A18" s="388" t="s">
        <v>263</v>
      </c>
      <c r="B18" s="389">
        <v>69.680000000000007</v>
      </c>
      <c r="C18" s="389">
        <v>459.24</v>
      </c>
      <c r="D18" s="389">
        <v>451.6</v>
      </c>
      <c r="E18" s="389">
        <v>288.93</v>
      </c>
      <c r="F18" s="389">
        <v>69.22</v>
      </c>
      <c r="G18" s="389">
        <v>15.27</v>
      </c>
      <c r="H18" s="389">
        <v>10</v>
      </c>
      <c r="I18" s="389">
        <f t="shared" si="0"/>
        <v>1363.94</v>
      </c>
    </row>
    <row r="19" spans="1:9" x14ac:dyDescent="0.2">
      <c r="A19" s="386" t="s">
        <v>264</v>
      </c>
      <c r="B19" s="387">
        <v>21.000000000000004</v>
      </c>
      <c r="C19" s="387">
        <v>278.76</v>
      </c>
      <c r="D19" s="387">
        <v>170.92000000000002</v>
      </c>
      <c r="E19" s="387">
        <v>118.562</v>
      </c>
      <c r="F19" s="387">
        <v>19</v>
      </c>
      <c r="G19" s="387">
        <v>11</v>
      </c>
      <c r="H19" s="387">
        <v>8</v>
      </c>
      <c r="I19" s="387">
        <f t="shared" si="0"/>
        <v>627.24199999999996</v>
      </c>
    </row>
    <row r="20" spans="1:9" x14ac:dyDescent="0.2">
      <c r="A20" s="388" t="s">
        <v>265</v>
      </c>
      <c r="B20" s="389">
        <v>42.615000000000009</v>
      </c>
      <c r="C20" s="389">
        <v>510.13</v>
      </c>
      <c r="D20" s="389">
        <v>156.70999999999998</v>
      </c>
      <c r="E20" s="389">
        <v>212.07999999999998</v>
      </c>
      <c r="F20" s="389">
        <v>71.058999999999997</v>
      </c>
      <c r="G20" s="389">
        <v>18.600000000000001</v>
      </c>
      <c r="H20" s="389">
        <v>11.33</v>
      </c>
      <c r="I20" s="389">
        <f t="shared" si="0"/>
        <v>1022.5239999999999</v>
      </c>
    </row>
    <row r="21" spans="1:9" x14ac:dyDescent="0.2">
      <c r="A21" s="386" t="s">
        <v>266</v>
      </c>
      <c r="B21" s="387">
        <v>22.75</v>
      </c>
      <c r="C21" s="387">
        <v>213.07999999999998</v>
      </c>
      <c r="D21" s="387">
        <v>104.3</v>
      </c>
      <c r="E21" s="387">
        <v>72.03</v>
      </c>
      <c r="F21" s="387">
        <v>24.25</v>
      </c>
      <c r="G21" s="387">
        <v>7.75</v>
      </c>
      <c r="H21" s="387">
        <v>6</v>
      </c>
      <c r="I21" s="387">
        <f t="shared" si="0"/>
        <v>450.15999999999997</v>
      </c>
    </row>
    <row r="22" spans="1:9" x14ac:dyDescent="0.2">
      <c r="A22" s="388" t="s">
        <v>267</v>
      </c>
      <c r="B22" s="389">
        <v>11.45</v>
      </c>
      <c r="C22" s="389">
        <v>119.5</v>
      </c>
      <c r="D22" s="389">
        <v>57</v>
      </c>
      <c r="E22" s="389">
        <v>30.75</v>
      </c>
      <c r="F22" s="389">
        <v>16.64</v>
      </c>
      <c r="G22" s="389">
        <v>3</v>
      </c>
      <c r="H22" s="389">
        <v>2.5</v>
      </c>
      <c r="I22" s="389">
        <f t="shared" si="0"/>
        <v>240.83999999999997</v>
      </c>
    </row>
    <row r="23" spans="1:9" x14ac:dyDescent="0.2">
      <c r="A23" s="386" t="s">
        <v>268</v>
      </c>
      <c r="B23" s="387">
        <v>11.5</v>
      </c>
      <c r="C23" s="387">
        <v>85.25</v>
      </c>
      <c r="D23" s="387">
        <v>61</v>
      </c>
      <c r="E23" s="387">
        <v>34</v>
      </c>
      <c r="F23" s="387">
        <v>9.5</v>
      </c>
      <c r="G23" s="387">
        <v>4.5</v>
      </c>
      <c r="H23" s="387">
        <v>2</v>
      </c>
      <c r="I23" s="387">
        <f t="shared" si="0"/>
        <v>207.75</v>
      </c>
    </row>
    <row r="24" spans="1:9" x14ac:dyDescent="0.2">
      <c r="A24" s="388" t="s">
        <v>269</v>
      </c>
      <c r="B24" s="389">
        <v>30</v>
      </c>
      <c r="C24" s="389">
        <v>303.5</v>
      </c>
      <c r="D24" s="389">
        <v>181.63</v>
      </c>
      <c r="E24" s="389">
        <v>120.16999999999999</v>
      </c>
      <c r="F24" s="389">
        <v>33.5</v>
      </c>
      <c r="G24" s="389">
        <v>16.5</v>
      </c>
      <c r="H24" s="389">
        <v>10</v>
      </c>
      <c r="I24" s="389">
        <f t="shared" si="0"/>
        <v>695.3</v>
      </c>
    </row>
    <row r="25" spans="1:9" x14ac:dyDescent="0.2">
      <c r="A25" s="386" t="s">
        <v>270</v>
      </c>
      <c r="B25" s="387">
        <v>83.5</v>
      </c>
      <c r="C25" s="387">
        <v>1004.1059999999999</v>
      </c>
      <c r="D25" s="387">
        <v>564.98</v>
      </c>
      <c r="E25" s="387">
        <v>180.3</v>
      </c>
      <c r="F25" s="387">
        <v>118.4</v>
      </c>
      <c r="G25" s="387">
        <v>35.08</v>
      </c>
      <c r="H25" s="387">
        <v>19</v>
      </c>
      <c r="I25" s="387">
        <f t="shared" si="0"/>
        <v>2005.3659999999998</v>
      </c>
    </row>
    <row r="26" spans="1:9" x14ac:dyDescent="0.2">
      <c r="A26" s="388" t="s">
        <v>271</v>
      </c>
      <c r="B26" s="389">
        <v>29.000000000000004</v>
      </c>
      <c r="C26" s="389">
        <v>212.40000000000003</v>
      </c>
      <c r="D26" s="389">
        <v>138.45999999999998</v>
      </c>
      <c r="E26" s="389">
        <v>112.31</v>
      </c>
      <c r="F26" s="389">
        <v>25.4</v>
      </c>
      <c r="G26" s="389">
        <v>7.1</v>
      </c>
      <c r="H26" s="389">
        <v>7</v>
      </c>
      <c r="I26" s="389">
        <f t="shared" si="0"/>
        <v>531.67000000000007</v>
      </c>
    </row>
    <row r="27" spans="1:9" x14ac:dyDescent="0.2">
      <c r="A27" s="386" t="s">
        <v>272</v>
      </c>
      <c r="B27" s="387">
        <v>19.98</v>
      </c>
      <c r="C27" s="387">
        <v>234.58999999999997</v>
      </c>
      <c r="D27" s="387">
        <v>100</v>
      </c>
      <c r="E27" s="387">
        <v>39.25</v>
      </c>
      <c r="F27" s="387">
        <v>24</v>
      </c>
      <c r="G27" s="387">
        <v>8.879999999999999</v>
      </c>
      <c r="H27" s="387">
        <v>5</v>
      </c>
      <c r="I27" s="387">
        <f t="shared" si="0"/>
        <v>431.69999999999993</v>
      </c>
    </row>
    <row r="28" spans="1:9" x14ac:dyDescent="0.2">
      <c r="A28" s="388" t="s">
        <v>273</v>
      </c>
      <c r="B28" s="389">
        <v>17.45</v>
      </c>
      <c r="C28" s="389">
        <v>162.23999999999998</v>
      </c>
      <c r="D28" s="389">
        <v>89.23</v>
      </c>
      <c r="E28" s="389">
        <v>56.4</v>
      </c>
      <c r="F28" s="389">
        <v>18.179999999999996</v>
      </c>
      <c r="G28" s="389">
        <v>3.45</v>
      </c>
      <c r="H28" s="389">
        <v>4.25</v>
      </c>
      <c r="I28" s="389">
        <f t="shared" si="0"/>
        <v>351.19999999999993</v>
      </c>
    </row>
    <row r="29" spans="1:9" x14ac:dyDescent="0.2">
      <c r="A29" s="386" t="s">
        <v>274</v>
      </c>
      <c r="B29" s="387">
        <v>77.55</v>
      </c>
      <c r="C29" s="387">
        <v>900.08</v>
      </c>
      <c r="D29" s="387">
        <v>482.29999999999995</v>
      </c>
      <c r="E29" s="387">
        <v>183.43999999999997</v>
      </c>
      <c r="F29" s="387">
        <v>112.63</v>
      </c>
      <c r="G29" s="387">
        <v>28.35</v>
      </c>
      <c r="H29" s="387">
        <v>22.66</v>
      </c>
      <c r="I29" s="387">
        <f t="shared" si="0"/>
        <v>1807.01</v>
      </c>
    </row>
    <row r="30" spans="1:9" x14ac:dyDescent="0.2">
      <c r="A30" s="388" t="s">
        <v>275</v>
      </c>
      <c r="B30" s="389">
        <v>11.95</v>
      </c>
      <c r="C30" s="389">
        <v>79.759999999999991</v>
      </c>
      <c r="D30" s="389">
        <v>39.521999999999998</v>
      </c>
      <c r="E30" s="389">
        <v>38.299999999999997</v>
      </c>
      <c r="F30" s="389">
        <v>10.437999999999999</v>
      </c>
      <c r="G30" s="389">
        <v>3.5</v>
      </c>
      <c r="H30" s="389">
        <v>2</v>
      </c>
      <c r="I30" s="389">
        <f t="shared" si="0"/>
        <v>185.46999999999997</v>
      </c>
    </row>
    <row r="31" spans="1:9" x14ac:dyDescent="0.2">
      <c r="A31" s="386" t="s">
        <v>276</v>
      </c>
      <c r="B31" s="387">
        <v>20.71</v>
      </c>
      <c r="C31" s="387">
        <v>236.37</v>
      </c>
      <c r="D31" s="387">
        <v>136.02000000000001</v>
      </c>
      <c r="E31" s="387">
        <v>78.819999999999993</v>
      </c>
      <c r="F31" s="387">
        <v>21.21</v>
      </c>
      <c r="G31" s="387">
        <v>5</v>
      </c>
      <c r="H31" s="387">
        <v>6.04</v>
      </c>
      <c r="I31" s="387">
        <f t="shared" si="0"/>
        <v>504.17</v>
      </c>
    </row>
    <row r="32" spans="1:9" x14ac:dyDescent="0.2">
      <c r="A32" s="388" t="s">
        <v>277</v>
      </c>
      <c r="B32" s="389">
        <v>16.400000000000002</v>
      </c>
      <c r="C32" s="389">
        <v>172.43</v>
      </c>
      <c r="D32" s="389">
        <v>104.94</v>
      </c>
      <c r="E32" s="389">
        <v>66.14</v>
      </c>
      <c r="F32" s="389">
        <v>21.53</v>
      </c>
      <c r="G32" s="389">
        <v>4</v>
      </c>
      <c r="H32" s="389">
        <v>5</v>
      </c>
      <c r="I32" s="389">
        <f t="shared" si="0"/>
        <v>390.43999999999994</v>
      </c>
    </row>
    <row r="33" spans="1:9" x14ac:dyDescent="0.2">
      <c r="A33" s="386" t="s">
        <v>278</v>
      </c>
      <c r="B33" s="387">
        <v>18.829999999999998</v>
      </c>
      <c r="C33" s="387">
        <v>145.48999999999998</v>
      </c>
      <c r="D33" s="387">
        <v>97.23</v>
      </c>
      <c r="E33" s="387">
        <v>80.28</v>
      </c>
      <c r="F33" s="387">
        <v>19.769999999999996</v>
      </c>
      <c r="G33" s="387">
        <v>4.1500000000000004</v>
      </c>
      <c r="H33" s="387">
        <v>6</v>
      </c>
      <c r="I33" s="387">
        <f t="shared" si="0"/>
        <v>371.75</v>
      </c>
    </row>
    <row r="34" spans="1:9" x14ac:dyDescent="0.2">
      <c r="A34" s="388" t="s">
        <v>279</v>
      </c>
      <c r="B34" s="389">
        <v>16.75</v>
      </c>
      <c r="C34" s="389">
        <v>155.94000000000003</v>
      </c>
      <c r="D34" s="389">
        <v>86.6</v>
      </c>
      <c r="E34" s="389">
        <v>83.88</v>
      </c>
      <c r="F34" s="389">
        <v>17.347500000000004</v>
      </c>
      <c r="G34" s="389">
        <v>7.0100000000000007</v>
      </c>
      <c r="H34" s="389">
        <v>5.16</v>
      </c>
      <c r="I34" s="389">
        <f t="shared" si="0"/>
        <v>372.68750000000006</v>
      </c>
    </row>
    <row r="35" spans="1:9" x14ac:dyDescent="0.2">
      <c r="A35" s="386" t="s">
        <v>280</v>
      </c>
      <c r="B35" s="387">
        <v>92.46</v>
      </c>
      <c r="C35" s="387">
        <v>1062.0199999999998</v>
      </c>
      <c r="D35" s="387">
        <v>460.71000000000004</v>
      </c>
      <c r="E35" s="387">
        <v>283.55</v>
      </c>
      <c r="F35" s="387">
        <v>123.07</v>
      </c>
      <c r="G35" s="387">
        <v>28.57</v>
      </c>
      <c r="H35" s="387">
        <v>17</v>
      </c>
      <c r="I35" s="387">
        <f t="shared" si="0"/>
        <v>2067.3799999999997</v>
      </c>
    </row>
    <row r="36" spans="1:9" x14ac:dyDescent="0.2">
      <c r="A36" s="388" t="s">
        <v>281</v>
      </c>
      <c r="B36" s="389">
        <v>14.53</v>
      </c>
      <c r="C36" s="389">
        <v>124.46</v>
      </c>
      <c r="D36" s="389">
        <v>74.75</v>
      </c>
      <c r="E36" s="389">
        <v>60.069999999999993</v>
      </c>
      <c r="F36" s="389">
        <v>16.204999999999998</v>
      </c>
      <c r="G36" s="389">
        <v>2.5</v>
      </c>
      <c r="H36" s="389">
        <v>3</v>
      </c>
      <c r="I36" s="389">
        <f t="shared" si="0"/>
        <v>295.51499999999993</v>
      </c>
    </row>
    <row r="37" spans="1:9" x14ac:dyDescent="0.2">
      <c r="A37" s="386" t="s">
        <v>282</v>
      </c>
      <c r="B37" s="387">
        <v>29.5</v>
      </c>
      <c r="C37" s="387">
        <v>286.83</v>
      </c>
      <c r="D37" s="387">
        <v>142.5</v>
      </c>
      <c r="E37" s="387">
        <v>124.5</v>
      </c>
      <c r="F37" s="387">
        <v>32.200000000000003</v>
      </c>
      <c r="G37" s="387">
        <v>12.5</v>
      </c>
      <c r="H37" s="387">
        <v>5</v>
      </c>
      <c r="I37" s="387">
        <f t="shared" si="0"/>
        <v>633.03</v>
      </c>
    </row>
    <row r="38" spans="1:9" x14ac:dyDescent="0.2">
      <c r="A38" s="388" t="s">
        <v>283</v>
      </c>
      <c r="B38" s="389">
        <v>68.899999999999991</v>
      </c>
      <c r="C38" s="389">
        <v>763.31</v>
      </c>
      <c r="D38" s="389">
        <v>335.20000000000005</v>
      </c>
      <c r="E38" s="389">
        <v>149.55000000000001</v>
      </c>
      <c r="F38" s="389">
        <v>78.25</v>
      </c>
      <c r="G38" s="389">
        <v>20.599999999999998</v>
      </c>
      <c r="H38" s="389">
        <v>10</v>
      </c>
      <c r="I38" s="389">
        <f t="shared" si="0"/>
        <v>1425.8099999999997</v>
      </c>
    </row>
    <row r="39" spans="1:9" x14ac:dyDescent="0.2">
      <c r="A39" s="386" t="s">
        <v>284</v>
      </c>
      <c r="B39" s="387">
        <v>12.15</v>
      </c>
      <c r="C39" s="387">
        <v>121.74</v>
      </c>
      <c r="D39" s="387">
        <v>62.64</v>
      </c>
      <c r="E39" s="387">
        <v>58.25</v>
      </c>
      <c r="F39" s="387">
        <v>13.990000000000002</v>
      </c>
      <c r="G39" s="387">
        <v>3.38</v>
      </c>
      <c r="H39" s="387">
        <v>3.5</v>
      </c>
      <c r="I39" s="387">
        <f t="shared" si="0"/>
        <v>275.64999999999998</v>
      </c>
    </row>
    <row r="40" spans="1:9" x14ac:dyDescent="0.2">
      <c r="A40" s="388" t="s">
        <v>285</v>
      </c>
      <c r="B40" s="389">
        <v>58.050000000000004</v>
      </c>
      <c r="C40" s="389">
        <v>559.37</v>
      </c>
      <c r="D40" s="389">
        <v>321.87</v>
      </c>
      <c r="E40" s="389">
        <v>100.61</v>
      </c>
      <c r="F40" s="389">
        <v>72.809999999999988</v>
      </c>
      <c r="G40" s="389">
        <v>25.83</v>
      </c>
      <c r="H40" s="389">
        <v>12</v>
      </c>
      <c r="I40" s="389">
        <f t="shared" si="0"/>
        <v>1150.5399999999997</v>
      </c>
    </row>
    <row r="41" spans="1:9" x14ac:dyDescent="0.2">
      <c r="A41" s="386" t="s">
        <v>286</v>
      </c>
      <c r="B41" s="387">
        <v>32.200000000000003</v>
      </c>
      <c r="C41" s="387">
        <v>327.73</v>
      </c>
      <c r="D41" s="387">
        <v>148.13</v>
      </c>
      <c r="E41" s="387">
        <v>156.54949999999999</v>
      </c>
      <c r="F41" s="387">
        <v>39.398000000000003</v>
      </c>
      <c r="G41" s="387">
        <v>15.230000000000002</v>
      </c>
      <c r="H41" s="387">
        <v>6</v>
      </c>
      <c r="I41" s="387">
        <f t="shared" si="0"/>
        <v>725.23750000000007</v>
      </c>
    </row>
    <row r="42" spans="1:9" x14ac:dyDescent="0.2">
      <c r="A42" s="388" t="s">
        <v>287</v>
      </c>
      <c r="B42" s="389">
        <v>11.76</v>
      </c>
      <c r="C42" s="389">
        <v>104.97</v>
      </c>
      <c r="D42" s="389">
        <v>62.550000000000004</v>
      </c>
      <c r="E42" s="389">
        <v>62.010000000000005</v>
      </c>
      <c r="F42" s="389">
        <v>18.68</v>
      </c>
      <c r="G42" s="389">
        <v>3</v>
      </c>
      <c r="H42" s="389">
        <v>5</v>
      </c>
      <c r="I42" s="389">
        <f t="shared" si="0"/>
        <v>267.97000000000003</v>
      </c>
    </row>
    <row r="43" spans="1:9" x14ac:dyDescent="0.2">
      <c r="A43" s="386" t="s">
        <v>288</v>
      </c>
      <c r="B43" s="387">
        <v>6.71</v>
      </c>
      <c r="C43" s="387">
        <v>74.72</v>
      </c>
      <c r="D43" s="387">
        <v>36.380000000000003</v>
      </c>
      <c r="E43" s="387">
        <v>33.44</v>
      </c>
      <c r="F43" s="387">
        <v>6.7400000000000011</v>
      </c>
      <c r="G43" s="387">
        <v>3</v>
      </c>
      <c r="H43" s="387">
        <v>1.53</v>
      </c>
      <c r="I43" s="387">
        <f t="shared" si="0"/>
        <v>162.52000000000001</v>
      </c>
    </row>
    <row r="44" spans="1:9" x14ac:dyDescent="0.2">
      <c r="A44" s="388" t="s">
        <v>289</v>
      </c>
      <c r="B44" s="389">
        <v>4.7</v>
      </c>
      <c r="C44" s="389">
        <v>59.5</v>
      </c>
      <c r="D44" s="389">
        <v>41</v>
      </c>
      <c r="E44" s="389">
        <v>37.880000000000003</v>
      </c>
      <c r="F44" s="389">
        <v>7.339999999999999</v>
      </c>
      <c r="G44" s="389">
        <v>1.6</v>
      </c>
      <c r="H44" s="389">
        <v>2</v>
      </c>
      <c r="I44" s="389">
        <f t="shared" si="0"/>
        <v>154.02000000000001</v>
      </c>
    </row>
    <row r="45" spans="1:9" x14ac:dyDescent="0.2">
      <c r="A45" s="386" t="s">
        <v>290</v>
      </c>
      <c r="B45" s="387">
        <v>10.25</v>
      </c>
      <c r="C45" s="387">
        <v>119.48</v>
      </c>
      <c r="D45" s="387">
        <v>64.61</v>
      </c>
      <c r="E45" s="387">
        <v>34.499999999999993</v>
      </c>
      <c r="F45" s="387">
        <v>11.93</v>
      </c>
      <c r="G45" s="387">
        <v>2.8</v>
      </c>
      <c r="H45" s="387">
        <v>4</v>
      </c>
      <c r="I45" s="387">
        <f t="shared" si="0"/>
        <v>247.57000000000005</v>
      </c>
    </row>
    <row r="46" spans="1:9" x14ac:dyDescent="0.2">
      <c r="A46" s="388" t="s">
        <v>291</v>
      </c>
      <c r="B46" s="389">
        <v>138.67000000000002</v>
      </c>
      <c r="C46" s="389">
        <v>2139.91</v>
      </c>
      <c r="D46" s="389">
        <v>1137.3200000000002</v>
      </c>
      <c r="E46" s="389">
        <v>688.2</v>
      </c>
      <c r="F46" s="389">
        <v>275.12</v>
      </c>
      <c r="G46" s="389">
        <v>88.58</v>
      </c>
      <c r="H46" s="389">
        <v>18</v>
      </c>
      <c r="I46" s="389">
        <f t="shared" si="0"/>
        <v>4485.8</v>
      </c>
    </row>
    <row r="47" spans="1:9" ht="6" customHeight="1" x14ac:dyDescent="0.2">
      <c r="A47" s="388"/>
      <c r="B47" s="389"/>
      <c r="C47" s="389"/>
      <c r="D47" s="389"/>
      <c r="E47" s="389"/>
      <c r="F47" s="389"/>
      <c r="G47" s="389"/>
      <c r="H47" s="389"/>
      <c r="I47" s="389"/>
    </row>
    <row r="48" spans="1:9" x14ac:dyDescent="0.2">
      <c r="A48" s="390" t="s">
        <v>220</v>
      </c>
      <c r="B48" s="391">
        <f t="shared" ref="B48:I48" si="1">SUM(B11:B46)</f>
        <v>1176.6150000000002</v>
      </c>
      <c r="C48" s="391">
        <f t="shared" si="1"/>
        <v>12638.225999999997</v>
      </c>
      <c r="D48" s="391">
        <f t="shared" si="1"/>
        <v>6762.9120000000003</v>
      </c>
      <c r="E48" s="391">
        <f t="shared" si="1"/>
        <v>4014.6715000000013</v>
      </c>
      <c r="F48" s="391">
        <f t="shared" si="1"/>
        <v>1503.9974999999999</v>
      </c>
      <c r="G48" s="391">
        <f t="shared" si="1"/>
        <v>444.48</v>
      </c>
      <c r="H48" s="391">
        <f t="shared" si="1"/>
        <v>247.5</v>
      </c>
      <c r="I48" s="391">
        <f t="shared" si="1"/>
        <v>26788.402000000002</v>
      </c>
    </row>
    <row r="49" spans="1:9" ht="6" customHeight="1" x14ac:dyDescent="0.2">
      <c r="B49" s="392"/>
      <c r="C49" s="392"/>
      <c r="D49" s="392"/>
      <c r="E49" s="392"/>
      <c r="F49" s="392"/>
      <c r="G49" s="392"/>
      <c r="H49" s="392"/>
      <c r="I49" s="392"/>
    </row>
    <row r="50" spans="1:9" x14ac:dyDescent="0.2">
      <c r="A50" s="388" t="s">
        <v>292</v>
      </c>
      <c r="B50" s="389">
        <v>2.75</v>
      </c>
      <c r="C50" s="389">
        <v>17.36</v>
      </c>
      <c r="D50" s="389">
        <v>5.62</v>
      </c>
      <c r="E50" s="389">
        <v>3.12</v>
      </c>
      <c r="F50" s="389">
        <v>3</v>
      </c>
      <c r="G50" s="389">
        <v>0.15</v>
      </c>
      <c r="H50" s="389">
        <v>0</v>
      </c>
      <c r="I50" s="389">
        <f>SUM(B50:H50)</f>
        <v>32</v>
      </c>
    </row>
    <row r="51" spans="1:9" x14ac:dyDescent="0.2">
      <c r="A51" s="360" t="s">
        <v>516</v>
      </c>
      <c r="B51" s="387">
        <v>19</v>
      </c>
      <c r="C51" s="387">
        <v>49</v>
      </c>
      <c r="D51" s="387">
        <v>19</v>
      </c>
      <c r="E51" s="387">
        <v>65</v>
      </c>
      <c r="F51" s="387">
        <v>8</v>
      </c>
      <c r="G51" s="387">
        <v>0.8</v>
      </c>
      <c r="H51" s="387">
        <v>6</v>
      </c>
      <c r="I51" s="387">
        <f>SUM(B51:H51)</f>
        <v>166.8</v>
      </c>
    </row>
    <row r="52" spans="1:9" ht="49.5" customHeight="1" x14ac:dyDescent="0.2">
      <c r="A52" s="393"/>
      <c r="B52" s="393"/>
      <c r="C52" s="394">
        <v>0</v>
      </c>
      <c r="D52" s="393"/>
      <c r="E52" s="393"/>
      <c r="F52" s="393"/>
      <c r="G52" s="393"/>
      <c r="H52" s="393"/>
      <c r="I52" s="393"/>
    </row>
    <row r="53" spans="1:9" x14ac:dyDescent="0.2">
      <c r="A53" s="802" t="s">
        <v>506</v>
      </c>
      <c r="B53" s="802"/>
      <c r="C53" s="802"/>
      <c r="D53" s="802"/>
      <c r="E53" s="802"/>
      <c r="F53" s="802"/>
      <c r="G53" s="802"/>
      <c r="H53" s="802"/>
      <c r="I53" s="802"/>
    </row>
    <row r="54" spans="1:9" x14ac:dyDescent="0.2">
      <c r="A54" s="803"/>
      <c r="B54" s="803"/>
      <c r="C54" s="803"/>
      <c r="D54" s="803"/>
      <c r="E54" s="803"/>
      <c r="F54" s="803"/>
      <c r="G54" s="803"/>
      <c r="H54" s="803"/>
      <c r="I54" s="803"/>
    </row>
    <row r="55" spans="1:9" x14ac:dyDescent="0.2">
      <c r="A55" s="234" t="s">
        <v>351</v>
      </c>
      <c r="B55" s="378"/>
      <c r="C55" s="395"/>
    </row>
    <row r="56" spans="1:9" x14ac:dyDescent="0.2">
      <c r="A56" s="234" t="s">
        <v>320</v>
      </c>
      <c r="B56" s="378"/>
      <c r="C56" s="395"/>
    </row>
  </sheetData>
  <mergeCells count="11">
    <mergeCell ref="A53:I54"/>
    <mergeCell ref="C8:D8"/>
    <mergeCell ref="I8:I9"/>
    <mergeCell ref="B7:H7"/>
    <mergeCell ref="A2:H2"/>
    <mergeCell ref="A3:H3"/>
    <mergeCell ref="B8:B9"/>
    <mergeCell ref="E8:E9"/>
    <mergeCell ref="F8:F9"/>
    <mergeCell ref="G8:G9"/>
    <mergeCell ref="H8:H9"/>
  </mergeCells>
  <phoneticPr fontId="19" type="noConversion"/>
  <printOptions horizontalCentered="1"/>
  <pageMargins left="0.51180000000000003" right="0.51180000000000003" top="0.59055118110236204" bottom="0" header="0.31496062992126" footer="0"/>
  <pageSetup orientation="portrait" r:id="rId1"/>
  <headerFooter alignWithMargins="0">
    <oddHeader>&amp;C&amp;"Arial,Bold"&amp;10&amp;A</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BB57"/>
  <sheetViews>
    <sheetView showGridLines="0" workbookViewId="0"/>
  </sheetViews>
  <sheetFormatPr defaultColWidth="19.83203125" defaultRowHeight="12" x14ac:dyDescent="0.2"/>
  <cols>
    <col min="1" max="1" width="30.83203125" style="399" customWidth="1"/>
    <col min="2" max="2" width="17" style="399" customWidth="1"/>
    <col min="3" max="3" width="12" style="399" customWidth="1"/>
    <col min="4" max="4" width="16.83203125" style="399" customWidth="1"/>
    <col min="5" max="5" width="11.5" style="399" customWidth="1"/>
    <col min="6" max="6" width="13.33203125" style="399" customWidth="1"/>
    <col min="7" max="7" width="12.5" style="399" customWidth="1"/>
    <col min="8" max="8" width="19.83203125" style="399"/>
    <col min="9" max="9" width="19.83203125" style="420"/>
    <col min="10" max="16384" width="19.83203125" style="399"/>
  </cols>
  <sheetData>
    <row r="1" spans="1:54" ht="6.95" customHeight="1" x14ac:dyDescent="0.2">
      <c r="A1" s="397"/>
      <c r="B1" s="398"/>
      <c r="C1" s="398"/>
    </row>
    <row r="2" spans="1:54" ht="15.95" customHeight="1" x14ac:dyDescent="0.2">
      <c r="A2" s="400" t="str">
        <f>IF(Lang=1,BA2,BB2)</f>
        <v>DIRECT SUPPORT TO PUPILS</v>
      </c>
      <c r="B2" s="401"/>
      <c r="C2" s="401"/>
      <c r="D2" s="401"/>
      <c r="E2" s="401"/>
      <c r="F2" s="401"/>
      <c r="G2" s="401"/>
      <c r="BA2" s="487" t="s">
        <v>303</v>
      </c>
      <c r="BB2" s="487" t="s">
        <v>510</v>
      </c>
    </row>
    <row r="3" spans="1:54" ht="15.95" customHeight="1" x14ac:dyDescent="0.2">
      <c r="A3" s="417" t="str">
        <f>+'- 60 -'!A3</f>
        <v>2016/17 AND 2017/18 BUDGET</v>
      </c>
      <c r="B3" s="402"/>
      <c r="C3" s="402"/>
      <c r="D3" s="402"/>
      <c r="E3" s="402"/>
      <c r="F3" s="402"/>
      <c r="G3" s="402"/>
    </row>
    <row r="4" spans="1:54" ht="15.95" customHeight="1" x14ac:dyDescent="0.2">
      <c r="B4" s="398"/>
      <c r="C4" s="398"/>
    </row>
    <row r="5" spans="1:54" ht="12" customHeight="1" x14ac:dyDescent="0.2">
      <c r="B5" s="398"/>
      <c r="C5" s="398"/>
    </row>
    <row r="6" spans="1:54" ht="15.75" customHeight="1" x14ac:dyDescent="0.2">
      <c r="B6"/>
      <c r="C6"/>
      <c r="D6"/>
      <c r="E6"/>
      <c r="F6"/>
      <c r="G6"/>
    </row>
    <row r="7" spans="1:54" x14ac:dyDescent="0.2">
      <c r="A7" s="520"/>
      <c r="B7" s="821" t="s">
        <v>572</v>
      </c>
      <c r="C7" s="822"/>
      <c r="D7" s="822"/>
      <c r="E7" s="823"/>
      <c r="F7" s="817" t="s">
        <v>571</v>
      </c>
      <c r="G7" s="818"/>
    </row>
    <row r="8" spans="1:54" ht="17.25" customHeight="1" x14ac:dyDescent="0.2">
      <c r="A8" s="521"/>
      <c r="B8" s="824"/>
      <c r="C8" s="824"/>
      <c r="D8" s="824"/>
      <c r="E8" s="825"/>
      <c r="F8" s="819"/>
      <c r="G8" s="820"/>
    </row>
    <row r="9" spans="1:54" ht="25.5" customHeight="1" x14ac:dyDescent="0.2">
      <c r="A9" s="403" t="s">
        <v>37</v>
      </c>
      <c r="B9" s="519" t="str">
        <f>+'- 60 -'!B9</f>
        <v>2016/17</v>
      </c>
      <c r="C9" s="486" t="s">
        <v>305</v>
      </c>
      <c r="D9" s="485" t="str">
        <f>+'- 60 -'!C9</f>
        <v>2017/18</v>
      </c>
      <c r="E9" s="486" t="s">
        <v>305</v>
      </c>
      <c r="F9" s="485" t="str">
        <f>+B9</f>
        <v>2016/17</v>
      </c>
      <c r="G9" s="485" t="str">
        <f>+D9</f>
        <v>2017/18</v>
      </c>
    </row>
    <row r="10" spans="1:54" ht="5.0999999999999996" customHeight="1" x14ac:dyDescent="0.2">
      <c r="A10" s="404"/>
      <c r="B10" s="405"/>
      <c r="C10" s="405"/>
      <c r="D10" s="397"/>
      <c r="E10" s="397"/>
      <c r="F10" s="397"/>
    </row>
    <row r="11" spans="1:54" ht="14.1" customHeight="1" x14ac:dyDescent="0.2">
      <c r="A11" s="406" t="s">
        <v>104</v>
      </c>
      <c r="B11" s="407">
        <v>15327978</v>
      </c>
      <c r="C11" s="408">
        <v>78.443670833344427</v>
      </c>
      <c r="D11" s="407">
        <v>15937939</v>
      </c>
      <c r="E11" s="408">
        <f>+D11/'- 3 -'!F11*100</f>
        <v>79.107801742721065</v>
      </c>
      <c r="F11" s="407">
        <v>8743.8551055333719</v>
      </c>
      <c r="G11" s="407">
        <f>+D11/'- 7 -'!E11</f>
        <v>8874.1308463251662</v>
      </c>
      <c r="I11" s="421" t="str">
        <f>IF(+D11-'- 15 -'!B11-'- 15 -'!E11-'- 16 -'!G11=0,"","Ckeck")</f>
        <v/>
      </c>
    </row>
    <row r="12" spans="1:54" ht="14.1" customHeight="1" x14ac:dyDescent="0.2">
      <c r="A12" s="409" t="s">
        <v>105</v>
      </c>
      <c r="B12" s="410">
        <v>26328896</v>
      </c>
      <c r="C12" s="411">
        <v>76.931765908763978</v>
      </c>
      <c r="D12" s="410">
        <v>26291556</v>
      </c>
      <c r="E12" s="411">
        <f>+D12/'- 3 -'!F12*100</f>
        <v>76.69628862398811</v>
      </c>
      <c r="F12" s="410">
        <v>12245.998139534884</v>
      </c>
      <c r="G12" s="410">
        <f>+D12/'- 7 -'!E12</f>
        <v>12228.630697674418</v>
      </c>
      <c r="I12" s="421" t="str">
        <f>IF(+D12-'- 15 -'!B12-'- 15 -'!E12-'- 16 -'!G12=0,"","Ckeck")</f>
        <v/>
      </c>
    </row>
    <row r="13" spans="1:54" ht="14.1" customHeight="1" x14ac:dyDescent="0.2">
      <c r="A13" s="406" t="s">
        <v>106</v>
      </c>
      <c r="B13" s="407">
        <v>81981200</v>
      </c>
      <c r="C13" s="408">
        <v>84.004533186325844</v>
      </c>
      <c r="D13" s="407">
        <v>85364000</v>
      </c>
      <c r="E13" s="408">
        <f>+D13/'- 3 -'!F13*100</f>
        <v>84.117877758879956</v>
      </c>
      <c r="F13" s="407">
        <v>9821.6365161135745</v>
      </c>
      <c r="G13" s="407">
        <f>+D13/'- 7 -'!E13</f>
        <v>10007.502930832356</v>
      </c>
      <c r="I13" s="421" t="str">
        <f>IF(+D13-'- 15 -'!B13-'- 15 -'!E13-'- 16 -'!G13=0,"","Ckeck")</f>
        <v/>
      </c>
    </row>
    <row r="14" spans="1:54" ht="14.1" customHeight="1" x14ac:dyDescent="0.2">
      <c r="A14" s="409" t="s">
        <v>315</v>
      </c>
      <c r="B14" s="410">
        <v>61962750</v>
      </c>
      <c r="C14" s="411">
        <v>73.285725036806525</v>
      </c>
      <c r="D14" s="410">
        <v>63916416</v>
      </c>
      <c r="E14" s="411">
        <f>+D14/'- 3 -'!F14*100</f>
        <v>72.24640398283573</v>
      </c>
      <c r="F14" s="410">
        <v>11290.588556851311</v>
      </c>
      <c r="G14" s="410">
        <f>+D14/'- 7 -'!E14</f>
        <v>11475.119569120287</v>
      </c>
      <c r="I14" s="421" t="str">
        <f>IF(+D14-'- 15 -'!B14-'- 15 -'!E14-'- 16 -'!G14=0,"","Ckeck")</f>
        <v/>
      </c>
    </row>
    <row r="15" spans="1:54" ht="14.1" customHeight="1" x14ac:dyDescent="0.2">
      <c r="A15" s="406" t="s">
        <v>107</v>
      </c>
      <c r="B15" s="407">
        <v>14922354</v>
      </c>
      <c r="C15" s="408">
        <v>73.384220770221958</v>
      </c>
      <c r="D15" s="407">
        <v>15185736</v>
      </c>
      <c r="E15" s="408">
        <f>+D15/'- 3 -'!F15*100</f>
        <v>73.583086663059007</v>
      </c>
      <c r="F15" s="407">
        <v>10896.205914567361</v>
      </c>
      <c r="G15" s="407">
        <f>+D15/'- 7 -'!E15</f>
        <v>11020.127721335268</v>
      </c>
      <c r="I15" s="421" t="str">
        <f>IF(+D15-'- 15 -'!B15-'- 15 -'!E15-'- 16 -'!G15=0,"","Ckeck")</f>
        <v/>
      </c>
    </row>
    <row r="16" spans="1:54" ht="14.1" customHeight="1" x14ac:dyDescent="0.2">
      <c r="A16" s="409" t="s">
        <v>108</v>
      </c>
      <c r="B16" s="410">
        <v>10857182</v>
      </c>
      <c r="C16" s="411">
        <v>74.793395062396016</v>
      </c>
      <c r="D16" s="410">
        <v>10921509</v>
      </c>
      <c r="E16" s="411">
        <f>+D16/'- 3 -'!F16*100</f>
        <v>74.361204991643689</v>
      </c>
      <c r="F16" s="410">
        <v>11339.093472584856</v>
      </c>
      <c r="G16" s="410">
        <f>+D16/'- 7 -'!E16</f>
        <v>11775.211859838275</v>
      </c>
      <c r="I16" s="421" t="str">
        <f>IF(+D16-'- 15 -'!B16-'- 15 -'!E16-'- 16 -'!G16=0,"","Ckeck")</f>
        <v/>
      </c>
    </row>
    <row r="17" spans="1:9" ht="14.1" customHeight="1" x14ac:dyDescent="0.2">
      <c r="A17" s="406" t="s">
        <v>109</v>
      </c>
      <c r="B17" s="407">
        <v>13258014</v>
      </c>
      <c r="C17" s="408">
        <v>74.334201349709858</v>
      </c>
      <c r="D17" s="407">
        <v>13737591</v>
      </c>
      <c r="E17" s="408">
        <f>+D17/'- 3 -'!F17*100</f>
        <v>74.943913137975102</v>
      </c>
      <c r="F17" s="407">
        <v>9752.1250459727835</v>
      </c>
      <c r="G17" s="407">
        <f>+D17/'- 7 -'!E17</f>
        <v>9753.3482428115021</v>
      </c>
      <c r="I17" s="421" t="str">
        <f>IF(+D17-'- 15 -'!B17-'- 15 -'!E17-'- 16 -'!G17=0,"","Ckeck")</f>
        <v/>
      </c>
    </row>
    <row r="18" spans="1:9" ht="14.1" customHeight="1" x14ac:dyDescent="0.2">
      <c r="A18" s="409" t="s">
        <v>110</v>
      </c>
      <c r="B18" s="410">
        <v>83612408</v>
      </c>
      <c r="C18" s="411">
        <v>65.64233243092707</v>
      </c>
      <c r="D18" s="410">
        <v>84167436</v>
      </c>
      <c r="E18" s="411">
        <f>+D18/'- 3 -'!F18*100</f>
        <v>65.92676210461272</v>
      </c>
      <c r="F18" s="410">
        <v>13432.575265880538</v>
      </c>
      <c r="G18" s="410">
        <f>+D18/'- 7 -'!E18</f>
        <v>13764.544384117224</v>
      </c>
      <c r="I18" s="421" t="str">
        <f>IF(+D18-'- 15 -'!B18-'- 15 -'!E18-'- 16 -'!G18=0,"","Ckeck")</f>
        <v/>
      </c>
    </row>
    <row r="19" spans="1:9" ht="14.1" customHeight="1" x14ac:dyDescent="0.2">
      <c r="A19" s="406" t="s">
        <v>111</v>
      </c>
      <c r="B19" s="407">
        <v>36515100</v>
      </c>
      <c r="C19" s="408">
        <v>78.736349205048597</v>
      </c>
      <c r="D19" s="407">
        <v>38776782</v>
      </c>
      <c r="E19" s="408">
        <f>+D19/'- 3 -'!F19*100</f>
        <v>79.682002560515613</v>
      </c>
      <c r="F19" s="407">
        <v>8656.97012802276</v>
      </c>
      <c r="G19" s="407">
        <f>+D19/'- 7 -'!E19</f>
        <v>8937.8315085859176</v>
      </c>
      <c r="I19" s="421" t="str">
        <f>IF(+D19-'- 15 -'!B19-'- 15 -'!E19-'- 16 -'!G19=0,"","Ckeck")</f>
        <v/>
      </c>
    </row>
    <row r="20" spans="1:9" ht="14.1" customHeight="1" x14ac:dyDescent="0.2">
      <c r="A20" s="409" t="s">
        <v>112</v>
      </c>
      <c r="B20" s="410">
        <v>64649100</v>
      </c>
      <c r="C20" s="411">
        <v>78.709056111268026</v>
      </c>
      <c r="D20" s="410">
        <v>67226100</v>
      </c>
      <c r="E20" s="411">
        <f>+D20/'- 3 -'!F20*100</f>
        <v>79.331630882953391</v>
      </c>
      <c r="F20" s="410">
        <v>8528.3424576215293</v>
      </c>
      <c r="G20" s="410">
        <f>+D20/'- 7 -'!E20</f>
        <v>8679.9354422207871</v>
      </c>
      <c r="I20" s="421" t="str">
        <f>IF(+D20-'- 15 -'!B20-'- 15 -'!E20-'- 16 -'!G20=0,"","Ckeck")</f>
        <v/>
      </c>
    </row>
    <row r="21" spans="1:9" ht="14.1" customHeight="1" x14ac:dyDescent="0.2">
      <c r="A21" s="406" t="s">
        <v>113</v>
      </c>
      <c r="B21" s="407">
        <v>28310585</v>
      </c>
      <c r="C21" s="408">
        <v>78.390784801251897</v>
      </c>
      <c r="D21" s="407">
        <v>28971200</v>
      </c>
      <c r="E21" s="408">
        <f>+D21/'- 3 -'!F21*100</f>
        <v>78.567244483978044</v>
      </c>
      <c r="F21" s="407">
        <v>10462.152623798966</v>
      </c>
      <c r="G21" s="407">
        <f>+D21/'- 7 -'!E21</f>
        <v>10513.953910361097</v>
      </c>
      <c r="I21" s="421" t="str">
        <f>IF(+D21-'- 15 -'!B21-'- 15 -'!E21-'- 16 -'!G21=0,"","Ckeck")</f>
        <v/>
      </c>
    </row>
    <row r="22" spans="1:9" ht="14.1" customHeight="1" x14ac:dyDescent="0.2">
      <c r="A22" s="409" t="s">
        <v>114</v>
      </c>
      <c r="B22" s="410">
        <v>15454240</v>
      </c>
      <c r="C22" s="411">
        <v>77.360485604460379</v>
      </c>
      <c r="D22" s="410">
        <v>16134241</v>
      </c>
      <c r="E22" s="411">
        <f>+D22/'- 3 -'!F22*100</f>
        <v>78.399215339271748</v>
      </c>
      <c r="F22" s="410">
        <v>9918.0079579001413</v>
      </c>
      <c r="G22" s="410">
        <f>+D22/'- 7 -'!E22</f>
        <v>10620.221827277514</v>
      </c>
      <c r="I22" s="421" t="str">
        <f>IF(+D22-'- 15 -'!B22-'- 15 -'!E22-'- 16 -'!G22=0,"","Ckeck")</f>
        <v/>
      </c>
    </row>
    <row r="23" spans="1:9" ht="14.1" customHeight="1" x14ac:dyDescent="0.2">
      <c r="A23" s="406" t="s">
        <v>115</v>
      </c>
      <c r="B23" s="407">
        <v>12213499</v>
      </c>
      <c r="C23" s="408">
        <v>75.090120755941498</v>
      </c>
      <c r="D23" s="407">
        <v>12136099</v>
      </c>
      <c r="E23" s="408">
        <f>+D23/'- 3 -'!F23*100</f>
        <v>74.427102724815569</v>
      </c>
      <c r="F23" s="407">
        <v>10963.643626570916</v>
      </c>
      <c r="G23" s="407">
        <f>+D23/'- 7 -'!E23</f>
        <v>10982.895022624434</v>
      </c>
      <c r="I23" s="421" t="str">
        <f>IF(+D23-'- 15 -'!B23-'- 15 -'!E23-'- 16 -'!G23=0,"","Ckeck")</f>
        <v/>
      </c>
    </row>
    <row r="24" spans="1:9" ht="14.1" customHeight="1" x14ac:dyDescent="0.2">
      <c r="A24" s="409" t="s">
        <v>116</v>
      </c>
      <c r="B24" s="410">
        <v>44959097</v>
      </c>
      <c r="C24" s="411">
        <v>78.444881688836361</v>
      </c>
      <c r="D24" s="410">
        <v>45301088</v>
      </c>
      <c r="E24" s="411">
        <f>+D24/'- 3 -'!F24*100</f>
        <v>78.582696405229825</v>
      </c>
      <c r="F24" s="410">
        <v>11380.609289963295</v>
      </c>
      <c r="G24" s="410">
        <f>+D24/'- 7 -'!E24</f>
        <v>11632.067787906022</v>
      </c>
      <c r="I24" s="421" t="str">
        <f>IF(+D24-'- 15 -'!B24-'- 15 -'!E24-'- 16 -'!G24=0,"","Ckeck")</f>
        <v/>
      </c>
    </row>
    <row r="25" spans="1:9" ht="14.1" customHeight="1" x14ac:dyDescent="0.2">
      <c r="A25" s="406" t="s">
        <v>117</v>
      </c>
      <c r="B25" s="407">
        <v>141206909</v>
      </c>
      <c r="C25" s="408">
        <v>81.98257718595498</v>
      </c>
      <c r="D25" s="407">
        <v>147843417</v>
      </c>
      <c r="E25" s="408">
        <f>+D25/'- 3 -'!F25*100</f>
        <v>82.445236289785342</v>
      </c>
      <c r="F25" s="407">
        <v>9888.0927838661119</v>
      </c>
      <c r="G25" s="407">
        <f>+D25/'- 7 -'!E25</f>
        <v>10215.471894973225</v>
      </c>
      <c r="I25" s="421" t="str">
        <f>IF(+D25-'- 15 -'!B25-'- 15 -'!E25-'- 16 -'!G25=0,"","Ckeck")</f>
        <v/>
      </c>
    </row>
    <row r="26" spans="1:9" ht="14.1" customHeight="1" x14ac:dyDescent="0.2">
      <c r="A26" s="409" t="s">
        <v>118</v>
      </c>
      <c r="B26" s="410">
        <v>30212168</v>
      </c>
      <c r="C26" s="411">
        <v>74.210043369108391</v>
      </c>
      <c r="D26" s="410">
        <v>30490052</v>
      </c>
      <c r="E26" s="411">
        <f>+D26/'- 3 -'!F26*100</f>
        <v>74.240664057623519</v>
      </c>
      <c r="F26" s="410">
        <v>9560.5101104395435</v>
      </c>
      <c r="G26" s="410">
        <f>+D26/'- 7 -'!E26</f>
        <v>9996.7383606557378</v>
      </c>
      <c r="I26" s="421" t="str">
        <f>IF(+D26-'- 15 -'!B26-'- 15 -'!E26-'- 16 -'!G26=0,"","Ckeck")</f>
        <v/>
      </c>
    </row>
    <row r="27" spans="1:9" ht="14.1" customHeight="1" x14ac:dyDescent="0.2">
      <c r="A27" s="406" t="s">
        <v>119</v>
      </c>
      <c r="B27" s="407">
        <v>35365446</v>
      </c>
      <c r="C27" s="408">
        <v>80.905062875011907</v>
      </c>
      <c r="D27" s="407">
        <v>35577869</v>
      </c>
      <c r="E27" s="408">
        <f>+D27/'- 3 -'!F27*100</f>
        <v>80.880759660862438</v>
      </c>
      <c r="F27" s="407">
        <v>12153.01456546605</v>
      </c>
      <c r="G27" s="407">
        <f>+D27/'- 7 -'!E27</f>
        <v>11897.133883018365</v>
      </c>
      <c r="I27" s="421" t="str">
        <f>IF(+D27-'- 15 -'!B27-'- 15 -'!E27-'- 16 -'!G27=0,"","Ckeck")</f>
        <v/>
      </c>
    </row>
    <row r="28" spans="1:9" ht="14.1" customHeight="1" x14ac:dyDescent="0.2">
      <c r="A28" s="409" t="s">
        <v>120</v>
      </c>
      <c r="B28" s="410">
        <v>21381905</v>
      </c>
      <c r="C28" s="411">
        <v>75.189642645763044</v>
      </c>
      <c r="D28" s="410">
        <v>21589519</v>
      </c>
      <c r="E28" s="411">
        <f>+D28/'- 3 -'!F28*100</f>
        <v>75.294915725709188</v>
      </c>
      <c r="F28" s="410">
        <v>10990.442045746595</v>
      </c>
      <c r="G28" s="410">
        <f>+D28/'- 7 -'!E28</f>
        <v>11020.683511995916</v>
      </c>
      <c r="I28" s="421" t="str">
        <f>IF(+D28-'- 15 -'!B28-'- 15 -'!E28-'- 16 -'!G28=0,"","Ckeck")</f>
        <v/>
      </c>
    </row>
    <row r="29" spans="1:9" ht="14.1" customHeight="1" x14ac:dyDescent="0.2">
      <c r="A29" s="406" t="s">
        <v>121</v>
      </c>
      <c r="B29" s="407">
        <v>126534990</v>
      </c>
      <c r="C29" s="408">
        <v>80.193290085844126</v>
      </c>
      <c r="D29" s="407">
        <v>132210590</v>
      </c>
      <c r="E29" s="408">
        <f>+D29/'- 3 -'!F29*100</f>
        <v>80.719783295121189</v>
      </c>
      <c r="F29" s="407">
        <v>9979.8872150800544</v>
      </c>
      <c r="G29" s="407">
        <f>+D29/'- 7 -'!E29</f>
        <v>10120.3002166275</v>
      </c>
      <c r="I29" s="421" t="str">
        <f>IF(+D29-'- 15 -'!B29-'- 15 -'!E29-'- 16 -'!G29=0,"","Ckeck")</f>
        <v/>
      </c>
    </row>
    <row r="30" spans="1:9" ht="14.1" customHeight="1" x14ac:dyDescent="0.2">
      <c r="A30" s="409" t="s">
        <v>122</v>
      </c>
      <c r="B30" s="410">
        <v>11038107</v>
      </c>
      <c r="C30" s="411">
        <v>75.094639554666841</v>
      </c>
      <c r="D30" s="410">
        <v>11244801</v>
      </c>
      <c r="E30" s="411">
        <f>+D30/'- 3 -'!F30*100</f>
        <v>74.305403985047207</v>
      </c>
      <c r="F30" s="410">
        <v>10994.130478087649</v>
      </c>
      <c r="G30" s="410">
        <f>+D30/'- 7 -'!E30</f>
        <v>11073.166912850813</v>
      </c>
      <c r="I30" s="421" t="str">
        <f>IF(+D30-'- 15 -'!B30-'- 15 -'!E30-'- 16 -'!G30=0,"","Ckeck")</f>
        <v/>
      </c>
    </row>
    <row r="31" spans="1:9" ht="14.1" customHeight="1" x14ac:dyDescent="0.2">
      <c r="A31" s="406" t="s">
        <v>123</v>
      </c>
      <c r="B31" s="407">
        <v>30102369</v>
      </c>
      <c r="C31" s="408">
        <v>80.014545552749482</v>
      </c>
      <c r="D31" s="407">
        <v>31012087</v>
      </c>
      <c r="E31" s="408">
        <f>+D31/'- 3 -'!F31*100</f>
        <v>81.097175387970651</v>
      </c>
      <c r="F31" s="407">
        <v>9348.5618012422365</v>
      </c>
      <c r="G31" s="407">
        <f>+D31/'- 7 -'!E31</f>
        <v>9441.9506774242655</v>
      </c>
      <c r="I31" s="421" t="str">
        <f>IF(+D31-'- 15 -'!B31-'- 15 -'!E31-'- 16 -'!G31=0,"","Ckeck")</f>
        <v/>
      </c>
    </row>
    <row r="32" spans="1:9" ht="14.1" customHeight="1" x14ac:dyDescent="0.2">
      <c r="A32" s="409" t="s">
        <v>124</v>
      </c>
      <c r="B32" s="410">
        <v>22901988</v>
      </c>
      <c r="C32" s="411">
        <v>76.460477003853484</v>
      </c>
      <c r="D32" s="410">
        <v>23725493</v>
      </c>
      <c r="E32" s="411">
        <f>+D32/'- 3 -'!F32*100</f>
        <v>76.534759397619922</v>
      </c>
      <c r="F32" s="410">
        <v>10500.682255845943</v>
      </c>
      <c r="G32" s="410">
        <f>+D32/'- 7 -'!E32</f>
        <v>10720.963849977406</v>
      </c>
      <c r="I32" s="421" t="str">
        <f>IF(+D32-'- 15 -'!B32-'- 15 -'!E32-'- 16 -'!G32=0,"","Ckeck")</f>
        <v/>
      </c>
    </row>
    <row r="33" spans="1:9" ht="14.1" customHeight="1" x14ac:dyDescent="0.2">
      <c r="A33" s="406" t="s">
        <v>125</v>
      </c>
      <c r="B33" s="407">
        <v>20771750</v>
      </c>
      <c r="C33" s="408">
        <v>74.452985126787013</v>
      </c>
      <c r="D33" s="407">
        <v>21059000</v>
      </c>
      <c r="E33" s="408">
        <f>+D33/'- 3 -'!F33*100</f>
        <v>74.300532759411496</v>
      </c>
      <c r="F33" s="407">
        <v>10313.67924528302</v>
      </c>
      <c r="G33" s="407">
        <f>+D33/'- 7 -'!E33</f>
        <v>10614.415322580646</v>
      </c>
      <c r="I33" s="421" t="str">
        <f>IF(+D33-'- 15 -'!B33-'- 15 -'!E33-'- 16 -'!G33=0,"","Ckeck")</f>
        <v/>
      </c>
    </row>
    <row r="34" spans="1:9" ht="14.1" customHeight="1" x14ac:dyDescent="0.2">
      <c r="A34" s="409" t="s">
        <v>126</v>
      </c>
      <c r="B34" s="410">
        <v>21829150</v>
      </c>
      <c r="C34" s="411">
        <v>74.023553835242524</v>
      </c>
      <c r="D34" s="410">
        <v>23020512</v>
      </c>
      <c r="E34" s="411">
        <f>+D34/'- 3 -'!F34*100</f>
        <v>75.020044277787633</v>
      </c>
      <c r="F34" s="410">
        <v>10952.910185649775</v>
      </c>
      <c r="G34" s="410">
        <f>+D34/'- 7 -'!E34</f>
        <v>11202.195620437957</v>
      </c>
      <c r="I34" s="421" t="str">
        <f>IF(+D34-'- 15 -'!B34-'- 15 -'!E34-'- 16 -'!G34=0,"","Ckeck")</f>
        <v/>
      </c>
    </row>
    <row r="35" spans="1:9" ht="14.1" customHeight="1" x14ac:dyDescent="0.2">
      <c r="A35" s="406" t="s">
        <v>127</v>
      </c>
      <c r="B35" s="407">
        <v>146481359</v>
      </c>
      <c r="C35" s="408">
        <v>81.164898198313892</v>
      </c>
      <c r="D35" s="407">
        <v>150028938</v>
      </c>
      <c r="E35" s="408">
        <f>+D35/'- 3 -'!F35*100</f>
        <v>81.254722392112626</v>
      </c>
      <c r="F35" s="407">
        <v>9477.3135998964808</v>
      </c>
      <c r="G35" s="407">
        <f>+D35/'- 7 -'!E35</f>
        <v>9554.4619009711823</v>
      </c>
      <c r="I35" s="421" t="str">
        <f>IF(+D35-'- 15 -'!B35-'- 15 -'!E35-'- 16 -'!G35=0,"","Ckeck")</f>
        <v/>
      </c>
    </row>
    <row r="36" spans="1:9" ht="14.1" customHeight="1" x14ac:dyDescent="0.2">
      <c r="A36" s="409" t="s">
        <v>128</v>
      </c>
      <c r="B36" s="410">
        <v>17660180</v>
      </c>
      <c r="C36" s="411">
        <v>74.812060970784628</v>
      </c>
      <c r="D36" s="410">
        <v>18054520</v>
      </c>
      <c r="E36" s="411">
        <f>+D36/'- 3 -'!F36*100</f>
        <v>75.439875682810651</v>
      </c>
      <c r="F36" s="410">
        <v>10654.708898944193</v>
      </c>
      <c r="G36" s="410">
        <f>+D36/'- 7 -'!E36</f>
        <v>10737.151352958668</v>
      </c>
      <c r="I36" s="421" t="str">
        <f>IF(+D36-'- 15 -'!B36-'- 15 -'!E36-'- 16 -'!G36=0,"","Ckeck")</f>
        <v/>
      </c>
    </row>
    <row r="37" spans="1:9" ht="14.1" customHeight="1" x14ac:dyDescent="0.2">
      <c r="A37" s="406" t="s">
        <v>129</v>
      </c>
      <c r="B37" s="407">
        <v>38953868</v>
      </c>
      <c r="C37" s="408">
        <v>78.494727421127948</v>
      </c>
      <c r="D37" s="407">
        <v>40723679</v>
      </c>
      <c r="E37" s="408">
        <f>+D37/'- 3 -'!F37*100</f>
        <v>78.675500529582024</v>
      </c>
      <c r="F37" s="407">
        <v>9492.8397709272576</v>
      </c>
      <c r="G37" s="407">
        <f>+D37/'- 7 -'!E37</f>
        <v>9573.7073606507274</v>
      </c>
      <c r="I37" s="421" t="str">
        <f>IF(+D37-'- 15 -'!B37-'- 15 -'!E37-'- 16 -'!G37=0,"","Ckeck")</f>
        <v/>
      </c>
    </row>
    <row r="38" spans="1:9" ht="14.1" customHeight="1" x14ac:dyDescent="0.2">
      <c r="A38" s="409" t="s">
        <v>130</v>
      </c>
      <c r="B38" s="410">
        <v>109528359</v>
      </c>
      <c r="C38" s="411">
        <v>82.209651863966471</v>
      </c>
      <c r="D38" s="410">
        <v>113946610</v>
      </c>
      <c r="E38" s="411">
        <f>+D38/'- 3 -'!F38*100</f>
        <v>82.420062457387317</v>
      </c>
      <c r="F38" s="410">
        <v>9950.7912237666933</v>
      </c>
      <c r="G38" s="410">
        <f>+D38/'- 7 -'!E38</f>
        <v>10092.7023914969</v>
      </c>
      <c r="I38" s="421" t="str">
        <f>IF(+D38-'- 15 -'!B38-'- 15 -'!E38-'- 16 -'!G38=0,"","Ckeck")</f>
        <v/>
      </c>
    </row>
    <row r="39" spans="1:9" ht="14.1" customHeight="1" x14ac:dyDescent="0.2">
      <c r="A39" s="406" t="s">
        <v>131</v>
      </c>
      <c r="B39" s="407">
        <v>16725910</v>
      </c>
      <c r="C39" s="408">
        <v>73.531217458161692</v>
      </c>
      <c r="D39" s="407">
        <v>17074200</v>
      </c>
      <c r="E39" s="408">
        <f>+D39/'- 3 -'!F39*100</f>
        <v>73.861048205514209</v>
      </c>
      <c r="F39" s="407">
        <v>10953.444662737393</v>
      </c>
      <c r="G39" s="407">
        <f>+D39/'- 7 -'!E39</f>
        <v>11322.413793103447</v>
      </c>
      <c r="I39" s="421" t="str">
        <f>IF(+D39-'- 15 -'!B39-'- 15 -'!E39-'- 16 -'!G39=0,"","Ckeck")</f>
        <v/>
      </c>
    </row>
    <row r="40" spans="1:9" ht="14.1" customHeight="1" x14ac:dyDescent="0.2">
      <c r="A40" s="409" t="s">
        <v>132</v>
      </c>
      <c r="B40" s="410">
        <v>85890785</v>
      </c>
      <c r="C40" s="411">
        <v>82.243022395885006</v>
      </c>
      <c r="D40" s="410">
        <v>87230112</v>
      </c>
      <c r="E40" s="411">
        <f>+D40/'- 3 -'!F40*100</f>
        <v>81.707722363679324</v>
      </c>
      <c r="F40" s="410">
        <v>10805.775230858266</v>
      </c>
      <c r="G40" s="410">
        <f>+D40/'- 7 -'!E40</f>
        <v>10612.452187454377</v>
      </c>
      <c r="I40" s="421" t="str">
        <f>IF(+D40-'- 15 -'!B40-'- 15 -'!E40-'- 16 -'!G40=0,"","Ckeck")</f>
        <v/>
      </c>
    </row>
    <row r="41" spans="1:9" ht="14.1" customHeight="1" x14ac:dyDescent="0.2">
      <c r="A41" s="406" t="s">
        <v>133</v>
      </c>
      <c r="B41" s="407">
        <v>47647999</v>
      </c>
      <c r="C41" s="408">
        <v>76.055568324240625</v>
      </c>
      <c r="D41" s="407">
        <v>47877997</v>
      </c>
      <c r="E41" s="408">
        <f>+D41/'- 3 -'!F41*100</f>
        <v>75.654298799261682</v>
      </c>
      <c r="F41" s="407">
        <v>10805.760063499263</v>
      </c>
      <c r="G41" s="407">
        <f>+D41/'- 7 -'!E41</f>
        <v>10812.555781391147</v>
      </c>
      <c r="I41" s="421" t="str">
        <f>IF(+D41-'- 15 -'!B41-'- 15 -'!E41-'- 16 -'!G41=0,"","Ckeck")</f>
        <v/>
      </c>
    </row>
    <row r="42" spans="1:9" ht="14.1" customHeight="1" x14ac:dyDescent="0.2">
      <c r="A42" s="409" t="s">
        <v>134</v>
      </c>
      <c r="B42" s="410">
        <v>15407972</v>
      </c>
      <c r="C42" s="411">
        <v>73.672591580127431</v>
      </c>
      <c r="D42" s="410">
        <v>15740670</v>
      </c>
      <c r="E42" s="411">
        <f>+D42/'- 3 -'!F42*100</f>
        <v>73.594906738556574</v>
      </c>
      <c r="F42" s="410">
        <v>11321.066862601028</v>
      </c>
      <c r="G42" s="410">
        <f>+D42/'- 7 -'!E42</f>
        <v>11348.716654650325</v>
      </c>
      <c r="I42" s="421" t="str">
        <f>IF(+D42-'- 15 -'!B42-'- 15 -'!E42-'- 16 -'!G42=0,"","Ckeck")</f>
        <v/>
      </c>
    </row>
    <row r="43" spans="1:9" ht="14.1" customHeight="1" x14ac:dyDescent="0.2">
      <c r="A43" s="406" t="s">
        <v>135</v>
      </c>
      <c r="B43" s="407">
        <v>10154265</v>
      </c>
      <c r="C43" s="408">
        <v>77.471727257808169</v>
      </c>
      <c r="D43" s="407">
        <v>10569620</v>
      </c>
      <c r="E43" s="408">
        <f>+D43/'- 3 -'!F43*100</f>
        <v>78.74731098438572</v>
      </c>
      <c r="F43" s="407">
        <v>10796.666666666666</v>
      </c>
      <c r="G43" s="407">
        <f>+D43/'- 7 -'!E43</f>
        <v>11096.713910761155</v>
      </c>
      <c r="I43" s="421" t="str">
        <f>IF(+D43-'- 15 -'!B43-'- 15 -'!E43-'- 16 -'!G43=0,"","Ckeck")</f>
        <v/>
      </c>
    </row>
    <row r="44" spans="1:9" ht="14.1" customHeight="1" x14ac:dyDescent="0.2">
      <c r="A44" s="409" t="s">
        <v>136</v>
      </c>
      <c r="B44" s="410">
        <v>8109444</v>
      </c>
      <c r="C44" s="411">
        <v>72.539209191482115</v>
      </c>
      <c r="D44" s="410">
        <v>8125609</v>
      </c>
      <c r="E44" s="411">
        <f>+D44/'- 3 -'!F44*100</f>
        <v>72.288524983354876</v>
      </c>
      <c r="F44" s="410">
        <v>11568.393723252497</v>
      </c>
      <c r="G44" s="410">
        <f>+D44/'- 7 -'!E44</f>
        <v>11348.61592178771</v>
      </c>
      <c r="I44" s="421" t="str">
        <f>IF(+D44-'- 15 -'!B44-'- 15 -'!E44-'- 16 -'!G44=0,"","Ckeck")</f>
        <v/>
      </c>
    </row>
    <row r="45" spans="1:9" ht="14.1" customHeight="1" x14ac:dyDescent="0.2">
      <c r="A45" s="406" t="s">
        <v>137</v>
      </c>
      <c r="B45" s="407">
        <v>15326428</v>
      </c>
      <c r="C45" s="408">
        <v>80.025020826757668</v>
      </c>
      <c r="D45" s="407">
        <v>15861055</v>
      </c>
      <c r="E45" s="408">
        <f>+D45/'- 3 -'!F45*100</f>
        <v>80.247618774892629</v>
      </c>
      <c r="F45" s="407">
        <v>9004.9518213866031</v>
      </c>
      <c r="G45" s="407">
        <f>+D45/'- 7 -'!E45</f>
        <v>9157.6530023094692</v>
      </c>
      <c r="I45" s="421" t="str">
        <f>IF(+D45-'- 15 -'!B45-'- 15 -'!E45-'- 16 -'!G45=0,"","Ckeck")</f>
        <v/>
      </c>
    </row>
    <row r="46" spans="1:9" ht="14.1" customHeight="1" x14ac:dyDescent="0.2">
      <c r="A46" s="409" t="s">
        <v>138</v>
      </c>
      <c r="B46" s="410">
        <v>307485800</v>
      </c>
      <c r="C46" s="411">
        <v>80.535999027761179</v>
      </c>
      <c r="D46" s="410">
        <v>314437150</v>
      </c>
      <c r="E46" s="411">
        <f>+D46/'- 3 -'!F46*100</f>
        <v>80.283294545389552</v>
      </c>
      <c r="F46" s="410">
        <v>10196.166727459628</v>
      </c>
      <c r="G46" s="410">
        <f>+D46/'- 7 -'!E46</f>
        <v>10391.009732159086</v>
      </c>
      <c r="I46" s="421" t="str">
        <f>IF(+D46-'- 15 -'!B46-'- 15 -'!E46-'- 16 -'!G46=0,"","Ckeck")</f>
        <v/>
      </c>
    </row>
    <row r="47" spans="1:9" ht="5.0999999999999996" customHeight="1" x14ac:dyDescent="0.2">
      <c r="B47" s="412"/>
      <c r="C47" s="412"/>
      <c r="D47" s="412"/>
      <c r="E47" s="412"/>
      <c r="F47" s="412"/>
      <c r="G47" s="412"/>
      <c r="I47" s="421"/>
    </row>
    <row r="48" spans="1:9" ht="14.1" customHeight="1" x14ac:dyDescent="0.2">
      <c r="A48" s="413" t="s">
        <v>139</v>
      </c>
      <c r="B48" s="414">
        <v>1791069554</v>
      </c>
      <c r="C48" s="415">
        <v>78.56879673801798</v>
      </c>
      <c r="D48" s="414">
        <f>SUM(D11:D46)</f>
        <v>1841511193</v>
      </c>
      <c r="E48" s="415">
        <f>+D48/'- 3 -'!F48*100</f>
        <v>78.697678113843395</v>
      </c>
      <c r="F48" s="414">
        <v>10226.851484589639</v>
      </c>
      <c r="G48" s="414">
        <f>+D48/'- 7 -'!E48</f>
        <v>10377.537311570411</v>
      </c>
      <c r="I48" s="421"/>
    </row>
    <row r="49" spans="1:7" ht="5.0999999999999996" customHeight="1" x14ac:dyDescent="0.2">
      <c r="B49" s="412"/>
      <c r="C49" s="412"/>
      <c r="D49" s="412"/>
      <c r="E49" s="412"/>
      <c r="F49" s="412"/>
      <c r="G49" s="412"/>
    </row>
    <row r="50" spans="1:7" ht="49.5" customHeight="1" x14ac:dyDescent="0.2">
      <c r="A50" s="418"/>
      <c r="B50" s="419"/>
      <c r="C50" s="419"/>
      <c r="D50" s="419"/>
      <c r="E50" s="419"/>
      <c r="F50" s="419"/>
      <c r="G50" s="419"/>
    </row>
    <row r="51" spans="1:7" ht="13.5" customHeight="1" x14ac:dyDescent="0.2">
      <c r="A51" s="815" t="s">
        <v>509</v>
      </c>
      <c r="B51" s="815"/>
      <c r="C51" s="815"/>
      <c r="D51" s="815"/>
      <c r="E51" s="815"/>
      <c r="F51" s="815"/>
      <c r="G51" s="815"/>
    </row>
    <row r="52" spans="1:7" ht="13.5" customHeight="1" x14ac:dyDescent="0.2">
      <c r="A52" s="816"/>
      <c r="B52" s="816"/>
      <c r="C52" s="816"/>
      <c r="D52" s="816"/>
      <c r="E52" s="816"/>
      <c r="F52" s="816"/>
      <c r="G52" s="816"/>
    </row>
    <row r="53" spans="1:7" ht="15" customHeight="1" x14ac:dyDescent="0.2">
      <c r="B53" s="416"/>
      <c r="C53" s="416"/>
    </row>
    <row r="54" spans="1:7" ht="12" customHeight="1" x14ac:dyDescent="0.2">
      <c r="B54" s="416"/>
      <c r="C54" s="416"/>
    </row>
    <row r="55" spans="1:7" ht="12" customHeight="1" x14ac:dyDescent="0.2">
      <c r="A55" s="416"/>
      <c r="B55" s="416"/>
      <c r="C55" s="416"/>
    </row>
    <row r="56" spans="1:7" ht="12" customHeight="1" x14ac:dyDescent="0.2">
      <c r="A56" s="416"/>
      <c r="B56" s="416"/>
      <c r="C56" s="416"/>
    </row>
    <row r="57" spans="1:7" ht="14.45" customHeight="1" x14ac:dyDescent="0.2">
      <c r="A57" s="416"/>
    </row>
  </sheetData>
  <mergeCells count="3">
    <mergeCell ref="A51:G52"/>
    <mergeCell ref="F7:G8"/>
    <mergeCell ref="B7:E8"/>
  </mergeCells>
  <phoneticPr fontId="15" type="noConversion"/>
  <printOptions horizontalCentered="1"/>
  <pageMargins left="0.51180000000000003" right="0.51180000000000003" top="0.59050000000000002" bottom="0" header="0.31490000000000001" footer="0"/>
  <pageSetup scale="88" orientation="portrait" r:id="rId1"/>
  <headerFooter alignWithMargins="0">
    <oddHeader>&amp;C&amp;"Arial,Bold"&amp;10&amp;A</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BB55"/>
  <sheetViews>
    <sheetView showGridLines="0" showZeros="0" workbookViewId="0"/>
  </sheetViews>
  <sheetFormatPr defaultColWidth="19.83203125" defaultRowHeight="12" x14ac:dyDescent="0.2"/>
  <cols>
    <col min="1" max="1" width="30.83203125" style="1" customWidth="1"/>
    <col min="2" max="9" width="12.83203125" style="1" customWidth="1"/>
    <col min="10" max="16384" width="19.83203125" style="1"/>
  </cols>
  <sheetData>
    <row r="1" spans="1:54" ht="6.95" customHeight="1" x14ac:dyDescent="0.2">
      <c r="A1" s="3"/>
      <c r="B1" s="4"/>
      <c r="C1" s="4"/>
      <c r="D1" s="4"/>
      <c r="E1" s="4"/>
      <c r="F1" s="4"/>
    </row>
    <row r="2" spans="1:54" ht="15.95" customHeight="1" x14ac:dyDescent="0.2">
      <c r="A2" s="5" t="str">
        <f>IF(Lang=1,BA2,BB2)</f>
        <v>STATISTICAL SUMMARY</v>
      </c>
      <c r="B2" s="6"/>
      <c r="C2" s="6"/>
      <c r="D2" s="6"/>
      <c r="E2" s="6"/>
      <c r="F2" s="6"/>
      <c r="G2" s="6"/>
      <c r="H2" s="6"/>
      <c r="I2" s="6"/>
      <c r="BA2" s="456" t="s">
        <v>87</v>
      </c>
      <c r="BB2" s="456" t="s">
        <v>511</v>
      </c>
    </row>
    <row r="3" spans="1:54" ht="15.95" customHeight="1" x14ac:dyDescent="0.2">
      <c r="A3" s="86" t="s">
        <v>589</v>
      </c>
      <c r="B3" s="40"/>
      <c r="C3" s="40"/>
      <c r="D3" s="8"/>
      <c r="E3" s="8"/>
      <c r="F3" s="8"/>
      <c r="G3" s="8"/>
      <c r="H3" s="8"/>
      <c r="I3" s="8"/>
      <c r="BA3" s="456" t="str">
        <f>B9&amp;" AND "&amp;C9&amp;" BUDGET"</f>
        <v>2016/17 AND 2017/18 BUDGET</v>
      </c>
      <c r="BB3" s="456" t="str">
        <f>" BUDGET DE "&amp;B9&amp;" ET DE "&amp;C9</f>
        <v xml:space="preserve"> BUDGET DE 2016/17 ET DE 2017/18</v>
      </c>
    </row>
    <row r="4" spans="1:54" ht="15.95" customHeight="1" x14ac:dyDescent="0.2">
      <c r="B4" s="22"/>
      <c r="C4" s="22"/>
      <c r="D4" s="4"/>
      <c r="E4" s="4"/>
      <c r="F4" s="4"/>
    </row>
    <row r="5" spans="1:54" ht="15.95" customHeight="1" x14ac:dyDescent="0.2">
      <c r="B5" s="217"/>
      <c r="C5" s="217"/>
      <c r="D5" s="4"/>
      <c r="E5" s="4"/>
      <c r="F5" s="4"/>
    </row>
    <row r="6" spans="1:54" ht="15.95" customHeight="1" x14ac:dyDescent="0.2">
      <c r="B6" s="833" t="s">
        <v>515</v>
      </c>
      <c r="C6" s="834"/>
      <c r="D6" s="488"/>
      <c r="E6" s="328"/>
      <c r="F6" s="813" t="s">
        <v>513</v>
      </c>
      <c r="G6" s="814"/>
      <c r="H6" s="327"/>
      <c r="I6" s="328"/>
    </row>
    <row r="7" spans="1:54" ht="15.95" customHeight="1" x14ac:dyDescent="0.2">
      <c r="B7" s="835"/>
      <c r="C7" s="836"/>
      <c r="D7" s="831" t="s">
        <v>514</v>
      </c>
      <c r="E7" s="827"/>
      <c r="F7" s="830"/>
      <c r="G7" s="827"/>
      <c r="H7" s="826" t="s">
        <v>512</v>
      </c>
      <c r="I7" s="827"/>
    </row>
    <row r="8" spans="1:54" ht="15.95" customHeight="1" x14ac:dyDescent="0.2">
      <c r="A8" s="249"/>
      <c r="B8" s="837"/>
      <c r="C8" s="838"/>
      <c r="D8" s="832"/>
      <c r="E8" s="829"/>
      <c r="F8" s="828"/>
      <c r="G8" s="829"/>
      <c r="H8" s="828"/>
      <c r="I8" s="829"/>
    </row>
    <row r="9" spans="1:54" ht="18" customHeight="1" x14ac:dyDescent="0.2">
      <c r="A9" s="27" t="s">
        <v>37</v>
      </c>
      <c r="B9" s="489" t="s">
        <v>566</v>
      </c>
      <c r="C9" s="490" t="s">
        <v>590</v>
      </c>
      <c r="D9" s="218" t="str">
        <f>+B9</f>
        <v>2016/17</v>
      </c>
      <c r="E9" s="448" t="s">
        <v>591</v>
      </c>
      <c r="F9" s="447" t="s">
        <v>592</v>
      </c>
      <c r="G9" s="447" t="s">
        <v>593</v>
      </c>
      <c r="H9" s="447" t="s">
        <v>592</v>
      </c>
      <c r="I9" s="447" t="s">
        <v>594</v>
      </c>
    </row>
    <row r="10" spans="1:54" ht="5.0999999999999996" customHeight="1" x14ac:dyDescent="0.2">
      <c r="A10" s="29"/>
      <c r="D10" s="204"/>
      <c r="E10" s="204"/>
      <c r="F10" s="182"/>
      <c r="G10" s="3"/>
      <c r="H10" s="3"/>
    </row>
    <row r="11" spans="1:54" ht="14.1" customHeight="1" x14ac:dyDescent="0.2">
      <c r="A11" s="271" t="s">
        <v>104</v>
      </c>
      <c r="B11" s="272">
        <v>11147</v>
      </c>
      <c r="C11" s="272">
        <f>'- 4 -'!E11</f>
        <v>11218</v>
      </c>
      <c r="D11" s="292">
        <v>13.642023346303501</v>
      </c>
      <c r="E11" s="292">
        <f>'- 9 -'!C11</f>
        <v>13.77617550049858</v>
      </c>
      <c r="F11" s="272">
        <v>426198</v>
      </c>
      <c r="G11" s="272">
        <f>'- 50 -'!F11</f>
        <v>412611</v>
      </c>
      <c r="H11" s="292">
        <v>11.451137547056465</v>
      </c>
      <c r="I11" s="292">
        <f>'- 47 -'!G11</f>
        <v>11.888023994984442</v>
      </c>
    </row>
    <row r="12" spans="1:54" ht="14.1" customHeight="1" x14ac:dyDescent="0.2">
      <c r="A12" s="15" t="s">
        <v>105</v>
      </c>
      <c r="B12" s="16">
        <v>15918</v>
      </c>
      <c r="C12" s="16">
        <f>'- 4 -'!E12</f>
        <v>15944</v>
      </c>
      <c r="D12" s="47">
        <v>11.118580958783678</v>
      </c>
      <c r="E12" s="47">
        <f>'- 9 -'!C12</f>
        <v>11.076193910669209</v>
      </c>
      <c r="F12" s="16">
        <v>431721</v>
      </c>
      <c r="G12" s="16">
        <f>'- 50 -'!F12</f>
        <v>440889</v>
      </c>
      <c r="H12" s="47">
        <v>14.963803228821055</v>
      </c>
      <c r="I12" s="47">
        <f>'- 47 -'!G12</f>
        <v>16.89729453848889</v>
      </c>
    </row>
    <row r="13" spans="1:54" ht="14.1" customHeight="1" x14ac:dyDescent="0.2">
      <c r="A13" s="271" t="s">
        <v>106</v>
      </c>
      <c r="B13" s="272">
        <v>11692</v>
      </c>
      <c r="C13" s="272">
        <f>'- 4 -'!E13</f>
        <v>11897</v>
      </c>
      <c r="D13" s="292">
        <v>12.744678901884141</v>
      </c>
      <c r="E13" s="292">
        <f>'- 9 -'!C13</f>
        <v>12.860912174896344</v>
      </c>
      <c r="F13" s="272">
        <v>366719</v>
      </c>
      <c r="G13" s="272">
        <f>'- 50 -'!F13</f>
        <v>368373</v>
      </c>
      <c r="H13" s="292">
        <v>14.496671226684288</v>
      </c>
      <c r="I13" s="292">
        <f>'- 47 -'!G13</f>
        <v>14.909560390442531</v>
      </c>
    </row>
    <row r="14" spans="1:54" ht="14.1" customHeight="1" x14ac:dyDescent="0.2">
      <c r="A14" s="15" t="s">
        <v>315</v>
      </c>
      <c r="B14" s="16">
        <v>15406</v>
      </c>
      <c r="C14" s="16">
        <f>'- 4 -'!E14</f>
        <v>15883</v>
      </c>
      <c r="D14" s="47">
        <v>11.929138137159006</v>
      </c>
      <c r="E14" s="47">
        <f>'- 9 -'!C14</f>
        <v>11.751054852320674</v>
      </c>
      <c r="F14" s="16">
        <v>447093</v>
      </c>
      <c r="G14" s="16">
        <f>'- 50 -'!F14</f>
        <v>449144</v>
      </c>
      <c r="H14" s="47">
        <v>0</v>
      </c>
      <c r="I14" s="47">
        <f>'- 47 -'!G14</f>
        <v>0</v>
      </c>
    </row>
    <row r="15" spans="1:54" ht="14.1" customHeight="1" x14ac:dyDescent="0.2">
      <c r="A15" s="271" t="s">
        <v>107</v>
      </c>
      <c r="B15" s="272">
        <v>14848</v>
      </c>
      <c r="C15" s="272">
        <f>'- 4 -'!E15</f>
        <v>14976</v>
      </c>
      <c r="D15" s="292">
        <v>12.594261541291152</v>
      </c>
      <c r="E15" s="292">
        <f>'- 9 -'!C15</f>
        <v>12.54437869822485</v>
      </c>
      <c r="F15" s="272">
        <v>655020</v>
      </c>
      <c r="G15" s="272">
        <f>'- 50 -'!F15</f>
        <v>678168</v>
      </c>
      <c r="H15" s="292">
        <v>10.697684987662338</v>
      </c>
      <c r="I15" s="292">
        <f>'- 47 -'!G15</f>
        <v>10.944426401436637</v>
      </c>
    </row>
    <row r="16" spans="1:54" ht="14.1" customHeight="1" x14ac:dyDescent="0.2">
      <c r="A16" s="15" t="s">
        <v>108</v>
      </c>
      <c r="B16" s="16">
        <v>15161</v>
      </c>
      <c r="C16" s="16">
        <f>'- 4 -'!E16</f>
        <v>15835</v>
      </c>
      <c r="D16" s="47">
        <v>12.11258697027198</v>
      </c>
      <c r="E16" s="47">
        <f>'- 9 -'!C16</f>
        <v>11.8469791799719</v>
      </c>
      <c r="F16" s="16">
        <v>199296</v>
      </c>
      <c r="G16" s="16">
        <f>'- 50 -'!F16</f>
        <v>209029</v>
      </c>
      <c r="H16" s="47">
        <v>19.707525662850252</v>
      </c>
      <c r="I16" s="47">
        <f>'- 47 -'!G16</f>
        <v>20.706451376073211</v>
      </c>
    </row>
    <row r="17" spans="1:9" ht="14.1" customHeight="1" x14ac:dyDescent="0.2">
      <c r="A17" s="271" t="s">
        <v>109</v>
      </c>
      <c r="B17" s="272">
        <v>13119</v>
      </c>
      <c r="C17" s="272">
        <f>'- 4 -'!E17</f>
        <v>13014</v>
      </c>
      <c r="D17" s="292">
        <v>12.812176043728206</v>
      </c>
      <c r="E17" s="292">
        <f>'- 9 -'!C17</f>
        <v>12.93388429752066</v>
      </c>
      <c r="F17" s="272">
        <v>865984</v>
      </c>
      <c r="G17" s="272">
        <f>'- 50 -'!F17</f>
        <v>867598</v>
      </c>
      <c r="H17" s="292">
        <v>7.7675100411131464</v>
      </c>
      <c r="I17" s="292">
        <f>'- 47 -'!G17</f>
        <v>7.8996980158645282</v>
      </c>
    </row>
    <row r="18" spans="1:9" ht="14.1" customHeight="1" x14ac:dyDescent="0.2">
      <c r="A18" s="15" t="s">
        <v>110</v>
      </c>
      <c r="B18" s="16">
        <v>20463</v>
      </c>
      <c r="C18" s="16">
        <f>'- 4 -'!E18</f>
        <v>20879</v>
      </c>
      <c r="D18" s="47">
        <v>12.00686701901933</v>
      </c>
      <c r="E18" s="47">
        <f>'- 9 -'!C18</f>
        <v>12.207138864489339</v>
      </c>
      <c r="F18" s="16">
        <v>100073</v>
      </c>
      <c r="G18" s="16">
        <f>'- 50 -'!F18</f>
        <v>101725</v>
      </c>
      <c r="H18" s="47">
        <v>13.501126808906184</v>
      </c>
      <c r="I18" s="47">
        <f>'- 47 -'!G18</f>
        <v>13.499995315651919</v>
      </c>
    </row>
    <row r="19" spans="1:9" ht="14.1" customHeight="1" x14ac:dyDescent="0.2">
      <c r="A19" s="271" t="s">
        <v>111</v>
      </c>
      <c r="B19" s="272">
        <v>10995</v>
      </c>
      <c r="C19" s="272">
        <f>'- 4 -'!E19</f>
        <v>11217</v>
      </c>
      <c r="D19" s="292">
        <v>14.8</v>
      </c>
      <c r="E19" s="292">
        <f>'- 9 -'!C19</f>
        <v>14.693829167513378</v>
      </c>
      <c r="F19" s="272">
        <v>269173</v>
      </c>
      <c r="G19" s="272">
        <f>'- 50 -'!F19</f>
        <v>272222</v>
      </c>
      <c r="H19" s="292">
        <v>15.986978437482181</v>
      </c>
      <c r="I19" s="292">
        <f>'- 47 -'!G19</f>
        <v>15.990820281699635</v>
      </c>
    </row>
    <row r="20" spans="1:9" ht="14.1" customHeight="1" x14ac:dyDescent="0.2">
      <c r="A20" s="15" t="s">
        <v>112</v>
      </c>
      <c r="B20" s="16">
        <v>10835</v>
      </c>
      <c r="C20" s="16">
        <f>'- 4 -'!E20</f>
        <v>10941</v>
      </c>
      <c r="D20" s="47">
        <v>14.370616113744076</v>
      </c>
      <c r="E20" s="47">
        <f>'- 9 -'!C20</f>
        <v>14.304315304416884</v>
      </c>
      <c r="F20" s="16">
        <v>263965</v>
      </c>
      <c r="G20" s="16">
        <f>'- 50 -'!F20</f>
        <v>266510</v>
      </c>
      <c r="H20" s="47">
        <v>14.943420292054606</v>
      </c>
      <c r="I20" s="47">
        <f>'- 47 -'!G20</f>
        <v>15.294547408361383</v>
      </c>
    </row>
    <row r="21" spans="1:9" ht="14.1" customHeight="1" x14ac:dyDescent="0.2">
      <c r="A21" s="271" t="s">
        <v>113</v>
      </c>
      <c r="B21" s="272">
        <v>13346</v>
      </c>
      <c r="C21" s="272">
        <f>'- 4 -'!E21</f>
        <v>13382</v>
      </c>
      <c r="D21" s="292">
        <v>11.609747726102626</v>
      </c>
      <c r="E21" s="292">
        <f>'- 9 -'!C21</f>
        <v>11.989296436496542</v>
      </c>
      <c r="F21" s="272">
        <v>468889</v>
      </c>
      <c r="G21" s="272">
        <f>'- 50 -'!F21</f>
        <v>467783</v>
      </c>
      <c r="H21" s="292">
        <v>13.156761198914246</v>
      </c>
      <c r="I21" s="292">
        <f>'- 47 -'!G21</f>
        <v>13.732616919080982</v>
      </c>
    </row>
    <row r="22" spans="1:9" ht="14.1" customHeight="1" x14ac:dyDescent="0.2">
      <c r="A22" s="15" t="s">
        <v>114</v>
      </c>
      <c r="B22" s="16">
        <v>12821</v>
      </c>
      <c r="C22" s="16">
        <f>'- 4 -'!E22</f>
        <v>13546</v>
      </c>
      <c r="D22" s="47">
        <v>12.023148148148149</v>
      </c>
      <c r="E22" s="47">
        <f>'- 9 -'!C22</f>
        <v>11.859484777517565</v>
      </c>
      <c r="F22" s="16">
        <v>171225</v>
      </c>
      <c r="G22" s="16">
        <f>'- 50 -'!F22</f>
        <v>172842</v>
      </c>
      <c r="H22" s="47">
        <v>17.338417914110664</v>
      </c>
      <c r="I22" s="47">
        <f>'- 47 -'!G22</f>
        <v>17.321164680864037</v>
      </c>
    </row>
    <row r="23" spans="1:9" ht="14.1" customHeight="1" x14ac:dyDescent="0.2">
      <c r="A23" s="271" t="s">
        <v>115</v>
      </c>
      <c r="B23" s="272">
        <v>14601</v>
      </c>
      <c r="C23" s="272">
        <f>'- 4 -'!E23</f>
        <v>14757</v>
      </c>
      <c r="D23" s="292">
        <v>11.195979899497488</v>
      </c>
      <c r="E23" s="292">
        <f>'- 9 -'!C23</f>
        <v>11.913746630727763</v>
      </c>
      <c r="F23" s="272">
        <v>279987</v>
      </c>
      <c r="G23" s="272">
        <f>'- 50 -'!F23</f>
        <v>288728</v>
      </c>
      <c r="H23" s="292">
        <v>16.116129461525475</v>
      </c>
      <c r="I23" s="292">
        <f>'- 47 -'!G23</f>
        <v>16.195092096437396</v>
      </c>
    </row>
    <row r="24" spans="1:9" ht="14.1" customHeight="1" x14ac:dyDescent="0.2">
      <c r="A24" s="15" t="s">
        <v>116</v>
      </c>
      <c r="B24" s="16">
        <v>14508</v>
      </c>
      <c r="C24" s="16">
        <f>'- 4 -'!E24</f>
        <v>14802</v>
      </c>
      <c r="D24" s="47">
        <v>11.701718009478672</v>
      </c>
      <c r="E24" s="47">
        <f>'- 9 -'!C24</f>
        <v>11.891603053435114</v>
      </c>
      <c r="F24" s="16">
        <v>506733</v>
      </c>
      <c r="G24" s="16">
        <f>'- 50 -'!F24</f>
        <v>524987</v>
      </c>
      <c r="H24" s="47">
        <v>13.819839248448121</v>
      </c>
      <c r="I24" s="47">
        <f>'- 47 -'!G24</f>
        <v>14.306008715611425</v>
      </c>
    </row>
    <row r="25" spans="1:9" ht="14.1" customHeight="1" x14ac:dyDescent="0.2">
      <c r="A25" s="271" t="s">
        <v>117</v>
      </c>
      <c r="B25" s="272">
        <v>12061</v>
      </c>
      <c r="C25" s="272">
        <f>'- 4 -'!E25</f>
        <v>12391</v>
      </c>
      <c r="D25" s="292">
        <v>13.695168498379269</v>
      </c>
      <c r="E25" s="292">
        <f>'- 9 -'!C25</f>
        <v>13.518044920353523</v>
      </c>
      <c r="F25" s="272">
        <v>483485</v>
      </c>
      <c r="G25" s="272">
        <f>'- 50 -'!F25</f>
        <v>480970</v>
      </c>
      <c r="H25" s="292">
        <v>12.679022158127459</v>
      </c>
      <c r="I25" s="292">
        <f>'- 47 -'!G25</f>
        <v>13.260228145370151</v>
      </c>
    </row>
    <row r="26" spans="1:9" ht="14.1" customHeight="1" x14ac:dyDescent="0.2">
      <c r="A26" s="15" t="s">
        <v>118</v>
      </c>
      <c r="B26" s="16">
        <v>12883</v>
      </c>
      <c r="C26" s="16">
        <f>'- 4 -'!E26</f>
        <v>13465</v>
      </c>
      <c r="D26" s="47">
        <v>13.430089247768805</v>
      </c>
      <c r="E26" s="47">
        <f>'- 9 -'!C26</f>
        <v>13.045337895637294</v>
      </c>
      <c r="F26" s="16">
        <v>351006</v>
      </c>
      <c r="G26" s="16">
        <f>'- 50 -'!F26</f>
        <v>357556</v>
      </c>
      <c r="H26" s="47">
        <v>14.996851936873073</v>
      </c>
      <c r="I26" s="47">
        <f>'- 47 -'!G26</f>
        <v>15.651645161689501</v>
      </c>
    </row>
    <row r="27" spans="1:9" ht="14.1" customHeight="1" x14ac:dyDescent="0.2">
      <c r="A27" s="271" t="s">
        <v>119</v>
      </c>
      <c r="B27" s="272">
        <v>15021</v>
      </c>
      <c r="C27" s="272">
        <f>'- 4 -'!E27</f>
        <v>14709</v>
      </c>
      <c r="D27" s="292">
        <v>11.585374176742917</v>
      </c>
      <c r="E27" s="292">
        <f>'- 9 -'!C27</f>
        <v>11.958480196973419</v>
      </c>
      <c r="F27" s="272">
        <v>182765</v>
      </c>
      <c r="G27" s="272">
        <f>'- 50 -'!F27</f>
        <v>182469</v>
      </c>
      <c r="H27" s="292">
        <v>18.528571178179497</v>
      </c>
      <c r="I27" s="292">
        <f>'- 47 -'!G27</f>
        <v>18.577838958886439</v>
      </c>
    </row>
    <row r="28" spans="1:9" ht="14.1" customHeight="1" x14ac:dyDescent="0.2">
      <c r="A28" s="15" t="s">
        <v>120</v>
      </c>
      <c r="B28" s="16">
        <v>14617</v>
      </c>
      <c r="C28" s="16">
        <f>'- 4 -'!E28</f>
        <v>14637</v>
      </c>
      <c r="D28" s="47">
        <v>11.25542377784206</v>
      </c>
      <c r="E28" s="47">
        <f>'- 9 -'!C28</f>
        <v>11.227004412860337</v>
      </c>
      <c r="F28" s="16">
        <v>532525</v>
      </c>
      <c r="G28" s="16">
        <f>'- 50 -'!F28</f>
        <v>540294</v>
      </c>
      <c r="H28" s="47">
        <v>10.63448002179722</v>
      </c>
      <c r="I28" s="47">
        <f>'- 47 -'!G28</f>
        <v>11.28979402252317</v>
      </c>
    </row>
    <row r="29" spans="1:9" ht="14.1" customHeight="1" x14ac:dyDescent="0.2">
      <c r="A29" s="271" t="s">
        <v>121</v>
      </c>
      <c r="B29" s="272">
        <v>12445</v>
      </c>
      <c r="C29" s="272">
        <f>'- 4 -'!E29</f>
        <v>12538</v>
      </c>
      <c r="D29" s="292">
        <v>13.719337351353104</v>
      </c>
      <c r="E29" s="292">
        <f>'- 9 -'!C29</f>
        <v>13.649747147573869</v>
      </c>
      <c r="F29" s="272">
        <v>609197</v>
      </c>
      <c r="G29" s="272">
        <f>'- 50 -'!F29</f>
        <v>602579</v>
      </c>
      <c r="H29" s="292">
        <v>12.001809868751904</v>
      </c>
      <c r="I29" s="292">
        <f>'- 47 -'!G29</f>
        <v>12.482952404756249</v>
      </c>
    </row>
    <row r="30" spans="1:9" ht="14.1" customHeight="1" x14ac:dyDescent="0.2">
      <c r="A30" s="15" t="s">
        <v>122</v>
      </c>
      <c r="B30" s="16">
        <v>14640</v>
      </c>
      <c r="C30" s="16">
        <f>'- 4 -'!E30</f>
        <v>14902</v>
      </c>
      <c r="D30" s="47">
        <v>11.983767008832658</v>
      </c>
      <c r="E30" s="47">
        <f>'- 9 -'!C30</f>
        <v>11.486257210722769</v>
      </c>
      <c r="F30" s="16">
        <v>450522</v>
      </c>
      <c r="G30" s="16">
        <f>'- 50 -'!F30</f>
        <v>473896</v>
      </c>
      <c r="H30" s="47">
        <v>13.831392067473258</v>
      </c>
      <c r="I30" s="47">
        <f>'- 47 -'!G30</f>
        <v>14.806834922234753</v>
      </c>
    </row>
    <row r="31" spans="1:9" ht="14.1" customHeight="1" x14ac:dyDescent="0.2">
      <c r="A31" s="271" t="s">
        <v>123</v>
      </c>
      <c r="B31" s="272">
        <v>11684</v>
      </c>
      <c r="C31" s="272">
        <f>'- 4 -'!E31</f>
        <v>11643</v>
      </c>
      <c r="D31" s="292">
        <v>12.800127206233105</v>
      </c>
      <c r="E31" s="292">
        <f>'- 9 -'!C31</f>
        <v>12.978109688636003</v>
      </c>
      <c r="F31" s="272">
        <v>401497</v>
      </c>
      <c r="G31" s="272">
        <f>'- 50 -'!F31</f>
        <v>408032</v>
      </c>
      <c r="H31" s="292">
        <v>13.22893093788228</v>
      </c>
      <c r="I31" s="292">
        <f>'- 47 -'!G31</f>
        <v>13.894999987753902</v>
      </c>
    </row>
    <row r="32" spans="1:9" ht="14.1" customHeight="1" x14ac:dyDescent="0.2">
      <c r="A32" s="15" t="s">
        <v>124</v>
      </c>
      <c r="B32" s="16">
        <v>13733</v>
      </c>
      <c r="C32" s="16">
        <f>'- 4 -'!E32</f>
        <v>14008</v>
      </c>
      <c r="D32" s="47">
        <v>12.525412632231834</v>
      </c>
      <c r="E32" s="47">
        <f>'- 9 -'!C32</f>
        <v>11.973164529567709</v>
      </c>
      <c r="F32" s="16">
        <v>574923</v>
      </c>
      <c r="G32" s="16">
        <f>'- 50 -'!F32</f>
        <v>575743</v>
      </c>
      <c r="H32" s="47">
        <v>11.56324914800193</v>
      </c>
      <c r="I32" s="47">
        <f>'- 47 -'!G32</f>
        <v>12.374335186899202</v>
      </c>
    </row>
    <row r="33" spans="1:9" ht="14.1" customHeight="1" x14ac:dyDescent="0.2">
      <c r="A33" s="271" t="s">
        <v>125</v>
      </c>
      <c r="B33" s="272">
        <v>13853</v>
      </c>
      <c r="C33" s="272">
        <f>'- 4 -'!E33</f>
        <v>14286</v>
      </c>
      <c r="D33" s="292">
        <v>12.547504828359603</v>
      </c>
      <c r="E33" s="292">
        <f>'- 9 -'!C33</f>
        <v>12.375249500998004</v>
      </c>
      <c r="F33" s="272">
        <v>582533</v>
      </c>
      <c r="G33" s="272">
        <f>'- 50 -'!F33</f>
        <v>591214</v>
      </c>
      <c r="H33" s="292">
        <v>10.569852746667964</v>
      </c>
      <c r="I33" s="292">
        <f>'- 47 -'!G33</f>
        <v>10.83516010129939</v>
      </c>
    </row>
    <row r="34" spans="1:9" ht="14.1" customHeight="1" x14ac:dyDescent="0.2">
      <c r="A34" s="15" t="s">
        <v>126</v>
      </c>
      <c r="B34" s="16">
        <v>14797</v>
      </c>
      <c r="C34" s="16">
        <f>'- 4 -'!E34</f>
        <v>14932</v>
      </c>
      <c r="D34" s="47">
        <v>12.065625378375106</v>
      </c>
      <c r="E34" s="47">
        <f>'- 9 -'!C34</f>
        <v>12.192951228195085</v>
      </c>
      <c r="F34" s="16">
        <v>610676</v>
      </c>
      <c r="G34" s="16">
        <f>'- 50 -'!F34</f>
        <v>616820</v>
      </c>
      <c r="H34" s="47">
        <v>12.966003036364162</v>
      </c>
      <c r="I34" s="47">
        <f>'- 47 -'!G34</f>
        <v>14.065536861120943</v>
      </c>
    </row>
    <row r="35" spans="1:9" ht="14.1" customHeight="1" x14ac:dyDescent="0.2">
      <c r="A35" s="271" t="s">
        <v>127</v>
      </c>
      <c r="B35" s="272">
        <v>11677</v>
      </c>
      <c r="C35" s="272">
        <f>'- 4 -'!E35</f>
        <v>11759</v>
      </c>
      <c r="D35" s="292">
        <v>13.656605640771895</v>
      </c>
      <c r="E35" s="292">
        <f>'- 9 -'!C35</f>
        <v>13.847245983174309</v>
      </c>
      <c r="F35" s="272">
        <v>425771</v>
      </c>
      <c r="G35" s="272">
        <f>'- 50 -'!F35</f>
        <v>420190</v>
      </c>
      <c r="H35" s="292">
        <v>12.851057459864924</v>
      </c>
      <c r="I35" s="292">
        <f>'- 47 -'!G35</f>
        <v>13.359953121750669</v>
      </c>
    </row>
    <row r="36" spans="1:9" ht="14.1" customHeight="1" x14ac:dyDescent="0.2">
      <c r="A36" s="15" t="s">
        <v>128</v>
      </c>
      <c r="B36" s="16">
        <v>14242</v>
      </c>
      <c r="C36" s="16">
        <f>'- 4 -'!E36</f>
        <v>14233</v>
      </c>
      <c r="D36" s="47">
        <v>12.020886971026581</v>
      </c>
      <c r="E36" s="47">
        <f>'- 9 -'!C36</f>
        <v>12.364879770571367</v>
      </c>
      <c r="F36" s="16">
        <v>598587</v>
      </c>
      <c r="G36" s="16">
        <f>'- 50 -'!F36</f>
        <v>588911</v>
      </c>
      <c r="H36" s="47">
        <v>11.298269102446946</v>
      </c>
      <c r="I36" s="47">
        <f>'- 47 -'!G36</f>
        <v>11.969495353960687</v>
      </c>
    </row>
    <row r="37" spans="1:9" ht="14.1" customHeight="1" x14ac:dyDescent="0.2">
      <c r="A37" s="271" t="s">
        <v>129</v>
      </c>
      <c r="B37" s="272">
        <v>12094</v>
      </c>
      <c r="C37" s="272">
        <f>'- 4 -'!E37</f>
        <v>12169</v>
      </c>
      <c r="D37" s="292">
        <v>13.395247111053077</v>
      </c>
      <c r="E37" s="292">
        <f>'- 9 -'!C37</f>
        <v>13.740228696944246</v>
      </c>
      <c r="F37" s="272">
        <v>312066</v>
      </c>
      <c r="G37" s="272">
        <f>'- 50 -'!F37</f>
        <v>317490</v>
      </c>
      <c r="H37" s="292">
        <v>14.036827695365218</v>
      </c>
      <c r="I37" s="292">
        <f>'- 47 -'!G37</f>
        <v>14.453544902793038</v>
      </c>
    </row>
    <row r="38" spans="1:9" ht="14.1" customHeight="1" x14ac:dyDescent="0.2">
      <c r="A38" s="15" t="s">
        <v>130</v>
      </c>
      <c r="B38" s="16">
        <v>12104</v>
      </c>
      <c r="C38" s="16">
        <f>'- 4 -'!E38</f>
        <v>12245</v>
      </c>
      <c r="D38" s="47">
        <v>13.712470412358289</v>
      </c>
      <c r="E38" s="47">
        <f>'- 9 -'!C38</f>
        <v>13.791671247602645</v>
      </c>
      <c r="F38" s="16">
        <v>323994</v>
      </c>
      <c r="G38" s="16">
        <f>'- 50 -'!F38</f>
        <v>319578</v>
      </c>
      <c r="H38" s="47">
        <v>15.238621334558534</v>
      </c>
      <c r="I38" s="47">
        <f>'- 47 -'!G38</f>
        <v>16.163825222442334</v>
      </c>
    </row>
    <row r="39" spans="1:9" ht="14.1" customHeight="1" x14ac:dyDescent="0.2">
      <c r="A39" s="271" t="s">
        <v>131</v>
      </c>
      <c r="B39" s="272">
        <v>14896</v>
      </c>
      <c r="C39" s="272">
        <f>'- 4 -'!E39</f>
        <v>15329</v>
      </c>
      <c r="D39" s="292">
        <v>11.901885439481211</v>
      </c>
      <c r="E39" s="292">
        <f>'- 9 -'!C39</f>
        <v>11.521124608449844</v>
      </c>
      <c r="F39" s="272">
        <v>795669</v>
      </c>
      <c r="G39" s="272">
        <f>'- 50 -'!F39</f>
        <v>789689</v>
      </c>
      <c r="H39" s="292">
        <v>10.001962097911349</v>
      </c>
      <c r="I39" s="292">
        <f>'- 47 -'!G39</f>
        <v>10.552386038590681</v>
      </c>
    </row>
    <row r="40" spans="1:9" ht="14.1" customHeight="1" x14ac:dyDescent="0.2">
      <c r="A40" s="15" t="s">
        <v>132</v>
      </c>
      <c r="B40" s="16">
        <v>13139</v>
      </c>
      <c r="C40" s="16">
        <f>'- 4 -'!E40</f>
        <v>12988</v>
      </c>
      <c r="D40" s="47">
        <v>12.944337686870989</v>
      </c>
      <c r="E40" s="47">
        <f>'- 9 -'!C40</f>
        <v>13.61492082422315</v>
      </c>
      <c r="F40" s="16">
        <v>589832</v>
      </c>
      <c r="G40" s="16">
        <f>'- 50 -'!F40</f>
        <v>571406</v>
      </c>
      <c r="H40" s="47">
        <v>12.243473305972472</v>
      </c>
      <c r="I40" s="47">
        <f>'- 47 -'!G40</f>
        <v>13.098715885464619</v>
      </c>
    </row>
    <row r="41" spans="1:9" ht="14.1" customHeight="1" x14ac:dyDescent="0.2">
      <c r="A41" s="271" t="s">
        <v>133</v>
      </c>
      <c r="B41" s="272">
        <v>14208</v>
      </c>
      <c r="C41" s="272">
        <f>'- 4 -'!E41</f>
        <v>14292</v>
      </c>
      <c r="D41" s="292">
        <v>12.619844881371455</v>
      </c>
      <c r="E41" s="292">
        <f>'- 9 -'!C41</f>
        <v>12.717559882819231</v>
      </c>
      <c r="F41" s="272">
        <v>542780</v>
      </c>
      <c r="G41" s="272">
        <f>'- 50 -'!F41</f>
        <v>544884</v>
      </c>
      <c r="H41" s="292">
        <v>13.294637840180883</v>
      </c>
      <c r="I41" s="292">
        <f>'- 47 -'!G41</f>
        <v>13.718101059710044</v>
      </c>
    </row>
    <row r="42" spans="1:9" ht="14.1" customHeight="1" x14ac:dyDescent="0.2">
      <c r="A42" s="15" t="s">
        <v>134</v>
      </c>
      <c r="B42" s="16">
        <v>15367</v>
      </c>
      <c r="C42" s="16">
        <f>'- 4 -'!E42</f>
        <v>15421</v>
      </c>
      <c r="D42" s="47">
        <v>11.945931712455016</v>
      </c>
      <c r="E42" s="47">
        <f>'- 9 -'!C42</f>
        <v>12.196623285262048</v>
      </c>
      <c r="F42" s="16">
        <v>389427</v>
      </c>
      <c r="G42" s="16">
        <f>'- 50 -'!F42</f>
        <v>400267</v>
      </c>
      <c r="H42" s="47">
        <v>13.435665187773052</v>
      </c>
      <c r="I42" s="47">
        <f>'- 47 -'!G42</f>
        <v>14.03955062695027</v>
      </c>
    </row>
    <row r="43" spans="1:9" ht="14.1" customHeight="1" x14ac:dyDescent="0.2">
      <c r="A43" s="271" t="s">
        <v>135</v>
      </c>
      <c r="B43" s="272">
        <v>13936</v>
      </c>
      <c r="C43" s="272">
        <f>'- 4 -'!E43</f>
        <v>14092</v>
      </c>
      <c r="D43" s="292">
        <v>11.7886688393081</v>
      </c>
      <c r="E43" s="292">
        <f>'- 9 -'!C43</f>
        <v>11.991690796928115</v>
      </c>
      <c r="F43" s="272">
        <v>604308</v>
      </c>
      <c r="G43" s="272">
        <f>'- 50 -'!F43</f>
        <v>611882</v>
      </c>
      <c r="H43" s="292">
        <v>11.520951505411723</v>
      </c>
      <c r="I43" s="292">
        <f>'- 47 -'!G43</f>
        <v>12.025742958250314</v>
      </c>
    </row>
    <row r="44" spans="1:9" ht="14.1" customHeight="1" x14ac:dyDescent="0.2">
      <c r="A44" s="15" t="s">
        <v>136</v>
      </c>
      <c r="B44" s="16">
        <v>15948</v>
      </c>
      <c r="C44" s="16">
        <f>'- 4 -'!E44</f>
        <v>15699</v>
      </c>
      <c r="D44" s="47">
        <v>11.232174331036692</v>
      </c>
      <c r="E44" s="47">
        <f>'- 9 -'!C44</f>
        <v>11.456</v>
      </c>
      <c r="F44" s="16">
        <v>262545</v>
      </c>
      <c r="G44" s="16">
        <f>'- 50 -'!F44</f>
        <v>269085</v>
      </c>
      <c r="H44" s="47">
        <v>15.943048102976809</v>
      </c>
      <c r="I44" s="47">
        <f>'- 47 -'!G44</f>
        <v>16.431144694325873</v>
      </c>
    </row>
    <row r="45" spans="1:9" ht="14.1" customHeight="1" x14ac:dyDescent="0.2">
      <c r="A45" s="271" t="s">
        <v>137</v>
      </c>
      <c r="B45" s="272">
        <v>11253</v>
      </c>
      <c r="C45" s="272">
        <f>'- 4 -'!E45</f>
        <v>11412</v>
      </c>
      <c r="D45" s="292">
        <v>13.890475801844445</v>
      </c>
      <c r="E45" s="292">
        <f>'- 9 -'!C45</f>
        <v>13.666850785133748</v>
      </c>
      <c r="F45" s="272">
        <v>326239</v>
      </c>
      <c r="G45" s="272">
        <f>'- 50 -'!F45</f>
        <v>327895</v>
      </c>
      <c r="H45" s="292">
        <v>15.993254874992084</v>
      </c>
      <c r="I45" s="292">
        <f>'- 47 -'!G45</f>
        <v>16.605961149875736</v>
      </c>
    </row>
    <row r="46" spans="1:9" ht="14.1" customHeight="1" x14ac:dyDescent="0.2">
      <c r="A46" s="15" t="s">
        <v>138</v>
      </c>
      <c r="B46" s="16">
        <v>12660</v>
      </c>
      <c r="C46" s="16">
        <f>'- 4 -'!E46</f>
        <v>12943</v>
      </c>
      <c r="D46" s="47">
        <v>13.313878538506367</v>
      </c>
      <c r="E46" s="47">
        <f>'- 9 -'!C46</f>
        <v>13.362521968753589</v>
      </c>
      <c r="F46" s="16">
        <v>417567</v>
      </c>
      <c r="G46" s="16">
        <f>'- 50 -'!F46</f>
        <v>409113</v>
      </c>
      <c r="H46" s="47">
        <v>14.190948621361464</v>
      </c>
      <c r="I46" s="47">
        <f>'- 47 -'!G46</f>
        <v>15.031143382924444</v>
      </c>
    </row>
    <row r="47" spans="1:9" ht="5.0999999999999996" customHeight="1" x14ac:dyDescent="0.2">
      <c r="B47" s="140"/>
      <c r="C47" s="140"/>
      <c r="D47" s="202"/>
      <c r="E47" s="202"/>
      <c r="F47" s="140"/>
      <c r="G47" s="140"/>
      <c r="H47" s="202"/>
      <c r="I47" s="202"/>
    </row>
    <row r="48" spans="1:9" ht="14.1" customHeight="1" x14ac:dyDescent="0.2">
      <c r="A48" s="274" t="s">
        <v>139</v>
      </c>
      <c r="B48" s="305">
        <v>13016</v>
      </c>
      <c r="C48" s="305">
        <f>'- 4 -'!E48</f>
        <v>13187</v>
      </c>
      <c r="D48" s="336">
        <v>13.033675146141874</v>
      </c>
      <c r="E48" s="336">
        <f>'- 9 -'!C48</f>
        <v>13.102144393280184</v>
      </c>
      <c r="F48" s="305">
        <v>434942.09930884093</v>
      </c>
      <c r="G48" s="305">
        <f>'- 50 -'!F48</f>
        <v>433310.47371458152</v>
      </c>
      <c r="H48" s="336">
        <v>13.20872414256054</v>
      </c>
      <c r="I48" s="336">
        <f>'- 47 -'!G48</f>
        <v>13.819810294287814</v>
      </c>
    </row>
    <row r="49" spans="1:9" ht="5.0999999999999996" customHeight="1" x14ac:dyDescent="0.2">
      <c r="B49" s="140"/>
      <c r="C49" s="140"/>
      <c r="D49" s="202"/>
      <c r="E49" s="202"/>
      <c r="F49" s="140"/>
      <c r="G49" s="140"/>
      <c r="H49" s="202"/>
      <c r="I49" s="202"/>
    </row>
    <row r="50" spans="1:9" ht="14.45" customHeight="1" x14ac:dyDescent="0.2">
      <c r="A50" s="15" t="s">
        <v>140</v>
      </c>
      <c r="B50" s="16">
        <v>20300</v>
      </c>
      <c r="C50" s="16">
        <f>'- 4 -'!E50</f>
        <v>20785</v>
      </c>
      <c r="D50" s="200">
        <v>8.1601621895590473</v>
      </c>
      <c r="E50" s="200">
        <f>'- 9 -'!C50</f>
        <v>8.2108464267612771</v>
      </c>
      <c r="F50" s="139"/>
      <c r="G50" s="139"/>
      <c r="H50" s="200"/>
      <c r="I50" s="200"/>
    </row>
    <row r="51" spans="1:9" ht="50.1" customHeight="1" x14ac:dyDescent="0.2">
      <c r="A51" s="19"/>
      <c r="B51" s="19"/>
      <c r="C51" s="19"/>
      <c r="D51" s="19"/>
      <c r="E51" s="19"/>
      <c r="F51" s="19"/>
      <c r="G51" s="19"/>
      <c r="H51" s="19"/>
      <c r="I51" s="19"/>
    </row>
    <row r="52" spans="1:9" ht="15" customHeight="1" x14ac:dyDescent="0.2">
      <c r="A52" s="31" t="s">
        <v>321</v>
      </c>
      <c r="B52" s="31"/>
      <c r="C52" s="31"/>
      <c r="D52" s="31"/>
      <c r="E52" s="31"/>
      <c r="F52" s="31"/>
    </row>
    <row r="53" spans="1:9" ht="12" customHeight="1" x14ac:dyDescent="0.2">
      <c r="A53" s="31" t="s">
        <v>322</v>
      </c>
      <c r="B53" s="31"/>
      <c r="C53" s="31"/>
      <c r="D53" s="31"/>
      <c r="E53" s="31"/>
      <c r="F53" s="31"/>
    </row>
    <row r="54" spans="1:9" ht="12" customHeight="1" x14ac:dyDescent="0.2">
      <c r="A54" s="131" t="s">
        <v>544</v>
      </c>
      <c r="B54" s="31"/>
      <c r="C54" s="31"/>
      <c r="D54" s="31"/>
      <c r="E54" s="31"/>
      <c r="F54" s="31"/>
    </row>
    <row r="55" spans="1:9" x14ac:dyDescent="0.2">
      <c r="A55" s="131" t="s">
        <v>545</v>
      </c>
    </row>
  </sheetData>
  <mergeCells count="4">
    <mergeCell ref="H7:I8"/>
    <mergeCell ref="F6:G8"/>
    <mergeCell ref="D7:E8"/>
    <mergeCell ref="B6:C8"/>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49"/>
  <dimension ref="A1:Y74"/>
  <sheetViews>
    <sheetView showGridLines="0" defaultGridColor="0" colorId="22" workbookViewId="0">
      <pane xSplit="2" ySplit="10" topLeftCell="J11" activePane="bottomRight" state="frozen"/>
      <selection pane="topRight" activeCell="C1" sqref="C1"/>
      <selection pane="bottomLeft" activeCell="A11" sqref="A11"/>
      <selection pane="bottomRight"/>
    </sheetView>
  </sheetViews>
  <sheetFormatPr defaultColWidth="15.83203125" defaultRowHeight="12" x14ac:dyDescent="0.2"/>
  <cols>
    <col min="1" max="1" width="5.83203125" style="1" customWidth="1"/>
    <col min="2" max="2" width="30.83203125" style="1" customWidth="1"/>
    <col min="3" max="18" width="15.83203125" style="1" customWidth="1"/>
    <col min="19" max="20" width="15.83203125" style="1"/>
    <col min="21" max="21" width="22.33203125" style="1" bestFit="1" customWidth="1"/>
    <col min="22" max="16384" width="15.83203125" style="1"/>
  </cols>
  <sheetData>
    <row r="1" spans="1:25" ht="6" customHeight="1" x14ac:dyDescent="0.2">
      <c r="A1" s="3"/>
      <c r="B1" s="180"/>
      <c r="C1" s="180"/>
      <c r="D1" s="180"/>
      <c r="E1" s="180"/>
      <c r="F1" s="180"/>
      <c r="G1" s="180"/>
      <c r="H1" s="180"/>
      <c r="I1" s="180"/>
      <c r="J1" s="180"/>
      <c r="K1" s="180"/>
      <c r="L1" s="180"/>
      <c r="M1" s="180"/>
      <c r="N1" s="180"/>
      <c r="O1" s="180"/>
      <c r="P1" s="180"/>
      <c r="Q1" s="180"/>
      <c r="R1" s="180"/>
    </row>
    <row r="2" spans="1:25" x14ac:dyDescent="0.2">
      <c r="A2" s="180"/>
      <c r="B2" s="453" t="s">
        <v>361</v>
      </c>
      <c r="C2" s="164"/>
      <c r="D2" s="164"/>
      <c r="E2" s="164"/>
      <c r="F2" s="164"/>
      <c r="G2" s="164"/>
      <c r="H2" s="164"/>
      <c r="I2" s="164"/>
      <c r="J2" s="164"/>
      <c r="K2" s="509" t="s">
        <v>555</v>
      </c>
      <c r="L2" s="509">
        <v>1960907</v>
      </c>
      <c r="M2" s="164" t="s">
        <v>558</v>
      </c>
      <c r="N2" s="526" t="s">
        <v>603</v>
      </c>
      <c r="O2" s="526">
        <v>12</v>
      </c>
      <c r="P2" s="164"/>
      <c r="Q2" s="164"/>
      <c r="R2" s="164"/>
      <c r="T2" s="247"/>
      <c r="U2" s="430" t="s">
        <v>342</v>
      </c>
      <c r="V2" s="431" t="s">
        <v>343</v>
      </c>
      <c r="Y2" s="1" t="s">
        <v>362</v>
      </c>
    </row>
    <row r="3" spans="1:25" x14ac:dyDescent="0.2">
      <c r="A3" s="203" t="s">
        <v>44</v>
      </c>
      <c r="B3" s="454"/>
      <c r="C3" s="180"/>
      <c r="D3" s="180"/>
      <c r="E3" s="180"/>
      <c r="F3" s="1" t="s">
        <v>73</v>
      </c>
      <c r="G3" s="180"/>
      <c r="H3" s="180"/>
      <c r="I3" s="180"/>
      <c r="J3" s="180"/>
      <c r="K3" s="180"/>
      <c r="L3" s="512">
        <v>1948700</v>
      </c>
      <c r="M3" s="511" t="s">
        <v>559</v>
      </c>
      <c r="N3" s="180"/>
      <c r="O3" s="180"/>
      <c r="P3" s="180"/>
      <c r="Q3" s="180"/>
      <c r="R3" s="180"/>
      <c r="T3" s="432" t="s">
        <v>344</v>
      </c>
      <c r="U3" s="444" t="s">
        <v>355</v>
      </c>
      <c r="V3" s="247"/>
      <c r="Y3" s="1" t="s">
        <v>363</v>
      </c>
    </row>
    <row r="4" spans="1:25" x14ac:dyDescent="0.2">
      <c r="B4" s="455"/>
      <c r="C4" s="164"/>
      <c r="D4" s="164"/>
      <c r="E4" s="164"/>
      <c r="F4" s="164"/>
      <c r="G4" s="164"/>
      <c r="H4" s="164"/>
      <c r="I4" s="164"/>
      <c r="J4" s="164"/>
      <c r="K4" s="164"/>
      <c r="L4" s="164"/>
      <c r="M4" s="164"/>
      <c r="N4" s="164"/>
      <c r="O4" s="164"/>
      <c r="P4" s="164"/>
      <c r="Q4" s="164"/>
      <c r="R4" s="164"/>
      <c r="T4" s="432" t="s">
        <v>345</v>
      </c>
      <c r="U4" s="444" t="s">
        <v>355</v>
      </c>
      <c r="V4" s="247"/>
      <c r="Y4" s="1">
        <v>1</v>
      </c>
    </row>
    <row r="5" spans="1:25" x14ac:dyDescent="0.2">
      <c r="B5" s="204" t="s">
        <v>94</v>
      </c>
      <c r="C5" s="205" t="s">
        <v>28</v>
      </c>
      <c r="D5" s="206"/>
      <c r="E5" s="206"/>
      <c r="F5" s="206"/>
      <c r="G5" s="206"/>
      <c r="H5" s="206"/>
      <c r="I5" s="206"/>
      <c r="J5" s="206"/>
      <c r="K5" s="206"/>
      <c r="L5" s="206"/>
      <c r="M5" s="206"/>
      <c r="N5" s="206"/>
      <c r="O5" s="164"/>
      <c r="P5" s="164"/>
      <c r="Q5" s="164"/>
      <c r="R5" s="164"/>
      <c r="T5" s="1" t="s">
        <v>354</v>
      </c>
    </row>
    <row r="6" spans="1:25" x14ac:dyDescent="0.2">
      <c r="B6" s="445">
        <v>2017</v>
      </c>
      <c r="O6" s="839" t="s">
        <v>546</v>
      </c>
      <c r="P6" s="513"/>
      <c r="S6" s="438" t="s">
        <v>600</v>
      </c>
      <c r="T6" s="438" t="s">
        <v>599</v>
      </c>
    </row>
    <row r="7" spans="1:25" x14ac:dyDescent="0.2">
      <c r="C7" s="90"/>
      <c r="N7" s="128" t="s">
        <v>221</v>
      </c>
      <c r="O7" s="839"/>
      <c r="P7" s="513"/>
      <c r="Q7" s="510" t="s">
        <v>556</v>
      </c>
      <c r="R7" s="510" t="s">
        <v>25</v>
      </c>
      <c r="S7" s="434" t="s">
        <v>346</v>
      </c>
      <c r="T7" s="434" t="s">
        <v>346</v>
      </c>
    </row>
    <row r="8" spans="1:25" x14ac:dyDescent="0.2">
      <c r="C8" s="208" t="s">
        <v>35</v>
      </c>
      <c r="D8" s="4"/>
      <c r="E8" s="4"/>
      <c r="F8" s="4"/>
      <c r="G8" s="4"/>
      <c r="H8" s="4"/>
      <c r="I8" s="4"/>
      <c r="J8" s="4">
        <v>700</v>
      </c>
      <c r="K8" s="4"/>
      <c r="L8" s="128" t="s">
        <v>25</v>
      </c>
      <c r="M8" s="128" t="s">
        <v>184</v>
      </c>
      <c r="N8" s="128" t="s">
        <v>185</v>
      </c>
      <c r="O8" s="839"/>
      <c r="P8" s="513" t="s">
        <v>567</v>
      </c>
      <c r="Q8" s="510" t="s">
        <v>557</v>
      </c>
      <c r="R8" s="510" t="s">
        <v>560</v>
      </c>
      <c r="S8" s="433" t="s">
        <v>347</v>
      </c>
      <c r="T8" s="433" t="s">
        <v>347</v>
      </c>
    </row>
    <row r="9" spans="1:25" x14ac:dyDescent="0.2">
      <c r="A9" s="209" t="s">
        <v>144</v>
      </c>
      <c r="B9" s="1" t="s">
        <v>145</v>
      </c>
      <c r="C9" s="1">
        <v>100</v>
      </c>
      <c r="D9" s="1">
        <v>200</v>
      </c>
      <c r="E9" s="1">
        <v>300</v>
      </c>
      <c r="F9" s="1">
        <v>400</v>
      </c>
      <c r="G9" s="1">
        <v>500</v>
      </c>
      <c r="H9" s="1">
        <v>600</v>
      </c>
      <c r="I9" s="1">
        <v>700</v>
      </c>
      <c r="J9" s="128" t="s">
        <v>41</v>
      </c>
      <c r="K9" s="4">
        <v>800</v>
      </c>
      <c r="L9" s="128" t="s">
        <v>42</v>
      </c>
      <c r="M9" s="128" t="s">
        <v>77</v>
      </c>
      <c r="N9" s="128" t="s">
        <v>93</v>
      </c>
      <c r="O9" s="839"/>
      <c r="P9" s="513" t="s">
        <v>568</v>
      </c>
      <c r="Q9" s="510" t="s">
        <v>34</v>
      </c>
      <c r="R9" s="510" t="s">
        <v>561</v>
      </c>
      <c r="S9" s="435" t="s">
        <v>348</v>
      </c>
      <c r="T9" s="435" t="s">
        <v>348</v>
      </c>
      <c r="U9" s="424" t="s">
        <v>306</v>
      </c>
      <c r="V9" s="424" t="s">
        <v>308</v>
      </c>
      <c r="W9" s="424" t="s">
        <v>309</v>
      </c>
      <c r="X9" s="425" t="s">
        <v>310</v>
      </c>
    </row>
    <row r="10" spans="1:25" ht="3.95" customHeight="1" x14ac:dyDescent="0.2">
      <c r="U10" s="424"/>
      <c r="V10" s="424"/>
      <c r="W10" s="424"/>
      <c r="X10" s="425"/>
    </row>
    <row r="11" spans="1:25" ht="10.9" customHeight="1" x14ac:dyDescent="0.2">
      <c r="A11" s="207" t="s">
        <v>146</v>
      </c>
      <c r="B11" s="1" t="s">
        <v>104</v>
      </c>
      <c r="C11" s="1">
        <v>64400</v>
      </c>
      <c r="D11" s="1">
        <v>0</v>
      </c>
      <c r="E11" s="1">
        <v>0</v>
      </c>
      <c r="F11" s="1">
        <v>0</v>
      </c>
      <c r="G11" s="1">
        <v>0</v>
      </c>
      <c r="H11" s="1">
        <v>7000</v>
      </c>
      <c r="I11" s="1">
        <v>0</v>
      </c>
      <c r="J11" s="1">
        <v>0</v>
      </c>
      <c r="K11" s="1">
        <v>0</v>
      </c>
      <c r="L11" s="72">
        <f t="shared" ref="L11:L37" si="0">SUM(C11:I11)-J11+K11</f>
        <v>71400</v>
      </c>
      <c r="M11" s="72">
        <v>30000</v>
      </c>
      <c r="N11" s="72">
        <v>0</v>
      </c>
      <c r="O11" s="72">
        <v>0</v>
      </c>
      <c r="P11" s="72">
        <v>0</v>
      </c>
      <c r="Q11" s="72">
        <v>2641099</v>
      </c>
      <c r="R11" s="72">
        <v>2224264</v>
      </c>
      <c r="S11" s="436">
        <v>412611</v>
      </c>
      <c r="T11" s="436">
        <v>426198</v>
      </c>
      <c r="U11" s="424" t="s">
        <v>307</v>
      </c>
      <c r="V11" s="424">
        <f>+'- 3 -'!B48+'- 3 -'!B50+'- 3 -'!B51</f>
        <v>2426543846</v>
      </c>
      <c r="W11" s="424">
        <v>2426543846</v>
      </c>
      <c r="X11" s="425">
        <f>+V11-W11</f>
        <v>0</v>
      </c>
    </row>
    <row r="12" spans="1:25" ht="10.9" customHeight="1" x14ac:dyDescent="0.2">
      <c r="A12" s="207" t="s">
        <v>147</v>
      </c>
      <c r="B12" s="1" t="s">
        <v>105</v>
      </c>
      <c r="C12" s="1">
        <v>405000</v>
      </c>
      <c r="D12" s="1">
        <v>0</v>
      </c>
      <c r="E12" s="1">
        <v>0</v>
      </c>
      <c r="F12" s="1">
        <v>0</v>
      </c>
      <c r="G12" s="1">
        <v>0</v>
      </c>
      <c r="H12" s="1">
        <v>0</v>
      </c>
      <c r="I12" s="1">
        <v>0</v>
      </c>
      <c r="J12" s="1">
        <v>0</v>
      </c>
      <c r="K12" s="1">
        <v>0</v>
      </c>
      <c r="L12" s="72">
        <f t="shared" si="0"/>
        <v>405000</v>
      </c>
      <c r="M12" s="72">
        <v>37000</v>
      </c>
      <c r="N12" s="72">
        <v>0</v>
      </c>
      <c r="O12" s="72">
        <v>0</v>
      </c>
      <c r="P12" s="72">
        <v>0</v>
      </c>
      <c r="Q12" s="72">
        <v>6257492</v>
      </c>
      <c r="R12" s="72">
        <v>3131487</v>
      </c>
      <c r="S12" s="436">
        <v>440889</v>
      </c>
      <c r="T12" s="436">
        <v>431721</v>
      </c>
      <c r="U12" s="424" t="s">
        <v>312</v>
      </c>
      <c r="V12" s="424">
        <f>+'- 43 -'!I48</f>
        <v>2411967814</v>
      </c>
      <c r="W12" s="424">
        <v>2411967814</v>
      </c>
      <c r="X12" s="425">
        <f>+V12-W12</f>
        <v>0</v>
      </c>
    </row>
    <row r="13" spans="1:25" ht="10.9" customHeight="1" x14ac:dyDescent="0.2">
      <c r="A13" s="207" t="s">
        <v>148</v>
      </c>
      <c r="B13" s="1" t="s">
        <v>106</v>
      </c>
      <c r="C13" s="1">
        <v>125200</v>
      </c>
      <c r="D13" s="1">
        <v>0</v>
      </c>
      <c r="E13" s="1">
        <v>0</v>
      </c>
      <c r="F13" s="1">
        <v>0</v>
      </c>
      <c r="G13" s="1">
        <v>0</v>
      </c>
      <c r="H13" s="1">
        <v>0</v>
      </c>
      <c r="I13" s="1">
        <v>0</v>
      </c>
      <c r="J13" s="1">
        <v>0</v>
      </c>
      <c r="K13" s="1">
        <v>0</v>
      </c>
      <c r="L13" s="72">
        <f t="shared" si="0"/>
        <v>125200</v>
      </c>
      <c r="M13" s="72">
        <v>87800</v>
      </c>
      <c r="N13" s="72">
        <v>0</v>
      </c>
      <c r="O13" s="72">
        <v>0</v>
      </c>
      <c r="P13" s="72">
        <v>0</v>
      </c>
      <c r="Q13" s="72">
        <v>12276064</v>
      </c>
      <c r="R13" s="72">
        <v>7327200</v>
      </c>
      <c r="S13" s="436">
        <v>368373</v>
      </c>
      <c r="T13" s="436">
        <v>366719</v>
      </c>
      <c r="U13" s="424" t="s">
        <v>313</v>
      </c>
      <c r="V13" s="424">
        <v>4589.2571428571437</v>
      </c>
      <c r="W13" s="424">
        <f>+'- 7 -'!B48</f>
        <v>4589.2571428571437</v>
      </c>
      <c r="X13" s="425">
        <f>+V13-W13</f>
        <v>0</v>
      </c>
    </row>
    <row r="14" spans="1:25" ht="10.9" customHeight="1" x14ac:dyDescent="0.2">
      <c r="A14" s="207" t="s">
        <v>149</v>
      </c>
      <c r="B14" s="1" t="s">
        <v>315</v>
      </c>
      <c r="C14" s="1">
        <v>930134</v>
      </c>
      <c r="D14" s="1">
        <v>0</v>
      </c>
      <c r="E14" s="1">
        <v>0</v>
      </c>
      <c r="F14" s="1">
        <v>0</v>
      </c>
      <c r="G14" s="1">
        <v>0</v>
      </c>
      <c r="H14" s="1">
        <v>7140</v>
      </c>
      <c r="I14" s="1">
        <v>0</v>
      </c>
      <c r="J14" s="1">
        <v>0</v>
      </c>
      <c r="K14" s="1">
        <v>0</v>
      </c>
      <c r="L14" s="72">
        <f t="shared" si="0"/>
        <v>937274</v>
      </c>
      <c r="M14" s="72">
        <v>0</v>
      </c>
      <c r="N14" s="72">
        <v>0</v>
      </c>
      <c r="O14" s="72">
        <v>0</v>
      </c>
      <c r="P14" s="72">
        <v>0</v>
      </c>
      <c r="Q14" s="72">
        <v>28076377</v>
      </c>
      <c r="R14" s="72">
        <v>7897997</v>
      </c>
      <c r="S14" s="436">
        <v>449144</v>
      </c>
      <c r="T14" s="436">
        <v>447093</v>
      </c>
      <c r="U14" s="424" t="s">
        <v>314</v>
      </c>
      <c r="V14" s="424">
        <f>+'- 7 -'!E48</f>
        <v>177451.65714285712</v>
      </c>
      <c r="W14" s="424">
        <v>177451.65714285712</v>
      </c>
      <c r="X14" s="425">
        <f>+V14-W14</f>
        <v>0</v>
      </c>
    </row>
    <row r="15" spans="1:25" ht="10.9" customHeight="1" x14ac:dyDescent="0.2">
      <c r="A15" s="207" t="s">
        <v>150</v>
      </c>
      <c r="B15" s="1" t="s">
        <v>107</v>
      </c>
      <c r="C15" s="1">
        <v>83000</v>
      </c>
      <c r="D15" s="1">
        <v>0</v>
      </c>
      <c r="E15" s="1">
        <v>0</v>
      </c>
      <c r="F15" s="1">
        <v>0</v>
      </c>
      <c r="G15" s="1">
        <v>1000</v>
      </c>
      <c r="H15" s="1">
        <v>5500</v>
      </c>
      <c r="I15" s="1">
        <v>0</v>
      </c>
      <c r="J15" s="1">
        <v>0</v>
      </c>
      <c r="K15" s="1">
        <v>0</v>
      </c>
      <c r="L15" s="72">
        <f t="shared" si="0"/>
        <v>89500</v>
      </c>
      <c r="M15" s="72">
        <v>26500</v>
      </c>
      <c r="N15" s="72">
        <v>0</v>
      </c>
      <c r="O15" s="72">
        <v>0</v>
      </c>
      <c r="P15" s="72">
        <v>0</v>
      </c>
      <c r="Q15" s="72">
        <v>4674780</v>
      </c>
      <c r="R15" s="72">
        <v>2116438</v>
      </c>
      <c r="S15" s="436">
        <v>678168</v>
      </c>
      <c r="T15" s="436">
        <v>655020</v>
      </c>
      <c r="X15" s="423"/>
    </row>
    <row r="16" spans="1:25" ht="10.9" customHeight="1" x14ac:dyDescent="0.2">
      <c r="A16" s="207" t="s">
        <v>151</v>
      </c>
      <c r="B16" s="1" t="s">
        <v>108</v>
      </c>
      <c r="C16" s="1">
        <v>0</v>
      </c>
      <c r="D16" s="1">
        <v>0</v>
      </c>
      <c r="E16" s="1">
        <v>0</v>
      </c>
      <c r="F16" s="1">
        <v>0</v>
      </c>
      <c r="G16" s="1">
        <v>0</v>
      </c>
      <c r="H16" s="1">
        <v>0</v>
      </c>
      <c r="I16" s="1">
        <v>0</v>
      </c>
      <c r="J16" s="1">
        <v>0</v>
      </c>
      <c r="K16" s="1">
        <v>0</v>
      </c>
      <c r="L16" s="72">
        <f t="shared" si="0"/>
        <v>0</v>
      </c>
      <c r="M16" s="72">
        <v>25000</v>
      </c>
      <c r="N16" s="72">
        <v>0</v>
      </c>
      <c r="O16" s="72">
        <v>0</v>
      </c>
      <c r="P16" s="72">
        <v>0</v>
      </c>
      <c r="Q16" s="72">
        <v>2050565</v>
      </c>
      <c r="R16" s="72">
        <v>1469035</v>
      </c>
      <c r="S16" s="436">
        <v>209029</v>
      </c>
      <c r="T16" s="436">
        <v>199296</v>
      </c>
    </row>
    <row r="17" spans="1:20" ht="10.9" customHeight="1" x14ac:dyDescent="0.2">
      <c r="A17" s="207" t="s">
        <v>152</v>
      </c>
      <c r="B17" s="1" t="s">
        <v>109</v>
      </c>
      <c r="C17" s="1">
        <v>67350</v>
      </c>
      <c r="D17" s="1">
        <v>0</v>
      </c>
      <c r="E17" s="1">
        <v>0</v>
      </c>
      <c r="F17" s="1">
        <v>0</v>
      </c>
      <c r="G17" s="1">
        <v>1000</v>
      </c>
      <c r="H17" s="1">
        <v>0</v>
      </c>
      <c r="I17" s="1">
        <v>0</v>
      </c>
      <c r="J17" s="1">
        <v>0</v>
      </c>
      <c r="K17" s="1">
        <v>0</v>
      </c>
      <c r="L17" s="72">
        <f t="shared" si="0"/>
        <v>68350</v>
      </c>
      <c r="M17" s="72">
        <v>30500</v>
      </c>
      <c r="N17" s="72">
        <v>0</v>
      </c>
      <c r="O17" s="72">
        <v>0</v>
      </c>
      <c r="P17" s="72">
        <v>5000</v>
      </c>
      <c r="Q17" s="72">
        <v>2592782</v>
      </c>
      <c r="R17" s="72">
        <v>1860681</v>
      </c>
      <c r="S17" s="436">
        <v>867598</v>
      </c>
      <c r="T17" s="436">
        <v>865984</v>
      </c>
    </row>
    <row r="18" spans="1:20" ht="10.9" customHeight="1" x14ac:dyDescent="0.2">
      <c r="A18" s="207" t="s">
        <v>153</v>
      </c>
      <c r="B18" s="1" t="s">
        <v>110</v>
      </c>
      <c r="C18" s="1">
        <v>3165000</v>
      </c>
      <c r="D18" s="1">
        <v>0</v>
      </c>
      <c r="E18" s="1">
        <v>1305000</v>
      </c>
      <c r="F18" s="1">
        <v>0</v>
      </c>
      <c r="G18" s="1">
        <v>97339</v>
      </c>
      <c r="H18" s="1">
        <v>43000</v>
      </c>
      <c r="I18" s="1">
        <v>225000</v>
      </c>
      <c r="J18" s="1">
        <v>0</v>
      </c>
      <c r="K18" s="1">
        <v>0</v>
      </c>
      <c r="L18" s="72">
        <f t="shared" si="0"/>
        <v>4835339</v>
      </c>
      <c r="M18" s="72">
        <v>0</v>
      </c>
      <c r="N18" s="72">
        <v>0</v>
      </c>
      <c r="O18" s="72">
        <v>0</v>
      </c>
      <c r="P18" s="72">
        <v>0</v>
      </c>
      <c r="Q18" s="72">
        <v>11556495</v>
      </c>
      <c r="R18" s="72">
        <v>6596355</v>
      </c>
      <c r="S18" s="436">
        <v>101725</v>
      </c>
      <c r="T18" s="436">
        <v>100073</v>
      </c>
    </row>
    <row r="19" spans="1:20" ht="10.9" customHeight="1" x14ac:dyDescent="0.2">
      <c r="A19" s="207" t="s">
        <v>154</v>
      </c>
      <c r="B19" s="1" t="s">
        <v>111</v>
      </c>
      <c r="C19" s="1">
        <v>415000</v>
      </c>
      <c r="D19" s="1">
        <v>0</v>
      </c>
      <c r="E19" s="1">
        <v>0</v>
      </c>
      <c r="F19" s="1">
        <v>27000</v>
      </c>
      <c r="G19" s="1">
        <v>0</v>
      </c>
      <c r="H19" s="1">
        <v>20000</v>
      </c>
      <c r="I19" s="1">
        <v>0</v>
      </c>
      <c r="J19" s="1">
        <v>0</v>
      </c>
      <c r="K19" s="1">
        <v>0</v>
      </c>
      <c r="L19" s="72">
        <f t="shared" si="0"/>
        <v>462000</v>
      </c>
      <c r="M19" s="72">
        <v>38500</v>
      </c>
      <c r="N19" s="72">
        <v>0</v>
      </c>
      <c r="O19" s="72">
        <v>0</v>
      </c>
      <c r="P19" s="72">
        <v>0</v>
      </c>
      <c r="Q19" s="72">
        <v>5116616</v>
      </c>
      <c r="R19" s="72">
        <v>4922836</v>
      </c>
      <c r="S19" s="436">
        <v>272222</v>
      </c>
      <c r="T19" s="436">
        <v>269173</v>
      </c>
    </row>
    <row r="20" spans="1:20" ht="10.9" customHeight="1" x14ac:dyDescent="0.2">
      <c r="A20" s="207" t="s">
        <v>155</v>
      </c>
      <c r="B20" s="1" t="s">
        <v>112</v>
      </c>
      <c r="C20" s="1">
        <v>1738000</v>
      </c>
      <c r="D20" s="1">
        <v>0</v>
      </c>
      <c r="E20" s="1">
        <v>0</v>
      </c>
      <c r="F20" s="1">
        <v>0</v>
      </c>
      <c r="G20" s="1">
        <v>0</v>
      </c>
      <c r="H20" s="1">
        <v>0</v>
      </c>
      <c r="I20" s="1">
        <v>0</v>
      </c>
      <c r="J20" s="1">
        <v>0</v>
      </c>
      <c r="K20" s="1">
        <v>0</v>
      </c>
      <c r="L20" s="72">
        <f t="shared" si="0"/>
        <v>1738000</v>
      </c>
      <c r="M20" s="72">
        <v>74000</v>
      </c>
      <c r="N20" s="72">
        <v>0</v>
      </c>
      <c r="O20" s="72">
        <v>0</v>
      </c>
      <c r="P20" s="72">
        <v>0</v>
      </c>
      <c r="Q20" s="72">
        <v>10276889</v>
      </c>
      <c r="R20" s="72">
        <v>8462923</v>
      </c>
      <c r="S20" s="436">
        <v>266510</v>
      </c>
      <c r="T20" s="436">
        <v>263965</v>
      </c>
    </row>
    <row r="21" spans="1:20" ht="10.9" customHeight="1" x14ac:dyDescent="0.2">
      <c r="A21" s="207" t="s">
        <v>156</v>
      </c>
      <c r="B21" s="1" t="s">
        <v>113</v>
      </c>
      <c r="C21" s="1">
        <v>260100</v>
      </c>
      <c r="D21" s="1">
        <v>110000</v>
      </c>
      <c r="E21" s="1">
        <v>0</v>
      </c>
      <c r="F21" s="1">
        <v>0</v>
      </c>
      <c r="G21" s="1">
        <v>11400</v>
      </c>
      <c r="H21" s="1">
        <v>20700</v>
      </c>
      <c r="I21" s="1">
        <v>0</v>
      </c>
      <c r="J21" s="1">
        <v>0</v>
      </c>
      <c r="K21" s="1">
        <v>0</v>
      </c>
      <c r="L21" s="72">
        <f t="shared" si="0"/>
        <v>402200</v>
      </c>
      <c r="M21" s="72">
        <v>44000</v>
      </c>
      <c r="N21" s="72">
        <v>0</v>
      </c>
      <c r="O21" s="72">
        <v>0</v>
      </c>
      <c r="P21" s="72">
        <v>0</v>
      </c>
      <c r="Q21" s="72">
        <v>5805590</v>
      </c>
      <c r="R21" s="72">
        <v>3367483</v>
      </c>
      <c r="S21" s="436">
        <v>467783</v>
      </c>
      <c r="T21" s="436">
        <v>468889</v>
      </c>
    </row>
    <row r="22" spans="1:20" ht="10.9" customHeight="1" x14ac:dyDescent="0.2">
      <c r="A22" s="207" t="s">
        <v>157</v>
      </c>
      <c r="B22" s="1" t="s">
        <v>114</v>
      </c>
      <c r="C22" s="1">
        <v>0</v>
      </c>
      <c r="D22" s="1">
        <v>0</v>
      </c>
      <c r="E22" s="1">
        <v>0</v>
      </c>
      <c r="F22" s="1">
        <v>0</v>
      </c>
      <c r="G22" s="1">
        <v>0</v>
      </c>
      <c r="H22" s="1">
        <v>20500</v>
      </c>
      <c r="I22" s="1">
        <v>0</v>
      </c>
      <c r="J22" s="1">
        <v>0</v>
      </c>
      <c r="K22" s="1">
        <v>0</v>
      </c>
      <c r="L22" s="72">
        <f t="shared" si="0"/>
        <v>20500</v>
      </c>
      <c r="M22" s="72">
        <v>32000</v>
      </c>
      <c r="N22" s="72">
        <v>0</v>
      </c>
      <c r="O22" s="72">
        <v>0</v>
      </c>
      <c r="P22" s="72">
        <v>0</v>
      </c>
      <c r="Q22" s="72">
        <v>2366671</v>
      </c>
      <c r="R22" s="72">
        <v>2694055</v>
      </c>
      <c r="S22" s="436">
        <v>172842</v>
      </c>
      <c r="T22" s="436">
        <v>171225</v>
      </c>
    </row>
    <row r="23" spans="1:20" ht="10.9" customHeight="1" x14ac:dyDescent="0.2">
      <c r="A23" s="207" t="s">
        <v>158</v>
      </c>
      <c r="B23" s="1" t="s">
        <v>115</v>
      </c>
      <c r="C23" s="1">
        <v>34000</v>
      </c>
      <c r="D23" s="1">
        <v>0</v>
      </c>
      <c r="E23" s="1">
        <v>0</v>
      </c>
      <c r="F23" s="1">
        <v>0</v>
      </c>
      <c r="G23" s="1">
        <v>0</v>
      </c>
      <c r="H23" s="1">
        <v>1700</v>
      </c>
      <c r="I23" s="1">
        <v>0</v>
      </c>
      <c r="J23" s="1">
        <v>0</v>
      </c>
      <c r="K23" s="1">
        <v>0</v>
      </c>
      <c r="L23" s="72">
        <f t="shared" si="0"/>
        <v>35700</v>
      </c>
      <c r="M23" s="72">
        <v>26000</v>
      </c>
      <c r="N23" s="72">
        <v>0</v>
      </c>
      <c r="O23" s="72">
        <v>0</v>
      </c>
      <c r="P23" s="72">
        <v>0</v>
      </c>
      <c r="Q23" s="72">
        <v>1920735</v>
      </c>
      <c r="R23" s="72">
        <v>1960621</v>
      </c>
      <c r="S23" s="436">
        <v>288728</v>
      </c>
      <c r="T23" s="436">
        <v>279987</v>
      </c>
    </row>
    <row r="24" spans="1:20" ht="10.9" customHeight="1" x14ac:dyDescent="0.2">
      <c r="A24" s="207" t="s">
        <v>159</v>
      </c>
      <c r="B24" s="1" t="s">
        <v>116</v>
      </c>
      <c r="C24" s="1">
        <v>162000</v>
      </c>
      <c r="D24" s="1">
        <v>0</v>
      </c>
      <c r="E24" s="1">
        <v>0</v>
      </c>
      <c r="F24" s="1">
        <v>0</v>
      </c>
      <c r="G24" s="1">
        <v>3750</v>
      </c>
      <c r="H24" s="1">
        <v>0</v>
      </c>
      <c r="I24" s="1">
        <v>0</v>
      </c>
      <c r="J24" s="1">
        <v>0</v>
      </c>
      <c r="K24" s="1">
        <v>0</v>
      </c>
      <c r="L24" s="72">
        <f t="shared" si="0"/>
        <v>165750</v>
      </c>
      <c r="M24" s="72">
        <v>60000</v>
      </c>
      <c r="N24" s="72">
        <v>0</v>
      </c>
      <c r="O24" s="72">
        <v>0</v>
      </c>
      <c r="P24" s="72">
        <v>5500</v>
      </c>
      <c r="Q24" s="72">
        <v>9822677</v>
      </c>
      <c r="R24" s="72">
        <v>5133338</v>
      </c>
      <c r="S24" s="436">
        <v>524987</v>
      </c>
      <c r="T24" s="436">
        <v>506733</v>
      </c>
    </row>
    <row r="25" spans="1:20" ht="10.9" customHeight="1" x14ac:dyDescent="0.2">
      <c r="A25" s="207" t="s">
        <v>160</v>
      </c>
      <c r="B25" s="1" t="s">
        <v>117</v>
      </c>
      <c r="C25" s="1">
        <v>568634</v>
      </c>
      <c r="D25" s="1">
        <v>192000</v>
      </c>
      <c r="E25" s="1">
        <v>31266</v>
      </c>
      <c r="F25" s="1">
        <v>0</v>
      </c>
      <c r="G25" s="1">
        <v>13500</v>
      </c>
      <c r="H25" s="1">
        <v>32000</v>
      </c>
      <c r="I25" s="1">
        <v>0</v>
      </c>
      <c r="J25" s="1">
        <v>0</v>
      </c>
      <c r="K25" s="1">
        <v>0</v>
      </c>
      <c r="L25" s="72">
        <f t="shared" si="0"/>
        <v>837400</v>
      </c>
      <c r="M25" s="72">
        <v>18000</v>
      </c>
      <c r="N25" s="72">
        <v>895836</v>
      </c>
      <c r="O25" s="72">
        <v>0</v>
      </c>
      <c r="P25" s="72">
        <v>0</v>
      </c>
      <c r="Q25" s="72">
        <v>34009886</v>
      </c>
      <c r="R25" s="72">
        <v>15855679</v>
      </c>
      <c r="S25" s="436">
        <v>480970</v>
      </c>
      <c r="T25" s="436">
        <v>483485</v>
      </c>
    </row>
    <row r="26" spans="1:20" ht="10.9" customHeight="1" x14ac:dyDescent="0.2">
      <c r="A26" s="207" t="s">
        <v>161</v>
      </c>
      <c r="B26" s="1" t="s">
        <v>118</v>
      </c>
      <c r="C26" s="1">
        <v>0</v>
      </c>
      <c r="D26" s="1">
        <v>0</v>
      </c>
      <c r="E26" s="1">
        <v>0</v>
      </c>
      <c r="F26" s="1">
        <v>0</v>
      </c>
      <c r="G26" s="1">
        <v>0</v>
      </c>
      <c r="H26" s="1">
        <v>7500</v>
      </c>
      <c r="I26" s="1">
        <v>0</v>
      </c>
      <c r="J26" s="1">
        <v>0</v>
      </c>
      <c r="K26" s="1">
        <v>0</v>
      </c>
      <c r="L26" s="72">
        <f t="shared" si="0"/>
        <v>7500</v>
      </c>
      <c r="M26" s="72">
        <v>36000</v>
      </c>
      <c r="N26" s="72">
        <v>0</v>
      </c>
      <c r="O26" s="72">
        <v>0</v>
      </c>
      <c r="P26" s="72">
        <v>0</v>
      </c>
      <c r="Q26" s="72">
        <v>5169884</v>
      </c>
      <c r="R26" s="72">
        <v>3852479</v>
      </c>
      <c r="S26" s="436">
        <v>357556</v>
      </c>
      <c r="T26" s="436">
        <v>351006</v>
      </c>
    </row>
    <row r="27" spans="1:20" ht="10.9" customHeight="1" x14ac:dyDescent="0.2">
      <c r="A27" s="207" t="s">
        <v>162</v>
      </c>
      <c r="B27" s="1" t="s">
        <v>119</v>
      </c>
      <c r="C27" s="1">
        <v>10300</v>
      </c>
      <c r="D27" s="1">
        <v>0</v>
      </c>
      <c r="E27" s="1">
        <v>0</v>
      </c>
      <c r="F27" s="1">
        <v>0</v>
      </c>
      <c r="G27" s="1">
        <v>0</v>
      </c>
      <c r="H27" s="1">
        <v>0</v>
      </c>
      <c r="I27" s="1">
        <v>0</v>
      </c>
      <c r="J27" s="1">
        <v>0</v>
      </c>
      <c r="K27" s="1">
        <v>0</v>
      </c>
      <c r="L27" s="72">
        <f t="shared" si="0"/>
        <v>10300</v>
      </c>
      <c r="M27" s="72">
        <v>70000</v>
      </c>
      <c r="N27" s="72">
        <v>0</v>
      </c>
      <c r="O27" s="72">
        <v>0</v>
      </c>
      <c r="P27" s="72">
        <v>0</v>
      </c>
      <c r="Q27" s="72">
        <v>3559438</v>
      </c>
      <c r="R27" s="72">
        <v>5056386</v>
      </c>
      <c r="S27" s="436">
        <v>182469</v>
      </c>
      <c r="T27" s="436">
        <v>182765</v>
      </c>
    </row>
    <row r="28" spans="1:20" ht="10.9" customHeight="1" x14ac:dyDescent="0.2">
      <c r="A28" s="207" t="s">
        <v>163</v>
      </c>
      <c r="B28" s="1" t="s">
        <v>120</v>
      </c>
      <c r="C28" s="1">
        <v>90000</v>
      </c>
      <c r="D28" s="1">
        <v>0</v>
      </c>
      <c r="E28" s="1">
        <v>60000</v>
      </c>
      <c r="F28" s="1">
        <v>0</v>
      </c>
      <c r="G28" s="1">
        <v>0</v>
      </c>
      <c r="H28" s="1">
        <v>0</v>
      </c>
      <c r="I28" s="1">
        <v>0</v>
      </c>
      <c r="J28" s="1">
        <v>0</v>
      </c>
      <c r="K28" s="1">
        <v>0</v>
      </c>
      <c r="L28" s="72">
        <f t="shared" si="0"/>
        <v>150000</v>
      </c>
      <c r="M28" s="72">
        <v>30000</v>
      </c>
      <c r="N28" s="72">
        <v>0</v>
      </c>
      <c r="O28" s="72">
        <v>200784</v>
      </c>
      <c r="P28" s="72">
        <v>0</v>
      </c>
      <c r="Q28" s="72">
        <v>3092381</v>
      </c>
      <c r="R28" s="72">
        <v>2401323</v>
      </c>
      <c r="S28" s="436">
        <v>540294</v>
      </c>
      <c r="T28" s="436">
        <v>532525</v>
      </c>
    </row>
    <row r="29" spans="1:20" ht="10.9" customHeight="1" x14ac:dyDescent="0.2">
      <c r="A29" s="207" t="s">
        <v>164</v>
      </c>
      <c r="B29" s="1" t="s">
        <v>121</v>
      </c>
      <c r="C29" s="1">
        <v>2042500</v>
      </c>
      <c r="D29" s="1">
        <v>0</v>
      </c>
      <c r="E29" s="1">
        <v>0</v>
      </c>
      <c r="F29" s="1">
        <v>0</v>
      </c>
      <c r="G29" s="1">
        <v>1000</v>
      </c>
      <c r="H29" s="1">
        <v>0</v>
      </c>
      <c r="I29" s="1">
        <v>0</v>
      </c>
      <c r="J29" s="1">
        <v>0</v>
      </c>
      <c r="K29" s="1">
        <v>0</v>
      </c>
      <c r="L29" s="72">
        <f t="shared" si="0"/>
        <v>2043500</v>
      </c>
      <c r="M29" s="72">
        <v>120000</v>
      </c>
      <c r="N29" s="72">
        <v>927439</v>
      </c>
      <c r="O29" s="72">
        <v>0</v>
      </c>
      <c r="P29" s="72">
        <v>0</v>
      </c>
      <c r="Q29" s="72">
        <v>30242825</v>
      </c>
      <c r="R29" s="72">
        <v>12372926</v>
      </c>
      <c r="S29" s="436">
        <v>602579</v>
      </c>
      <c r="T29" s="436">
        <v>609197</v>
      </c>
    </row>
    <row r="30" spans="1:20" ht="10.9" customHeight="1" x14ac:dyDescent="0.2">
      <c r="A30" s="207" t="s">
        <v>165</v>
      </c>
      <c r="B30" s="1" t="s">
        <v>122</v>
      </c>
      <c r="C30" s="1">
        <v>41393</v>
      </c>
      <c r="D30" s="1">
        <v>0</v>
      </c>
      <c r="E30" s="1">
        <v>0</v>
      </c>
      <c r="F30" s="1">
        <v>0</v>
      </c>
      <c r="G30" s="1">
        <v>0</v>
      </c>
      <c r="H30" s="1">
        <v>0</v>
      </c>
      <c r="I30" s="1">
        <v>0</v>
      </c>
      <c r="J30" s="1">
        <v>0</v>
      </c>
      <c r="K30" s="1">
        <v>0</v>
      </c>
      <c r="L30" s="72">
        <f t="shared" si="0"/>
        <v>41393</v>
      </c>
      <c r="M30" s="72">
        <v>24000</v>
      </c>
      <c r="N30" s="72">
        <v>0</v>
      </c>
      <c r="O30" s="72">
        <v>0</v>
      </c>
      <c r="P30" s="72">
        <v>500</v>
      </c>
      <c r="Q30" s="72">
        <v>1664820</v>
      </c>
      <c r="R30" s="72">
        <v>1630980</v>
      </c>
      <c r="S30" s="436">
        <v>473896</v>
      </c>
      <c r="T30" s="436">
        <v>450522</v>
      </c>
    </row>
    <row r="31" spans="1:20" ht="10.9" customHeight="1" x14ac:dyDescent="0.2">
      <c r="A31" s="207" t="s">
        <v>166</v>
      </c>
      <c r="B31" s="1" t="s">
        <v>123</v>
      </c>
      <c r="C31" s="1">
        <v>43000</v>
      </c>
      <c r="D31" s="1">
        <v>0</v>
      </c>
      <c r="E31" s="1">
        <v>0</v>
      </c>
      <c r="F31" s="1">
        <v>0</v>
      </c>
      <c r="G31" s="1">
        <v>0</v>
      </c>
      <c r="H31" s="1">
        <v>0</v>
      </c>
      <c r="I31" s="1">
        <v>0</v>
      </c>
      <c r="J31" s="1">
        <v>0</v>
      </c>
      <c r="K31" s="1">
        <v>0</v>
      </c>
      <c r="L31" s="72">
        <f t="shared" si="0"/>
        <v>43000</v>
      </c>
      <c r="M31" s="72">
        <v>42000</v>
      </c>
      <c r="N31" s="72">
        <v>0</v>
      </c>
      <c r="O31" s="72">
        <v>0</v>
      </c>
      <c r="P31" s="72">
        <v>0</v>
      </c>
      <c r="Q31" s="72">
        <v>4573240</v>
      </c>
      <c r="R31" s="72">
        <v>3704429</v>
      </c>
      <c r="S31" s="436">
        <v>408032</v>
      </c>
      <c r="T31" s="436">
        <v>401497</v>
      </c>
    </row>
    <row r="32" spans="1:20" ht="10.9" customHeight="1" x14ac:dyDescent="0.2">
      <c r="A32" s="207" t="s">
        <v>167</v>
      </c>
      <c r="B32" s="446" t="s">
        <v>124</v>
      </c>
      <c r="C32" s="1">
        <v>230000</v>
      </c>
      <c r="D32" s="1">
        <v>0</v>
      </c>
      <c r="E32" s="1">
        <v>1350</v>
      </c>
      <c r="F32" s="1">
        <v>0</v>
      </c>
      <c r="G32" s="1">
        <v>0</v>
      </c>
      <c r="H32" s="1">
        <v>5100</v>
      </c>
      <c r="I32" s="1">
        <v>0</v>
      </c>
      <c r="J32" s="1">
        <v>0</v>
      </c>
      <c r="K32" s="1">
        <v>0</v>
      </c>
      <c r="L32" s="72">
        <f t="shared" si="0"/>
        <v>236450</v>
      </c>
      <c r="M32" s="72">
        <v>32378</v>
      </c>
      <c r="N32" s="72">
        <v>0</v>
      </c>
      <c r="O32" s="72">
        <v>0</v>
      </c>
      <c r="P32" s="72">
        <v>0</v>
      </c>
      <c r="Q32" s="527">
        <v>4160007</v>
      </c>
      <c r="R32" s="72">
        <v>2983407</v>
      </c>
      <c r="S32" s="436">
        <v>575743</v>
      </c>
      <c r="T32" s="436">
        <v>574923</v>
      </c>
    </row>
    <row r="33" spans="1:20" ht="10.9" customHeight="1" x14ac:dyDescent="0.2">
      <c r="A33" s="207" t="s">
        <v>168</v>
      </c>
      <c r="B33" s="1" t="s">
        <v>125</v>
      </c>
      <c r="C33" s="1">
        <v>90000</v>
      </c>
      <c r="D33" s="1">
        <v>0</v>
      </c>
      <c r="E33" s="1">
        <v>0</v>
      </c>
      <c r="F33" s="1">
        <v>0</v>
      </c>
      <c r="G33" s="1">
        <v>0</v>
      </c>
      <c r="H33" s="1">
        <v>6000</v>
      </c>
      <c r="I33" s="1">
        <v>0</v>
      </c>
      <c r="J33" s="1">
        <v>0</v>
      </c>
      <c r="K33" s="1">
        <v>0</v>
      </c>
      <c r="L33" s="72">
        <f t="shared" si="0"/>
        <v>96000</v>
      </c>
      <c r="M33" s="72">
        <v>42000</v>
      </c>
      <c r="N33" s="72">
        <v>0</v>
      </c>
      <c r="O33" s="72">
        <v>0</v>
      </c>
      <c r="P33" s="72">
        <v>0</v>
      </c>
      <c r="Q33" s="72">
        <v>3381757</v>
      </c>
      <c r="R33" s="72">
        <v>3116540</v>
      </c>
      <c r="S33" s="436">
        <v>591214</v>
      </c>
      <c r="T33" s="436">
        <v>582533</v>
      </c>
    </row>
    <row r="34" spans="1:20" ht="10.9" customHeight="1" x14ac:dyDescent="0.2">
      <c r="A34" s="207" t="s">
        <v>169</v>
      </c>
      <c r="B34" s="1" t="s">
        <v>126</v>
      </c>
      <c r="C34" s="1">
        <v>419000</v>
      </c>
      <c r="D34" s="1">
        <v>9804</v>
      </c>
      <c r="E34" s="1">
        <v>0</v>
      </c>
      <c r="F34" s="1">
        <v>0</v>
      </c>
      <c r="G34" s="1">
        <v>0</v>
      </c>
      <c r="H34" s="1">
        <v>0</v>
      </c>
      <c r="I34" s="1">
        <v>0</v>
      </c>
      <c r="J34" s="1">
        <v>0</v>
      </c>
      <c r="K34" s="1">
        <v>0</v>
      </c>
      <c r="L34" s="72">
        <f t="shared" si="0"/>
        <v>428804</v>
      </c>
      <c r="M34" s="72">
        <v>38500</v>
      </c>
      <c r="N34" s="72">
        <v>0</v>
      </c>
      <c r="O34" s="72">
        <v>0</v>
      </c>
      <c r="P34" s="72">
        <v>0</v>
      </c>
      <c r="Q34" s="72">
        <v>3581873</v>
      </c>
      <c r="R34" s="72">
        <v>3418604</v>
      </c>
      <c r="S34" s="436">
        <v>616820</v>
      </c>
      <c r="T34" s="436">
        <v>610676</v>
      </c>
    </row>
    <row r="35" spans="1:20" ht="10.9" customHeight="1" x14ac:dyDescent="0.2">
      <c r="A35" s="207" t="s">
        <v>170</v>
      </c>
      <c r="B35" s="1" t="s">
        <v>127</v>
      </c>
      <c r="C35" s="1">
        <v>1000</v>
      </c>
      <c r="D35" s="1">
        <v>0</v>
      </c>
      <c r="E35" s="1">
        <v>0</v>
      </c>
      <c r="F35" s="1">
        <v>0</v>
      </c>
      <c r="G35" s="1">
        <v>3300</v>
      </c>
      <c r="H35" s="1">
        <v>44500</v>
      </c>
      <c r="I35" s="1">
        <v>0</v>
      </c>
      <c r="J35" s="1">
        <v>0</v>
      </c>
      <c r="K35" s="1">
        <v>0</v>
      </c>
      <c r="L35" s="72">
        <f t="shared" si="0"/>
        <v>48800</v>
      </c>
      <c r="M35" s="72">
        <v>60000</v>
      </c>
      <c r="N35" s="72">
        <v>0</v>
      </c>
      <c r="O35" s="72">
        <v>0</v>
      </c>
      <c r="P35" s="72">
        <v>0</v>
      </c>
      <c r="Q35" s="72">
        <v>30553713</v>
      </c>
      <c r="R35" s="72">
        <v>16212342</v>
      </c>
      <c r="S35" s="436">
        <v>420190</v>
      </c>
      <c r="T35" s="436">
        <v>425771</v>
      </c>
    </row>
    <row r="36" spans="1:20" ht="10.9" customHeight="1" x14ac:dyDescent="0.2">
      <c r="A36" s="207" t="s">
        <v>171</v>
      </c>
      <c r="B36" s="1" t="s">
        <v>128</v>
      </c>
      <c r="C36" s="1">
        <v>388500</v>
      </c>
      <c r="D36" s="1">
        <v>0</v>
      </c>
      <c r="E36" s="1">
        <v>0</v>
      </c>
      <c r="F36" s="1">
        <v>0</v>
      </c>
      <c r="G36" s="1">
        <v>0</v>
      </c>
      <c r="H36" s="1">
        <v>0</v>
      </c>
      <c r="I36" s="1">
        <v>0</v>
      </c>
      <c r="J36" s="1">
        <v>0</v>
      </c>
      <c r="K36" s="1">
        <v>0</v>
      </c>
      <c r="L36" s="72">
        <f t="shared" si="0"/>
        <v>388500</v>
      </c>
      <c r="M36" s="72">
        <v>34740</v>
      </c>
      <c r="N36" s="72">
        <v>0</v>
      </c>
      <c r="O36" s="72">
        <v>0</v>
      </c>
      <c r="P36" s="72">
        <v>0</v>
      </c>
      <c r="Q36" s="72">
        <v>3346635</v>
      </c>
      <c r="R36" s="72">
        <v>1838941</v>
      </c>
      <c r="S36" s="436">
        <v>588911</v>
      </c>
      <c r="T36" s="436">
        <v>598587</v>
      </c>
    </row>
    <row r="37" spans="1:20" ht="10.9" customHeight="1" x14ac:dyDescent="0.2">
      <c r="A37" s="207" t="s">
        <v>172</v>
      </c>
      <c r="B37" s="1" t="s">
        <v>129</v>
      </c>
      <c r="C37" s="1">
        <v>429400</v>
      </c>
      <c r="D37" s="1">
        <v>0</v>
      </c>
      <c r="E37" s="1">
        <v>0</v>
      </c>
      <c r="F37" s="1">
        <v>0</v>
      </c>
      <c r="G37" s="1">
        <v>0</v>
      </c>
      <c r="H37" s="1">
        <v>10600</v>
      </c>
      <c r="I37" s="1">
        <v>0</v>
      </c>
      <c r="J37" s="1">
        <v>0</v>
      </c>
      <c r="K37" s="1">
        <v>0</v>
      </c>
      <c r="L37" s="72">
        <f t="shared" si="0"/>
        <v>440000</v>
      </c>
      <c r="M37" s="72">
        <v>45000</v>
      </c>
      <c r="N37" s="72">
        <v>0</v>
      </c>
      <c r="O37" s="72">
        <v>0</v>
      </c>
      <c r="P37" s="72">
        <v>0</v>
      </c>
      <c r="Q37" s="72">
        <v>8089251</v>
      </c>
      <c r="R37" s="72">
        <v>5859904</v>
      </c>
      <c r="S37" s="436">
        <v>317490</v>
      </c>
      <c r="T37" s="436">
        <v>312066</v>
      </c>
    </row>
    <row r="38" spans="1:20" ht="10.9" customHeight="1" x14ac:dyDescent="0.2">
      <c r="A38" s="207" t="s">
        <v>173</v>
      </c>
      <c r="B38" s="1" t="s">
        <v>130</v>
      </c>
      <c r="C38" s="1">
        <v>882200</v>
      </c>
      <c r="D38" s="1">
        <v>230000</v>
      </c>
      <c r="E38" s="1">
        <v>0</v>
      </c>
      <c r="F38" s="1">
        <v>0</v>
      </c>
      <c r="G38" s="1">
        <v>0</v>
      </c>
      <c r="H38" s="1">
        <v>121000</v>
      </c>
      <c r="I38" s="1">
        <v>0</v>
      </c>
      <c r="J38" s="1">
        <v>0</v>
      </c>
      <c r="K38" s="1">
        <v>0</v>
      </c>
      <c r="L38" s="72">
        <f>SUM(C38:I38)-J38+K38</f>
        <v>1233200</v>
      </c>
      <c r="M38" s="72">
        <v>86500</v>
      </c>
      <c r="N38" s="72">
        <v>0</v>
      </c>
      <c r="O38" s="72">
        <v>0</v>
      </c>
      <c r="P38" s="72">
        <v>0</v>
      </c>
      <c r="Q38" s="72">
        <v>21879212</v>
      </c>
      <c r="R38" s="72">
        <v>10881704</v>
      </c>
      <c r="S38" s="436">
        <v>319578</v>
      </c>
      <c r="T38" s="436">
        <v>323994</v>
      </c>
    </row>
    <row r="39" spans="1:20" ht="10.9" customHeight="1" x14ac:dyDescent="0.2">
      <c r="A39" s="207" t="s">
        <v>174</v>
      </c>
      <c r="B39" s="1" t="s">
        <v>131</v>
      </c>
      <c r="C39" s="1">
        <v>205000</v>
      </c>
      <c r="D39" s="1">
        <v>0</v>
      </c>
      <c r="E39" s="1">
        <v>0</v>
      </c>
      <c r="F39" s="1">
        <v>0</v>
      </c>
      <c r="G39" s="1">
        <v>0</v>
      </c>
      <c r="H39" s="1">
        <v>0</v>
      </c>
      <c r="I39" s="1">
        <v>0</v>
      </c>
      <c r="J39" s="1">
        <v>0</v>
      </c>
      <c r="K39" s="1">
        <v>0</v>
      </c>
      <c r="L39" s="72">
        <f t="shared" ref="L39:L46" si="1">SUM(C39:I39)-J39+K39</f>
        <v>205000</v>
      </c>
      <c r="M39" s="72">
        <v>37500</v>
      </c>
      <c r="N39" s="72">
        <v>0</v>
      </c>
      <c r="O39" s="72">
        <v>0</v>
      </c>
      <c r="P39" s="72">
        <v>0</v>
      </c>
      <c r="Q39" s="72">
        <v>2978763</v>
      </c>
      <c r="R39" s="72">
        <v>2156793</v>
      </c>
      <c r="S39" s="436">
        <v>789689</v>
      </c>
      <c r="T39" s="436">
        <v>795669</v>
      </c>
    </row>
    <row r="40" spans="1:20" ht="10.9" customHeight="1" x14ac:dyDescent="0.2">
      <c r="A40" s="207" t="s">
        <v>175</v>
      </c>
      <c r="B40" s="1" t="s">
        <v>132</v>
      </c>
      <c r="C40" s="1">
        <v>483000</v>
      </c>
      <c r="D40" s="1">
        <v>0</v>
      </c>
      <c r="E40" s="1">
        <v>0</v>
      </c>
      <c r="F40" s="1">
        <v>6000</v>
      </c>
      <c r="G40" s="1">
        <v>0</v>
      </c>
      <c r="H40" s="1">
        <v>0</v>
      </c>
      <c r="I40" s="1">
        <v>0</v>
      </c>
      <c r="J40" s="1">
        <v>0</v>
      </c>
      <c r="K40" s="1">
        <v>0</v>
      </c>
      <c r="L40" s="72">
        <f t="shared" si="1"/>
        <v>489000</v>
      </c>
      <c r="M40" s="72">
        <v>86450</v>
      </c>
      <c r="N40" s="72">
        <v>329088</v>
      </c>
      <c r="O40" s="72">
        <v>0</v>
      </c>
      <c r="P40" s="72">
        <v>0</v>
      </c>
      <c r="Q40" s="72">
        <v>19682848</v>
      </c>
      <c r="R40" s="72">
        <v>8500130</v>
      </c>
      <c r="S40" s="436">
        <v>571406</v>
      </c>
      <c r="T40" s="436">
        <v>589832</v>
      </c>
    </row>
    <row r="41" spans="1:20" ht="10.9" customHeight="1" x14ac:dyDescent="0.2">
      <c r="A41" s="207" t="s">
        <v>176</v>
      </c>
      <c r="B41" s="1" t="s">
        <v>133</v>
      </c>
      <c r="C41" s="1">
        <v>556000</v>
      </c>
      <c r="D41" s="1">
        <v>150000</v>
      </c>
      <c r="E41" s="1">
        <v>20000</v>
      </c>
      <c r="F41" s="1">
        <v>0</v>
      </c>
      <c r="G41" s="1">
        <v>-11000</v>
      </c>
      <c r="H41" s="1">
        <v>9000</v>
      </c>
      <c r="I41" s="1">
        <v>0</v>
      </c>
      <c r="J41" s="1">
        <v>0</v>
      </c>
      <c r="K41" s="1">
        <v>0</v>
      </c>
      <c r="L41" s="72">
        <f t="shared" si="1"/>
        <v>724000</v>
      </c>
      <c r="M41" s="72">
        <v>54713</v>
      </c>
      <c r="N41" s="72">
        <v>0</v>
      </c>
      <c r="O41" s="72">
        <v>0</v>
      </c>
      <c r="P41" s="72">
        <v>0</v>
      </c>
      <c r="Q41" s="72">
        <v>11400752</v>
      </c>
      <c r="R41" s="72">
        <v>6857099</v>
      </c>
      <c r="S41" s="436">
        <v>544884</v>
      </c>
      <c r="T41" s="436">
        <v>542780</v>
      </c>
    </row>
    <row r="42" spans="1:20" ht="10.9" customHeight="1" x14ac:dyDescent="0.2">
      <c r="A42" s="207" t="s">
        <v>177</v>
      </c>
      <c r="B42" s="1" t="s">
        <v>134</v>
      </c>
      <c r="C42" s="1">
        <v>62600</v>
      </c>
      <c r="D42" s="1">
        <v>0</v>
      </c>
      <c r="E42" s="1">
        <v>0</v>
      </c>
      <c r="F42" s="1">
        <v>0</v>
      </c>
      <c r="G42" s="1">
        <v>0</v>
      </c>
      <c r="H42" s="1">
        <v>0</v>
      </c>
      <c r="I42" s="1">
        <v>0</v>
      </c>
      <c r="J42" s="1">
        <v>0</v>
      </c>
      <c r="K42" s="1">
        <v>0</v>
      </c>
      <c r="L42" s="72">
        <f t="shared" si="1"/>
        <v>62600</v>
      </c>
      <c r="M42" s="72">
        <v>31000</v>
      </c>
      <c r="N42" s="72">
        <v>0</v>
      </c>
      <c r="O42" s="72">
        <v>0</v>
      </c>
      <c r="P42" s="72">
        <v>0</v>
      </c>
      <c r="Q42" s="72">
        <v>3229412</v>
      </c>
      <c r="R42" s="72">
        <v>2290886</v>
      </c>
      <c r="S42" s="436">
        <v>400267</v>
      </c>
      <c r="T42" s="436">
        <v>389427</v>
      </c>
    </row>
    <row r="43" spans="1:20" ht="10.9" customHeight="1" x14ac:dyDescent="0.2">
      <c r="A43" s="207" t="s">
        <v>178</v>
      </c>
      <c r="B43" s="1" t="s">
        <v>135</v>
      </c>
      <c r="C43" s="1">
        <v>26000</v>
      </c>
      <c r="D43" s="1">
        <v>0</v>
      </c>
      <c r="E43" s="1">
        <v>0</v>
      </c>
      <c r="F43" s="1">
        <v>0</v>
      </c>
      <c r="G43" s="1">
        <v>0</v>
      </c>
      <c r="H43" s="1">
        <v>0</v>
      </c>
      <c r="I43" s="1">
        <v>0</v>
      </c>
      <c r="J43" s="1">
        <v>0</v>
      </c>
      <c r="K43" s="1">
        <v>0</v>
      </c>
      <c r="L43" s="72">
        <f t="shared" si="1"/>
        <v>26000</v>
      </c>
      <c r="M43" s="72">
        <v>22000</v>
      </c>
      <c r="N43" s="72">
        <v>0</v>
      </c>
      <c r="O43" s="72">
        <v>0</v>
      </c>
      <c r="P43" s="72">
        <v>0</v>
      </c>
      <c r="Q43" s="72">
        <v>1625817</v>
      </c>
      <c r="R43" s="72">
        <v>1270906</v>
      </c>
      <c r="S43" s="436">
        <v>611882</v>
      </c>
      <c r="T43" s="436">
        <v>604308</v>
      </c>
    </row>
    <row r="44" spans="1:20" ht="10.9" customHeight="1" x14ac:dyDescent="0.2">
      <c r="A44" s="207" t="s">
        <v>179</v>
      </c>
      <c r="B44" s="1" t="s">
        <v>136</v>
      </c>
      <c r="C44" s="1">
        <v>183342</v>
      </c>
      <c r="D44" s="1">
        <v>0</v>
      </c>
      <c r="E44" s="1">
        <v>0</v>
      </c>
      <c r="F44" s="1">
        <v>0</v>
      </c>
      <c r="G44" s="1">
        <v>0</v>
      </c>
      <c r="H44" s="1">
        <v>0</v>
      </c>
      <c r="I44" s="1">
        <v>0</v>
      </c>
      <c r="J44" s="1">
        <v>0</v>
      </c>
      <c r="K44" s="1">
        <v>0</v>
      </c>
      <c r="L44" s="72">
        <f t="shared" si="1"/>
        <v>183342</v>
      </c>
      <c r="M44" s="72">
        <v>17000</v>
      </c>
      <c r="N44" s="72">
        <v>0</v>
      </c>
      <c r="O44" s="72">
        <v>0</v>
      </c>
      <c r="P44" s="72">
        <v>0</v>
      </c>
      <c r="Q44" s="72">
        <v>1527892</v>
      </c>
      <c r="R44" s="72">
        <v>1466659</v>
      </c>
      <c r="S44" s="436">
        <v>269085</v>
      </c>
      <c r="T44" s="436">
        <v>262545</v>
      </c>
    </row>
    <row r="45" spans="1:20" ht="10.9" customHeight="1" x14ac:dyDescent="0.2">
      <c r="A45" s="207" t="s">
        <v>180</v>
      </c>
      <c r="B45" s="1" t="s">
        <v>137</v>
      </c>
      <c r="C45" s="1">
        <v>262750</v>
      </c>
      <c r="D45" s="1">
        <v>0</v>
      </c>
      <c r="E45" s="1">
        <v>7000</v>
      </c>
      <c r="F45" s="1">
        <v>0</v>
      </c>
      <c r="G45" s="1">
        <v>-7000</v>
      </c>
      <c r="H45" s="1">
        <v>0</v>
      </c>
      <c r="I45" s="1">
        <v>0</v>
      </c>
      <c r="J45" s="1">
        <v>0</v>
      </c>
      <c r="K45" s="1">
        <v>0</v>
      </c>
      <c r="L45" s="72">
        <f t="shared" si="1"/>
        <v>262750</v>
      </c>
      <c r="M45" s="72">
        <v>16500</v>
      </c>
      <c r="N45" s="72">
        <v>0</v>
      </c>
      <c r="O45" s="72">
        <v>0</v>
      </c>
      <c r="P45" s="72">
        <v>0</v>
      </c>
      <c r="Q45" s="72">
        <v>2413037</v>
      </c>
      <c r="R45" s="72">
        <v>1622207</v>
      </c>
      <c r="S45" s="436">
        <v>327895</v>
      </c>
      <c r="T45" s="436">
        <v>326239</v>
      </c>
    </row>
    <row r="46" spans="1:20" ht="10.9" customHeight="1" x14ac:dyDescent="0.2">
      <c r="A46" s="207" t="s">
        <v>181</v>
      </c>
      <c r="B46" s="1" t="s">
        <v>138</v>
      </c>
      <c r="C46" s="1">
        <v>1950000</v>
      </c>
      <c r="D46" s="1">
        <v>459500</v>
      </c>
      <c r="E46" s="1">
        <v>0</v>
      </c>
      <c r="F46" s="1">
        <v>0</v>
      </c>
      <c r="G46" s="1">
        <v>12000</v>
      </c>
      <c r="H46" s="1">
        <v>164000</v>
      </c>
      <c r="I46" s="1">
        <v>300</v>
      </c>
      <c r="J46" s="1">
        <v>0</v>
      </c>
      <c r="K46" s="1">
        <v>0</v>
      </c>
      <c r="L46" s="72">
        <f t="shared" si="1"/>
        <v>2585800</v>
      </c>
      <c r="M46" s="72">
        <v>0</v>
      </c>
      <c r="N46" s="72">
        <v>190000</v>
      </c>
      <c r="O46" s="72">
        <v>0</v>
      </c>
      <c r="P46" s="72">
        <v>0</v>
      </c>
      <c r="Q46" s="72">
        <v>58927421</v>
      </c>
      <c r="R46" s="72">
        <v>28996643</v>
      </c>
      <c r="S46" s="436">
        <v>409113</v>
      </c>
      <c r="T46" s="436">
        <v>417567</v>
      </c>
    </row>
    <row r="47" spans="1:20" ht="3.95" customHeight="1" x14ac:dyDescent="0.2">
      <c r="A47" s="207"/>
    </row>
    <row r="48" spans="1:20" x14ac:dyDescent="0.2">
      <c r="A48" s="207"/>
      <c r="B48" s="1" t="s">
        <v>139</v>
      </c>
      <c r="C48" s="1">
        <f t="shared" ref="C48:N48" si="2">SUM(C11:C46)</f>
        <v>16413803</v>
      </c>
      <c r="D48" s="1">
        <f t="shared" si="2"/>
        <v>1151304</v>
      </c>
      <c r="E48" s="1">
        <f t="shared" si="2"/>
        <v>1424616</v>
      </c>
      <c r="F48" s="1">
        <f t="shared" si="2"/>
        <v>33000</v>
      </c>
      <c r="G48" s="1">
        <f t="shared" si="2"/>
        <v>126289</v>
      </c>
      <c r="H48" s="1">
        <f t="shared" si="2"/>
        <v>525240</v>
      </c>
      <c r="I48" s="1">
        <f t="shared" si="2"/>
        <v>225300</v>
      </c>
      <c r="J48" s="1">
        <f t="shared" si="2"/>
        <v>0</v>
      </c>
      <c r="K48" s="1">
        <f t="shared" si="2"/>
        <v>0</v>
      </c>
      <c r="L48" s="1">
        <f t="shared" si="2"/>
        <v>19899552</v>
      </c>
      <c r="M48" s="1">
        <f t="shared" si="2"/>
        <v>1455581</v>
      </c>
      <c r="N48" s="1">
        <f t="shared" si="2"/>
        <v>2342363</v>
      </c>
      <c r="O48" s="1">
        <f>SUM(O11:O46)</f>
        <v>200784</v>
      </c>
      <c r="P48" s="1">
        <f>SUM(P11:P46)</f>
        <v>11000</v>
      </c>
      <c r="Q48" s="1">
        <f t="shared" ref="Q48:R48" si="3">SUM(Q11:Q46)</f>
        <v>364525696</v>
      </c>
      <c r="R48" s="1">
        <f t="shared" si="3"/>
        <v>201511680</v>
      </c>
      <c r="S48" s="436">
        <v>433310.47371458152</v>
      </c>
      <c r="T48" s="436">
        <v>434942.09930884093</v>
      </c>
    </row>
    <row r="49" spans="1:20" ht="3.95" customHeight="1" x14ac:dyDescent="0.2">
      <c r="A49" s="207"/>
      <c r="B49" s="1" t="s">
        <v>1</v>
      </c>
    </row>
    <row r="50" spans="1:20" ht="11.1" customHeight="1" x14ac:dyDescent="0.2">
      <c r="A50" s="207" t="s">
        <v>183</v>
      </c>
      <c r="B50" s="1" t="s">
        <v>140</v>
      </c>
      <c r="C50" s="1">
        <v>0</v>
      </c>
      <c r="D50" s="1">
        <v>0</v>
      </c>
      <c r="E50" s="1">
        <v>0</v>
      </c>
      <c r="F50" s="1">
        <v>10000</v>
      </c>
      <c r="G50" s="1">
        <v>0</v>
      </c>
      <c r="H50" s="1">
        <v>0</v>
      </c>
      <c r="I50" s="1">
        <v>0</v>
      </c>
      <c r="J50" s="1">
        <v>3060</v>
      </c>
      <c r="K50" s="1">
        <v>0</v>
      </c>
      <c r="L50" s="72">
        <f>SUM(C50:I50)-J50+K50</f>
        <v>6940</v>
      </c>
      <c r="M50" s="72">
        <v>0</v>
      </c>
      <c r="N50" s="72">
        <v>0</v>
      </c>
      <c r="O50" s="72">
        <v>0</v>
      </c>
      <c r="P50" s="72">
        <v>0</v>
      </c>
      <c r="Q50" s="72">
        <v>515098</v>
      </c>
      <c r="R50" s="72">
        <v>169406</v>
      </c>
      <c r="S50" s="437" t="s">
        <v>349</v>
      </c>
      <c r="T50" s="437" t="s">
        <v>349</v>
      </c>
    </row>
    <row r="51" spans="1:20" ht="10.9" customHeight="1" x14ac:dyDescent="0.2">
      <c r="A51" s="207" t="s">
        <v>182</v>
      </c>
      <c r="B51" s="1" t="s">
        <v>358</v>
      </c>
      <c r="C51" s="1">
        <v>0</v>
      </c>
      <c r="D51" s="1">
        <v>0</v>
      </c>
      <c r="E51" s="1">
        <v>172472</v>
      </c>
      <c r="F51" s="1">
        <v>0</v>
      </c>
      <c r="G51" s="1">
        <v>0</v>
      </c>
      <c r="H51" s="1">
        <v>0</v>
      </c>
      <c r="I51" s="1">
        <v>0</v>
      </c>
      <c r="J51" s="1">
        <v>0</v>
      </c>
      <c r="K51" s="1">
        <v>0</v>
      </c>
      <c r="L51" s="72">
        <f>SUM(C51:I51)-J51+K51</f>
        <v>172472</v>
      </c>
      <c r="M51" s="72">
        <v>0</v>
      </c>
      <c r="N51" s="72">
        <v>0</v>
      </c>
      <c r="O51" s="72">
        <v>0</v>
      </c>
      <c r="P51" s="72">
        <v>0</v>
      </c>
      <c r="Q51" s="72">
        <v>7565208</v>
      </c>
      <c r="R51" s="72">
        <v>0</v>
      </c>
    </row>
    <row r="52" spans="1:20" ht="3.95" customHeight="1" x14ac:dyDescent="0.2"/>
    <row r="53" spans="1:20" ht="10.9" customHeight="1" x14ac:dyDescent="0.2">
      <c r="S53" s="516" t="s">
        <v>520</v>
      </c>
    </row>
    <row r="54" spans="1:20" ht="10.9" customHeight="1" x14ac:dyDescent="0.2">
      <c r="B54" s="1" t="s">
        <v>311</v>
      </c>
      <c r="C54" s="1">
        <v>16413803</v>
      </c>
      <c r="D54" s="1">
        <v>1151304</v>
      </c>
      <c r="E54" s="1">
        <v>1424616</v>
      </c>
      <c r="F54" s="1">
        <v>33000</v>
      </c>
      <c r="G54" s="1">
        <v>126289</v>
      </c>
      <c r="H54" s="1">
        <v>525240</v>
      </c>
      <c r="I54" s="1">
        <v>225300</v>
      </c>
      <c r="J54" s="1">
        <v>0</v>
      </c>
      <c r="K54" s="1">
        <v>0</v>
      </c>
      <c r="L54" s="72">
        <f>SUM(C54:I54)-J54+K54</f>
        <v>19899552</v>
      </c>
      <c r="S54" s="517" t="s">
        <v>522</v>
      </c>
    </row>
    <row r="55" spans="1:20" x14ac:dyDescent="0.2">
      <c r="B55" s="423" t="s">
        <v>310</v>
      </c>
      <c r="C55" s="423">
        <f>+C48-C54</f>
        <v>0</v>
      </c>
      <c r="D55" s="423">
        <f t="shared" ref="D55:L55" si="4">+D48-D54</f>
        <v>0</v>
      </c>
      <c r="E55" s="423">
        <f t="shared" si="4"/>
        <v>0</v>
      </c>
      <c r="F55" s="423">
        <f t="shared" si="4"/>
        <v>0</v>
      </c>
      <c r="G55" s="423">
        <f t="shared" si="4"/>
        <v>0</v>
      </c>
      <c r="H55" s="423">
        <f t="shared" si="4"/>
        <v>0</v>
      </c>
      <c r="I55" s="423">
        <f t="shared" si="4"/>
        <v>0</v>
      </c>
      <c r="J55" s="423">
        <f t="shared" si="4"/>
        <v>0</v>
      </c>
      <c r="K55" s="423">
        <f t="shared" si="4"/>
        <v>0</v>
      </c>
      <c r="L55" s="423">
        <f t="shared" si="4"/>
        <v>0</v>
      </c>
      <c r="M55" s="423"/>
      <c r="N55" s="423"/>
      <c r="O55" s="423"/>
      <c r="P55" s="423"/>
      <c r="Q55" s="423"/>
      <c r="R55" s="423"/>
      <c r="S55" s="516" t="s">
        <v>521</v>
      </c>
    </row>
    <row r="58" spans="1:20" x14ac:dyDescent="0.2">
      <c r="B58" s="514" t="s">
        <v>562</v>
      </c>
      <c r="C58" s="840" t="s">
        <v>563</v>
      </c>
      <c r="D58" s="841"/>
      <c r="E58" s="841"/>
      <c r="F58" s="842"/>
      <c r="G58" s="514" t="s">
        <v>564</v>
      </c>
    </row>
    <row r="59" spans="1:20" x14ac:dyDescent="0.2">
      <c r="B59" s="424">
        <v>18</v>
      </c>
      <c r="C59" s="424">
        <v>0</v>
      </c>
      <c r="D59" s="424">
        <v>0</v>
      </c>
      <c r="E59" s="424"/>
      <c r="F59" s="424"/>
      <c r="G59" s="424">
        <v>100</v>
      </c>
    </row>
    <row r="60" spans="1:20" x14ac:dyDescent="0.2">
      <c r="B60" s="515">
        <f>+B59+1</f>
        <v>19</v>
      </c>
      <c r="C60" s="515">
        <v>0</v>
      </c>
      <c r="D60" s="515">
        <v>0</v>
      </c>
      <c r="E60" s="515">
        <v>0</v>
      </c>
      <c r="F60" s="515"/>
      <c r="G60" s="515">
        <v>100</v>
      </c>
    </row>
    <row r="61" spans="1:20" x14ac:dyDescent="0.2">
      <c r="B61" s="424">
        <f t="shared" ref="B61:B74" si="5">+B60+1</f>
        <v>20</v>
      </c>
      <c r="C61" s="424">
        <v>0</v>
      </c>
      <c r="D61" s="424"/>
      <c r="E61" s="424"/>
      <c r="F61" s="424"/>
      <c r="G61" s="424">
        <v>100</v>
      </c>
    </row>
    <row r="62" spans="1:20" x14ac:dyDescent="0.2">
      <c r="B62" s="515">
        <f t="shared" si="5"/>
        <v>21</v>
      </c>
      <c r="C62" s="515">
        <v>0</v>
      </c>
      <c r="D62" s="515">
        <v>0</v>
      </c>
      <c r="E62" s="515">
        <v>0</v>
      </c>
      <c r="F62" s="515"/>
      <c r="G62" s="515">
        <v>200</v>
      </c>
    </row>
    <row r="63" spans="1:20" x14ac:dyDescent="0.2">
      <c r="B63" s="424">
        <f t="shared" si="5"/>
        <v>22</v>
      </c>
      <c r="C63" s="424">
        <v>0</v>
      </c>
      <c r="D63" s="424">
        <v>0</v>
      </c>
      <c r="E63" s="424">
        <v>0</v>
      </c>
      <c r="F63" s="424"/>
      <c r="G63" s="424">
        <v>200</v>
      </c>
    </row>
    <row r="64" spans="1:20" x14ac:dyDescent="0.2">
      <c r="B64" s="515">
        <f t="shared" si="5"/>
        <v>23</v>
      </c>
      <c r="C64" s="515">
        <v>0</v>
      </c>
      <c r="D64" s="515">
        <v>0</v>
      </c>
      <c r="E64" s="515"/>
      <c r="F64" s="515"/>
      <c r="G64" s="515">
        <v>300</v>
      </c>
    </row>
    <row r="65" spans="2:7" x14ac:dyDescent="0.2">
      <c r="B65" s="424">
        <f t="shared" si="5"/>
        <v>24</v>
      </c>
      <c r="C65" s="424">
        <v>0</v>
      </c>
      <c r="D65" s="424">
        <v>0</v>
      </c>
      <c r="E65" s="424">
        <v>0</v>
      </c>
      <c r="F65" s="424">
        <v>0</v>
      </c>
      <c r="G65" s="424">
        <v>400</v>
      </c>
    </row>
    <row r="66" spans="2:7" x14ac:dyDescent="0.2">
      <c r="B66" s="515">
        <f t="shared" si="5"/>
        <v>25</v>
      </c>
      <c r="C66" s="515">
        <v>0</v>
      </c>
      <c r="D66" s="515">
        <v>0</v>
      </c>
      <c r="E66" s="515">
        <v>0</v>
      </c>
      <c r="F66" s="515"/>
      <c r="G66" s="515">
        <v>500</v>
      </c>
    </row>
    <row r="67" spans="2:7" x14ac:dyDescent="0.2">
      <c r="B67" s="424">
        <f t="shared" si="5"/>
        <v>26</v>
      </c>
      <c r="C67" s="424">
        <v>0</v>
      </c>
      <c r="D67" s="424"/>
      <c r="E67" s="424"/>
      <c r="F67" s="424"/>
      <c r="G67" s="424">
        <v>500</v>
      </c>
    </row>
    <row r="68" spans="2:7" x14ac:dyDescent="0.2">
      <c r="B68" s="515">
        <f t="shared" si="5"/>
        <v>27</v>
      </c>
      <c r="C68" s="515">
        <v>0</v>
      </c>
      <c r="D68" s="515">
        <v>0</v>
      </c>
      <c r="E68" s="515">
        <v>0</v>
      </c>
      <c r="F68" s="515"/>
      <c r="G68" s="515">
        <v>600</v>
      </c>
    </row>
    <row r="69" spans="2:7" x14ac:dyDescent="0.2">
      <c r="B69" s="424">
        <f t="shared" si="5"/>
        <v>28</v>
      </c>
      <c r="C69" s="424">
        <v>0</v>
      </c>
      <c r="D69" s="424">
        <v>0</v>
      </c>
      <c r="E69" s="424"/>
      <c r="F69" s="424"/>
      <c r="G69" s="424">
        <v>600</v>
      </c>
    </row>
    <row r="70" spans="2:7" x14ac:dyDescent="0.2">
      <c r="B70" s="515">
        <f t="shared" si="5"/>
        <v>29</v>
      </c>
      <c r="C70" s="515">
        <v>0</v>
      </c>
      <c r="D70" s="515">
        <v>0</v>
      </c>
      <c r="E70" s="515">
        <v>0</v>
      </c>
      <c r="F70" s="515"/>
      <c r="G70" s="515">
        <v>700</v>
      </c>
    </row>
    <row r="71" spans="2:7" x14ac:dyDescent="0.2">
      <c r="B71" s="424">
        <f t="shared" si="5"/>
        <v>30</v>
      </c>
      <c r="C71" s="424">
        <v>0</v>
      </c>
      <c r="D71" s="424">
        <v>0</v>
      </c>
      <c r="E71" s="424"/>
      <c r="F71" s="424"/>
      <c r="G71" s="424">
        <v>700</v>
      </c>
    </row>
    <row r="72" spans="2:7" x14ac:dyDescent="0.2">
      <c r="B72" s="515">
        <f t="shared" si="5"/>
        <v>31</v>
      </c>
      <c r="C72" s="515">
        <v>0</v>
      </c>
      <c r="D72" s="515">
        <v>0</v>
      </c>
      <c r="E72" s="515">
        <v>0</v>
      </c>
      <c r="F72" s="515"/>
      <c r="G72" s="515">
        <v>800</v>
      </c>
    </row>
    <row r="73" spans="2:7" x14ac:dyDescent="0.2">
      <c r="B73" s="424">
        <f t="shared" si="5"/>
        <v>32</v>
      </c>
      <c r="C73" s="424">
        <v>0</v>
      </c>
      <c r="D73" s="424">
        <v>0</v>
      </c>
      <c r="E73" s="424"/>
      <c r="F73" s="424"/>
      <c r="G73" s="424">
        <v>800</v>
      </c>
    </row>
    <row r="74" spans="2:7" x14ac:dyDescent="0.2">
      <c r="B74" s="515">
        <f t="shared" si="5"/>
        <v>33</v>
      </c>
      <c r="C74" s="515">
        <v>0</v>
      </c>
      <c r="D74" s="515">
        <v>0</v>
      </c>
      <c r="E74" s="515"/>
      <c r="F74" s="515"/>
      <c r="G74" s="515">
        <v>900</v>
      </c>
    </row>
  </sheetData>
  <mergeCells count="2">
    <mergeCell ref="O6:O9"/>
    <mergeCell ref="C58:F58"/>
  </mergeCells>
  <phoneticPr fontId="0" type="noConversion"/>
  <pageMargins left="0.25" right="0.6" top="0.6" bottom="0.2" header="0.5" footer="0.5"/>
  <pageSetup paperSize="5" scale="87" orientation="landscape"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0641" r:id="rId4" name="Button 1">
              <controlPr defaultSize="0" print="0" autoFill="0" autoPict="0" macro="[0]!replace">
                <anchor moveWithCells="1" sizeWithCells="1">
                  <from>
                    <xdr:col>21</xdr:col>
                    <xdr:colOff>19050</xdr:colOff>
                    <xdr:row>2</xdr:row>
                    <xdr:rowOff>9525</xdr:rowOff>
                  </from>
                  <to>
                    <xdr:col>21</xdr:col>
                    <xdr:colOff>885825</xdr:colOff>
                    <xdr:row>3</xdr:row>
                    <xdr:rowOff>133350</xdr:rowOff>
                  </to>
                </anchor>
              </controlPr>
            </control>
          </mc:Choice>
        </mc:AlternateContent>
        <mc:AlternateContent xmlns:mc="http://schemas.openxmlformats.org/markup-compatibility/2006">
          <mc:Choice Requires="x14">
            <control shapeId="240646" r:id="rId5" name="Drop Down 6">
              <controlPr defaultSize="0" autoLine="0" autoPict="0">
                <anchor moveWithCells="1">
                  <from>
                    <xdr:col>1</xdr:col>
                    <xdr:colOff>228600</xdr:colOff>
                    <xdr:row>2</xdr:row>
                    <xdr:rowOff>9525</xdr:rowOff>
                  </from>
                  <to>
                    <xdr:col>1</xdr:col>
                    <xdr:colOff>1343025</xdr:colOff>
                    <xdr:row>3</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B63"/>
  <sheetViews>
    <sheetView showGridLines="0" showZeros="0" workbookViewId="0"/>
  </sheetViews>
  <sheetFormatPr defaultColWidth="16.83203125" defaultRowHeight="12" x14ac:dyDescent="0.2"/>
  <cols>
    <col min="1" max="1" width="32.83203125" style="1" customWidth="1"/>
    <col min="2" max="7" width="16.83203125" style="1" customWidth="1"/>
    <col min="8" max="16384" width="16.83203125" style="1"/>
  </cols>
  <sheetData>
    <row r="1" spans="1:54" ht="6.95" customHeight="1" x14ac:dyDescent="0.2">
      <c r="A1" s="3"/>
      <c r="B1" s="4"/>
      <c r="C1" s="4"/>
      <c r="D1" s="4"/>
      <c r="E1" s="4"/>
      <c r="F1" s="4"/>
    </row>
    <row r="2" spans="1:54" ht="15.95" customHeight="1" x14ac:dyDescent="0.2">
      <c r="A2" s="33"/>
      <c r="B2" s="34" t="str">
        <f>IF(Lang=1,BA2,BB2)</f>
        <v>ENROLMENTS - HEADCOUNT, FRAME AND ELIGIBLE</v>
      </c>
      <c r="C2" s="6"/>
      <c r="D2" s="6"/>
      <c r="E2" s="6"/>
      <c r="F2" s="85"/>
      <c r="G2" s="85"/>
      <c r="BA2" s="463" t="s">
        <v>74</v>
      </c>
      <c r="BB2" s="463" t="s">
        <v>381</v>
      </c>
    </row>
    <row r="3" spans="1:54" ht="15.95" customHeight="1" x14ac:dyDescent="0.2">
      <c r="A3" s="37"/>
      <c r="B3" s="38" t="str">
        <f>IF(Lang=1,BA3,BB3)</f>
        <v>ACTUAL AND ESTIMATES AS OF SEPTEMBER 30</v>
      </c>
      <c r="C3" s="8"/>
      <c r="D3" s="8"/>
      <c r="E3" s="8"/>
      <c r="F3" s="87"/>
      <c r="G3" s="87"/>
      <c r="BA3" s="461" t="s">
        <v>225</v>
      </c>
      <c r="BB3" s="461" t="s">
        <v>382</v>
      </c>
    </row>
    <row r="4" spans="1:54" ht="15.95" customHeight="1" x14ac:dyDescent="0.2">
      <c r="B4" s="4"/>
      <c r="C4" s="4"/>
      <c r="D4" s="4"/>
      <c r="E4" s="4"/>
      <c r="F4" s="4"/>
    </row>
    <row r="5" spans="1:54" ht="15.95" customHeight="1" x14ac:dyDescent="0.2">
      <c r="B5" s="286" t="s">
        <v>229</v>
      </c>
      <c r="C5" s="287"/>
      <c r="D5" s="288"/>
      <c r="E5" s="289" t="s">
        <v>230</v>
      </c>
      <c r="F5" s="290" t="s">
        <v>231</v>
      </c>
      <c r="G5" s="291" t="s">
        <v>231</v>
      </c>
    </row>
    <row r="6" spans="1:54" ht="15.95" customHeight="1" x14ac:dyDescent="0.2">
      <c r="B6" s="579" t="s">
        <v>578</v>
      </c>
      <c r="C6" s="580"/>
      <c r="D6" s="581"/>
      <c r="E6" s="585" t="s">
        <v>579</v>
      </c>
      <c r="F6" s="585" t="s">
        <v>580</v>
      </c>
      <c r="G6" s="585" t="s">
        <v>569</v>
      </c>
    </row>
    <row r="7" spans="1:54" ht="15.95" customHeight="1" x14ac:dyDescent="0.2">
      <c r="B7" s="582"/>
      <c r="C7" s="583"/>
      <c r="D7" s="584"/>
      <c r="E7" s="586"/>
      <c r="F7" s="586" t="s">
        <v>371</v>
      </c>
      <c r="G7" s="586" t="s">
        <v>371</v>
      </c>
    </row>
    <row r="8" spans="1:54" ht="15.95" customHeight="1" x14ac:dyDescent="0.2">
      <c r="A8" s="82"/>
      <c r="B8" s="588" t="s">
        <v>378</v>
      </c>
      <c r="C8" s="590" t="s">
        <v>379</v>
      </c>
      <c r="D8" s="590" t="s">
        <v>380</v>
      </c>
      <c r="E8" s="590" t="s">
        <v>376</v>
      </c>
      <c r="F8" s="590" t="s">
        <v>380</v>
      </c>
      <c r="G8" s="538" t="s">
        <v>380</v>
      </c>
    </row>
    <row r="9" spans="1:54" ht="15.95" customHeight="1" x14ac:dyDescent="0.2">
      <c r="A9" s="27" t="s">
        <v>37</v>
      </c>
      <c r="B9" s="589"/>
      <c r="C9" s="591"/>
      <c r="D9" s="591"/>
      <c r="E9" s="591"/>
      <c r="F9" s="591"/>
      <c r="G9" s="540"/>
    </row>
    <row r="10" spans="1:54" ht="5.0999999999999996" customHeight="1" x14ac:dyDescent="0.2">
      <c r="A10" s="29"/>
    </row>
    <row r="11" spans="1:54" ht="14.1" customHeight="1" x14ac:dyDescent="0.2">
      <c r="A11" s="271" t="s">
        <v>104</v>
      </c>
      <c r="B11" s="272">
        <v>1841</v>
      </c>
      <c r="C11" s="272">
        <v>0</v>
      </c>
      <c r="D11" s="272">
        <f>+B11-C11</f>
        <v>1841</v>
      </c>
      <c r="E11" s="292">
        <f>'- 7 -'!E11</f>
        <v>1796</v>
      </c>
      <c r="F11" s="292">
        <v>1756</v>
      </c>
      <c r="G11" s="292">
        <v>1685.9</v>
      </c>
    </row>
    <row r="12" spans="1:54" ht="14.1" customHeight="1" x14ac:dyDescent="0.2">
      <c r="A12" s="15" t="s">
        <v>105</v>
      </c>
      <c r="B12" s="16">
        <v>2186</v>
      </c>
      <c r="C12" s="16">
        <v>0</v>
      </c>
      <c r="D12" s="16">
        <f t="shared" ref="D12:D46" si="0">+B12-C12</f>
        <v>2186</v>
      </c>
      <c r="E12" s="47">
        <f>'- 7 -'!E12</f>
        <v>2150</v>
      </c>
      <c r="F12" s="47">
        <v>1984.8</v>
      </c>
      <c r="G12" s="47">
        <v>1998.2</v>
      </c>
      <c r="I12" s="79"/>
    </row>
    <row r="13" spans="1:54" ht="14.1" customHeight="1" x14ac:dyDescent="0.2">
      <c r="A13" s="271" t="s">
        <v>106</v>
      </c>
      <c r="B13" s="272">
        <v>8731</v>
      </c>
      <c r="C13" s="272">
        <v>0</v>
      </c>
      <c r="D13" s="272">
        <f t="shared" si="0"/>
        <v>8731</v>
      </c>
      <c r="E13" s="292">
        <f>'- 7 -'!E13</f>
        <v>8530</v>
      </c>
      <c r="F13" s="292">
        <v>8327.2999999999993</v>
      </c>
      <c r="G13" s="292">
        <v>8207.7999999999993</v>
      </c>
      <c r="I13" s="79"/>
    </row>
    <row r="14" spans="1:54" ht="14.1" customHeight="1" x14ac:dyDescent="0.2">
      <c r="A14" s="15" t="s">
        <v>315</v>
      </c>
      <c r="B14" s="16">
        <v>5502</v>
      </c>
      <c r="C14" s="16">
        <v>32</v>
      </c>
      <c r="D14" s="16">
        <f t="shared" si="0"/>
        <v>5470</v>
      </c>
      <c r="E14" s="47">
        <f>'- 7 -'!E14</f>
        <v>5570</v>
      </c>
      <c r="F14" s="47">
        <v>5200.5</v>
      </c>
      <c r="G14" s="47">
        <v>5069.5</v>
      </c>
    </row>
    <row r="15" spans="1:54" ht="14.1" customHeight="1" x14ac:dyDescent="0.2">
      <c r="A15" s="271" t="s">
        <v>107</v>
      </c>
      <c r="B15" s="272">
        <v>1455</v>
      </c>
      <c r="C15" s="272">
        <v>0</v>
      </c>
      <c r="D15" s="272">
        <f t="shared" si="0"/>
        <v>1455</v>
      </c>
      <c r="E15" s="292">
        <f>'- 7 -'!E15</f>
        <v>1378</v>
      </c>
      <c r="F15" s="292">
        <v>1381.1999999999998</v>
      </c>
      <c r="G15" s="292">
        <v>1394</v>
      </c>
    </row>
    <row r="16" spans="1:54" ht="14.1" customHeight="1" x14ac:dyDescent="0.2">
      <c r="A16" s="15" t="s">
        <v>108</v>
      </c>
      <c r="B16" s="16">
        <v>961</v>
      </c>
      <c r="C16" s="16">
        <v>0</v>
      </c>
      <c r="D16" s="16">
        <f t="shared" si="0"/>
        <v>961</v>
      </c>
      <c r="E16" s="47">
        <f>'- 7 -'!E16</f>
        <v>927.5</v>
      </c>
      <c r="F16" s="47">
        <v>885.8</v>
      </c>
      <c r="G16" s="47">
        <v>910.1</v>
      </c>
    </row>
    <row r="17" spans="1:7" ht="14.1" customHeight="1" x14ac:dyDescent="0.2">
      <c r="A17" s="271" t="s">
        <v>109</v>
      </c>
      <c r="B17" s="272">
        <v>1449</v>
      </c>
      <c r="C17" s="272">
        <v>4</v>
      </c>
      <c r="D17" s="272">
        <f t="shared" si="0"/>
        <v>1445</v>
      </c>
      <c r="E17" s="292">
        <f>'- 7 -'!E17</f>
        <v>1408.5</v>
      </c>
      <c r="F17" s="292">
        <v>1322.5</v>
      </c>
      <c r="G17" s="292">
        <v>1284.5</v>
      </c>
    </row>
    <row r="18" spans="1:7" ht="14.1" customHeight="1" x14ac:dyDescent="0.2">
      <c r="A18" s="15" t="s">
        <v>110</v>
      </c>
      <c r="B18" s="16">
        <v>6658</v>
      </c>
      <c r="C18" s="16">
        <v>431</v>
      </c>
      <c r="D18" s="16">
        <f t="shared" si="0"/>
        <v>6227</v>
      </c>
      <c r="E18" s="47">
        <f>'- 7 -'!E18</f>
        <v>6114.8</v>
      </c>
      <c r="F18" s="47">
        <v>2256.5</v>
      </c>
      <c r="G18" s="47">
        <v>2281.1</v>
      </c>
    </row>
    <row r="19" spans="1:7" ht="14.1" customHeight="1" x14ac:dyDescent="0.2">
      <c r="A19" s="271" t="s">
        <v>111</v>
      </c>
      <c r="B19" s="272">
        <v>4440</v>
      </c>
      <c r="C19" s="272">
        <v>0</v>
      </c>
      <c r="D19" s="272">
        <f t="shared" si="0"/>
        <v>4440</v>
      </c>
      <c r="E19" s="292">
        <f>'- 7 -'!E19</f>
        <v>4338.5</v>
      </c>
      <c r="F19" s="292">
        <v>4264.8999999999996</v>
      </c>
      <c r="G19" s="292">
        <v>4201</v>
      </c>
    </row>
    <row r="20" spans="1:7" ht="14.1" customHeight="1" x14ac:dyDescent="0.2">
      <c r="A20" s="15" t="s">
        <v>112</v>
      </c>
      <c r="B20" s="16">
        <v>7977</v>
      </c>
      <c r="C20" s="16">
        <v>0</v>
      </c>
      <c r="D20" s="16">
        <f t="shared" si="0"/>
        <v>7977</v>
      </c>
      <c r="E20" s="47">
        <f>'- 7 -'!E20</f>
        <v>7745</v>
      </c>
      <c r="F20" s="47">
        <v>7630.2</v>
      </c>
      <c r="G20" s="47">
        <v>7559.9</v>
      </c>
    </row>
    <row r="21" spans="1:7" ht="14.1" customHeight="1" x14ac:dyDescent="0.2">
      <c r="A21" s="271" t="s">
        <v>113</v>
      </c>
      <c r="B21" s="272">
        <v>2858</v>
      </c>
      <c r="C21" s="272">
        <v>0</v>
      </c>
      <c r="D21" s="272">
        <f t="shared" si="0"/>
        <v>2858</v>
      </c>
      <c r="E21" s="292">
        <f>'- 7 -'!E21</f>
        <v>2755.5</v>
      </c>
      <c r="F21" s="292">
        <v>2742.1</v>
      </c>
      <c r="G21" s="292">
        <v>2686.1</v>
      </c>
    </row>
    <row r="22" spans="1:7" ht="14.1" customHeight="1" x14ac:dyDescent="0.2">
      <c r="A22" s="15" t="s">
        <v>114</v>
      </c>
      <c r="B22" s="16">
        <v>1588</v>
      </c>
      <c r="C22" s="16">
        <v>0</v>
      </c>
      <c r="D22" s="16">
        <f t="shared" si="0"/>
        <v>1588</v>
      </c>
      <c r="E22" s="47">
        <f>'- 7 -'!E22</f>
        <v>1519.2</v>
      </c>
      <c r="F22" s="47">
        <v>1523.6</v>
      </c>
      <c r="G22" s="47">
        <v>1532.3</v>
      </c>
    </row>
    <row r="23" spans="1:7" ht="14.1" customHeight="1" x14ac:dyDescent="0.2">
      <c r="A23" s="271" t="s">
        <v>115</v>
      </c>
      <c r="B23" s="272">
        <v>1147</v>
      </c>
      <c r="C23" s="272">
        <v>0</v>
      </c>
      <c r="D23" s="272">
        <f t="shared" si="0"/>
        <v>1147</v>
      </c>
      <c r="E23" s="292">
        <f>'- 7 -'!E23</f>
        <v>1105</v>
      </c>
      <c r="F23" s="292">
        <v>992.5</v>
      </c>
      <c r="G23" s="292">
        <v>986</v>
      </c>
    </row>
    <row r="24" spans="1:7" ht="14.1" customHeight="1" x14ac:dyDescent="0.2">
      <c r="A24" s="15" t="s">
        <v>116</v>
      </c>
      <c r="B24" s="16">
        <v>4083</v>
      </c>
      <c r="C24" s="16">
        <v>0</v>
      </c>
      <c r="D24" s="16">
        <f t="shared" si="0"/>
        <v>4083</v>
      </c>
      <c r="E24" s="47">
        <f>'- 7 -'!E24</f>
        <v>3894.5</v>
      </c>
      <c r="F24" s="47">
        <v>3862.8</v>
      </c>
      <c r="G24" s="47">
        <v>3917</v>
      </c>
    </row>
    <row r="25" spans="1:7" ht="14.1" customHeight="1" x14ac:dyDescent="0.2">
      <c r="A25" s="271" t="s">
        <v>117</v>
      </c>
      <c r="B25" s="272">
        <v>14931</v>
      </c>
      <c r="C25" s="272">
        <v>0</v>
      </c>
      <c r="D25" s="272">
        <f t="shared" si="0"/>
        <v>14931</v>
      </c>
      <c r="E25" s="292">
        <f>'- 7 -'!E25</f>
        <v>14472.5</v>
      </c>
      <c r="F25" s="292">
        <v>14049.5</v>
      </c>
      <c r="G25" s="292">
        <v>13915</v>
      </c>
    </row>
    <row r="26" spans="1:7" ht="14.1" customHeight="1" x14ac:dyDescent="0.2">
      <c r="A26" s="15" t="s">
        <v>118</v>
      </c>
      <c r="B26" s="16">
        <v>3168</v>
      </c>
      <c r="C26" s="16">
        <v>0</v>
      </c>
      <c r="D26" s="16">
        <f t="shared" si="0"/>
        <v>3168</v>
      </c>
      <c r="E26" s="47">
        <f>'- 7 -'!E26</f>
        <v>3050</v>
      </c>
      <c r="F26" s="47">
        <v>2903.2</v>
      </c>
      <c r="G26" s="47">
        <v>2935.6</v>
      </c>
    </row>
    <row r="27" spans="1:7" ht="14.1" customHeight="1" x14ac:dyDescent="0.2">
      <c r="A27" s="271" t="s">
        <v>119</v>
      </c>
      <c r="B27" s="272">
        <v>3118</v>
      </c>
      <c r="C27" s="272">
        <v>0</v>
      </c>
      <c r="D27" s="272">
        <f t="shared" si="0"/>
        <v>3118</v>
      </c>
      <c r="E27" s="292">
        <f>'- 7 -'!E27</f>
        <v>2990.4571428571426</v>
      </c>
      <c r="F27" s="292">
        <v>2925.8</v>
      </c>
      <c r="G27" s="292">
        <v>2857.7</v>
      </c>
    </row>
    <row r="28" spans="1:7" ht="14.1" customHeight="1" x14ac:dyDescent="0.2">
      <c r="A28" s="15" t="s">
        <v>120</v>
      </c>
      <c r="B28" s="16">
        <v>2073</v>
      </c>
      <c r="C28" s="16">
        <v>36</v>
      </c>
      <c r="D28" s="16">
        <f t="shared" si="0"/>
        <v>2037</v>
      </c>
      <c r="E28" s="47">
        <f>'- 7 -'!E28</f>
        <v>1959</v>
      </c>
      <c r="F28" s="47">
        <v>1490.5</v>
      </c>
      <c r="G28" s="47">
        <v>1517.4</v>
      </c>
    </row>
    <row r="29" spans="1:7" ht="14.1" customHeight="1" x14ac:dyDescent="0.2">
      <c r="A29" s="271" t="s">
        <v>121</v>
      </c>
      <c r="B29" s="272">
        <v>13577</v>
      </c>
      <c r="C29" s="272">
        <v>0</v>
      </c>
      <c r="D29" s="272">
        <f t="shared" si="0"/>
        <v>13577</v>
      </c>
      <c r="E29" s="292">
        <f>'- 7 -'!E29</f>
        <v>13063.9</v>
      </c>
      <c r="F29" s="292">
        <v>12895</v>
      </c>
      <c r="G29" s="292">
        <v>12545.1</v>
      </c>
    </row>
    <row r="30" spans="1:7" ht="14.1" customHeight="1" x14ac:dyDescent="0.2">
      <c r="A30" s="15" t="s">
        <v>122</v>
      </c>
      <c r="B30" s="16">
        <v>1031</v>
      </c>
      <c r="C30" s="16">
        <v>0</v>
      </c>
      <c r="D30" s="16">
        <f t="shared" si="0"/>
        <v>1031</v>
      </c>
      <c r="E30" s="47">
        <f>'- 7 -'!E30</f>
        <v>1015.5</v>
      </c>
      <c r="F30" s="47">
        <v>990</v>
      </c>
      <c r="G30" s="47">
        <v>1003</v>
      </c>
    </row>
    <row r="31" spans="1:7" ht="14.1" customHeight="1" x14ac:dyDescent="0.2">
      <c r="A31" s="271" t="s">
        <v>123</v>
      </c>
      <c r="B31" s="272">
        <v>3411</v>
      </c>
      <c r="C31" s="272">
        <v>0</v>
      </c>
      <c r="D31" s="272">
        <f t="shared" si="0"/>
        <v>3411</v>
      </c>
      <c r="E31" s="292">
        <f>'- 7 -'!E31</f>
        <v>3284.5</v>
      </c>
      <c r="F31" s="292">
        <v>3120.5</v>
      </c>
      <c r="G31" s="292">
        <v>3109</v>
      </c>
    </row>
    <row r="32" spans="1:7" ht="14.1" customHeight="1" x14ac:dyDescent="0.2">
      <c r="A32" s="15" t="s">
        <v>124</v>
      </c>
      <c r="B32" s="16">
        <v>2257</v>
      </c>
      <c r="C32" s="16">
        <v>0</v>
      </c>
      <c r="D32" s="16">
        <f t="shared" si="0"/>
        <v>2257</v>
      </c>
      <c r="E32" s="47">
        <f>'- 7 -'!E32</f>
        <v>2213</v>
      </c>
      <c r="F32" s="47">
        <v>2151.1999999999998</v>
      </c>
      <c r="G32" s="47">
        <v>2112.1999999999998</v>
      </c>
    </row>
    <row r="33" spans="1:7" ht="14.1" customHeight="1" x14ac:dyDescent="0.2">
      <c r="A33" s="271" t="s">
        <v>125</v>
      </c>
      <c r="B33" s="272">
        <v>2096</v>
      </c>
      <c r="C33" s="272">
        <v>0</v>
      </c>
      <c r="D33" s="272">
        <f t="shared" si="0"/>
        <v>2096</v>
      </c>
      <c r="E33" s="292">
        <f>'- 7 -'!E33</f>
        <v>1984</v>
      </c>
      <c r="F33" s="292">
        <v>1991.7</v>
      </c>
      <c r="G33" s="292">
        <v>2000.6</v>
      </c>
    </row>
    <row r="34" spans="1:7" ht="14.1" customHeight="1" x14ac:dyDescent="0.2">
      <c r="A34" s="15" t="s">
        <v>126</v>
      </c>
      <c r="B34" s="16">
        <v>2115</v>
      </c>
      <c r="C34" s="16">
        <v>0</v>
      </c>
      <c r="D34" s="16">
        <f t="shared" si="0"/>
        <v>2115</v>
      </c>
      <c r="E34" s="47">
        <f>'- 7 -'!E34</f>
        <v>2055</v>
      </c>
      <c r="F34" s="47">
        <v>2040.9</v>
      </c>
      <c r="G34" s="47">
        <v>1979</v>
      </c>
    </row>
    <row r="35" spans="1:7" ht="14.1" customHeight="1" x14ac:dyDescent="0.2">
      <c r="A35" s="271" t="s">
        <v>127</v>
      </c>
      <c r="B35" s="272">
        <v>16183</v>
      </c>
      <c r="C35" s="272">
        <v>0</v>
      </c>
      <c r="D35" s="272">
        <f t="shared" si="0"/>
        <v>16183</v>
      </c>
      <c r="E35" s="292">
        <f>'- 7 -'!E35</f>
        <v>15702.5</v>
      </c>
      <c r="F35" s="292">
        <v>15492</v>
      </c>
      <c r="G35" s="292">
        <v>15311.800000000001</v>
      </c>
    </row>
    <row r="36" spans="1:7" ht="14.1" customHeight="1" x14ac:dyDescent="0.2">
      <c r="A36" s="15" t="s">
        <v>128</v>
      </c>
      <c r="B36" s="16">
        <v>1726</v>
      </c>
      <c r="C36" s="16">
        <v>0</v>
      </c>
      <c r="D36" s="16">
        <f t="shared" si="0"/>
        <v>1726</v>
      </c>
      <c r="E36" s="47">
        <f>'- 7 -'!E36</f>
        <v>1681.5</v>
      </c>
      <c r="F36" s="47">
        <v>1553.1</v>
      </c>
      <c r="G36" s="47">
        <v>1523</v>
      </c>
    </row>
    <row r="37" spans="1:7" ht="14.1" customHeight="1" x14ac:dyDescent="0.2">
      <c r="A37" s="271" t="s">
        <v>129</v>
      </c>
      <c r="B37" s="272">
        <v>4360</v>
      </c>
      <c r="C37" s="272">
        <v>0</v>
      </c>
      <c r="D37" s="272">
        <f t="shared" si="0"/>
        <v>4360</v>
      </c>
      <c r="E37" s="292">
        <f>'- 7 -'!E37</f>
        <v>4253.7</v>
      </c>
      <c r="F37" s="292">
        <v>4185</v>
      </c>
      <c r="G37" s="292">
        <v>4102.2</v>
      </c>
    </row>
    <row r="38" spans="1:7" ht="14.1" customHeight="1" x14ac:dyDescent="0.2">
      <c r="A38" s="15" t="s">
        <v>130</v>
      </c>
      <c r="B38" s="16">
        <v>11440</v>
      </c>
      <c r="C38" s="16">
        <v>0</v>
      </c>
      <c r="D38" s="16">
        <f t="shared" si="0"/>
        <v>11440</v>
      </c>
      <c r="E38" s="47">
        <f>'- 7 -'!E38</f>
        <v>11290</v>
      </c>
      <c r="F38" s="47">
        <v>10891.8</v>
      </c>
      <c r="G38" s="47">
        <v>10694.3</v>
      </c>
    </row>
    <row r="39" spans="1:7" ht="14.1" customHeight="1" x14ac:dyDescent="0.2">
      <c r="A39" s="271" t="s">
        <v>131</v>
      </c>
      <c r="B39" s="272">
        <v>1573</v>
      </c>
      <c r="C39" s="272">
        <v>0</v>
      </c>
      <c r="D39" s="272">
        <f t="shared" si="0"/>
        <v>1573</v>
      </c>
      <c r="E39" s="292">
        <f>'- 7 -'!E39</f>
        <v>1508</v>
      </c>
      <c r="F39" s="292">
        <v>1501.4</v>
      </c>
      <c r="G39" s="292">
        <v>1542.4</v>
      </c>
    </row>
    <row r="40" spans="1:7" ht="14.1" customHeight="1" x14ac:dyDescent="0.2">
      <c r="A40" s="15" t="s">
        <v>132</v>
      </c>
      <c r="B40" s="16">
        <v>8447</v>
      </c>
      <c r="C40" s="16">
        <v>0</v>
      </c>
      <c r="D40" s="16">
        <f t="shared" si="0"/>
        <v>8447</v>
      </c>
      <c r="E40" s="47">
        <f>'- 7 -'!E40</f>
        <v>8219.6</v>
      </c>
      <c r="F40" s="47">
        <v>7987.5</v>
      </c>
      <c r="G40" s="47">
        <v>7826.9</v>
      </c>
    </row>
    <row r="41" spans="1:7" ht="14.1" customHeight="1" x14ac:dyDescent="0.2">
      <c r="A41" s="271" t="s">
        <v>133</v>
      </c>
      <c r="B41" s="272">
        <v>4630</v>
      </c>
      <c r="C41" s="272">
        <v>0</v>
      </c>
      <c r="D41" s="272">
        <f t="shared" si="0"/>
        <v>4630</v>
      </c>
      <c r="E41" s="292">
        <f>'- 7 -'!E41</f>
        <v>4428</v>
      </c>
      <c r="F41" s="292">
        <v>4391</v>
      </c>
      <c r="G41" s="292">
        <v>4325.5</v>
      </c>
    </row>
    <row r="42" spans="1:7" ht="14.1" customHeight="1" x14ac:dyDescent="0.2">
      <c r="A42" s="15" t="s">
        <v>134</v>
      </c>
      <c r="B42" s="16">
        <v>1485</v>
      </c>
      <c r="C42" s="16">
        <v>50</v>
      </c>
      <c r="D42" s="16">
        <f t="shared" si="0"/>
        <v>1435</v>
      </c>
      <c r="E42" s="47">
        <f>'- 7 -'!E42</f>
        <v>1387</v>
      </c>
      <c r="F42" s="47">
        <v>1343.6</v>
      </c>
      <c r="G42" s="47">
        <v>1349.7</v>
      </c>
    </row>
    <row r="43" spans="1:7" ht="14.1" customHeight="1" x14ac:dyDescent="0.2">
      <c r="A43" s="271" t="s">
        <v>135</v>
      </c>
      <c r="B43" s="272">
        <v>1012</v>
      </c>
      <c r="C43" s="272">
        <v>0</v>
      </c>
      <c r="D43" s="272">
        <f t="shared" si="0"/>
        <v>1012</v>
      </c>
      <c r="E43" s="292">
        <f>'- 7 -'!E43</f>
        <v>952.5</v>
      </c>
      <c r="F43" s="292">
        <v>963.69999999999993</v>
      </c>
      <c r="G43" s="292">
        <v>946.7</v>
      </c>
    </row>
    <row r="44" spans="1:7" ht="14.1" customHeight="1" x14ac:dyDescent="0.2">
      <c r="A44" s="15" t="s">
        <v>136</v>
      </c>
      <c r="B44" s="16">
        <v>720</v>
      </c>
      <c r="C44" s="16">
        <v>0</v>
      </c>
      <c r="D44" s="16">
        <f t="shared" si="0"/>
        <v>720</v>
      </c>
      <c r="E44" s="47">
        <f>'- 7 -'!E44</f>
        <v>716</v>
      </c>
      <c r="F44" s="47">
        <v>693.3</v>
      </c>
      <c r="G44" s="47">
        <v>681</v>
      </c>
    </row>
    <row r="45" spans="1:7" ht="14.1" customHeight="1" x14ac:dyDescent="0.2">
      <c r="A45" s="271" t="s">
        <v>137</v>
      </c>
      <c r="B45" s="272">
        <v>1752</v>
      </c>
      <c r="C45" s="272">
        <v>0</v>
      </c>
      <c r="D45" s="272">
        <f t="shared" si="0"/>
        <v>1752</v>
      </c>
      <c r="E45" s="292">
        <f>'- 7 -'!E45</f>
        <v>1732</v>
      </c>
      <c r="F45" s="292">
        <v>1662.4</v>
      </c>
      <c r="G45" s="292">
        <v>1636.3</v>
      </c>
    </row>
    <row r="46" spans="1:7" ht="14.1" customHeight="1" x14ac:dyDescent="0.2">
      <c r="A46" s="15" t="s">
        <v>138</v>
      </c>
      <c r="B46" s="16">
        <v>33244</v>
      </c>
      <c r="C46" s="16">
        <v>1819</v>
      </c>
      <c r="D46" s="16">
        <f t="shared" si="0"/>
        <v>31425</v>
      </c>
      <c r="E46" s="47">
        <f>'- 7 -'!E46</f>
        <v>30260.5</v>
      </c>
      <c r="F46" s="47">
        <v>29637.4</v>
      </c>
      <c r="G46" s="47">
        <v>29586.1</v>
      </c>
    </row>
    <row r="47" spans="1:7" ht="5.0999999999999996" customHeight="1" x14ac:dyDescent="0.2">
      <c r="A47"/>
      <c r="B47"/>
      <c r="C47"/>
      <c r="D47"/>
      <c r="E47"/>
      <c r="F47"/>
      <c r="G47"/>
    </row>
    <row r="48" spans="1:7" ht="14.1" customHeight="1" x14ac:dyDescent="0.2">
      <c r="A48" s="274" t="s">
        <v>139</v>
      </c>
      <c r="B48" s="275">
        <f t="shared" ref="B48:G48" si="1">SUM(B11:B46)</f>
        <v>185225</v>
      </c>
      <c r="C48" s="275">
        <f t="shared" si="1"/>
        <v>2372</v>
      </c>
      <c r="D48" s="275">
        <f t="shared" si="1"/>
        <v>182853</v>
      </c>
      <c r="E48" s="293">
        <f t="shared" si="1"/>
        <v>177451.65714285712</v>
      </c>
      <c r="F48" s="293">
        <f t="shared" si="1"/>
        <v>168991.19999999998</v>
      </c>
      <c r="G48" s="293">
        <f t="shared" si="1"/>
        <v>167213.9</v>
      </c>
    </row>
    <row r="49" spans="1:7" ht="5.0999999999999996" customHeight="1" x14ac:dyDescent="0.2">
      <c r="A49" s="17" t="s">
        <v>1</v>
      </c>
      <c r="B49" s="18"/>
      <c r="C49" s="18"/>
      <c r="D49" s="18"/>
      <c r="E49" s="50"/>
      <c r="F49" s="50"/>
      <c r="G49" s="50"/>
    </row>
    <row r="50" spans="1:7" ht="14.1" customHeight="1" x14ac:dyDescent="0.2">
      <c r="A50" s="15" t="s">
        <v>140</v>
      </c>
      <c r="B50" s="16">
        <v>164</v>
      </c>
      <c r="C50" s="16">
        <v>0</v>
      </c>
      <c r="D50" s="16">
        <f t="shared" ref="D50:D51" si="2">+B50-C50</f>
        <v>164</v>
      </c>
      <c r="E50" s="47">
        <f>'- 7 -'!E50</f>
        <v>162</v>
      </c>
      <c r="F50" s="47">
        <v>155</v>
      </c>
      <c r="G50" s="47">
        <v>169</v>
      </c>
    </row>
    <row r="51" spans="1:7" ht="14.1" customHeight="1" x14ac:dyDescent="0.2">
      <c r="A51" s="360" t="s">
        <v>516</v>
      </c>
      <c r="B51" s="272">
        <v>0</v>
      </c>
      <c r="C51" s="272">
        <v>0</v>
      </c>
      <c r="D51" s="272">
        <f t="shared" si="2"/>
        <v>0</v>
      </c>
      <c r="E51" s="292">
        <f>'- 7 -'!E51</f>
        <v>1066</v>
      </c>
      <c r="F51" s="292"/>
      <c r="G51" s="292"/>
    </row>
    <row r="52" spans="1:7" ht="50.1" customHeight="1" x14ac:dyDescent="0.2">
      <c r="A52" s="19"/>
      <c r="B52" s="19"/>
      <c r="C52" s="19"/>
      <c r="D52" s="19"/>
      <c r="E52" s="19"/>
      <c r="F52" s="99"/>
      <c r="G52" s="99"/>
    </row>
    <row r="53" spans="1:7" ht="15" customHeight="1" x14ac:dyDescent="0.2">
      <c r="A53" s="20" t="s">
        <v>336</v>
      </c>
      <c r="C53" s="90"/>
      <c r="D53" s="90"/>
      <c r="E53" s="90"/>
      <c r="F53" s="90"/>
    </row>
    <row r="54" spans="1:7" ht="12" customHeight="1" x14ac:dyDescent="0.2">
      <c r="A54" s="567" t="s">
        <v>377</v>
      </c>
      <c r="B54" s="587"/>
      <c r="C54" s="587"/>
      <c r="D54" s="587"/>
      <c r="E54" s="587"/>
      <c r="F54" s="587"/>
      <c r="G54" s="587"/>
    </row>
    <row r="55" spans="1:7" ht="12" customHeight="1" x14ac:dyDescent="0.2">
      <c r="A55" s="587"/>
      <c r="B55" s="587"/>
      <c r="C55" s="587"/>
      <c r="D55" s="587"/>
      <c r="E55" s="587"/>
      <c r="F55" s="587"/>
      <c r="G55" s="587"/>
    </row>
    <row r="56" spans="1:7" ht="12" customHeight="1" x14ac:dyDescent="0.2">
      <c r="A56" s="131" t="s">
        <v>581</v>
      </c>
      <c r="C56" s="90"/>
      <c r="D56" s="90"/>
      <c r="E56" s="90"/>
      <c r="F56" s="91"/>
    </row>
    <row r="57" spans="1:7" ht="14.45" customHeight="1" x14ac:dyDescent="0.2">
      <c r="A57" s="20"/>
      <c r="B57" s="90"/>
      <c r="C57" s="90"/>
      <c r="D57" s="90"/>
      <c r="E57" s="90"/>
      <c r="F57" s="90"/>
    </row>
    <row r="58" spans="1:7" ht="14.45" customHeight="1" x14ac:dyDescent="0.2">
      <c r="F58" s="428"/>
      <c r="G58" s="428"/>
    </row>
    <row r="59" spans="1:7" ht="14.45" customHeight="1" x14ac:dyDescent="0.2">
      <c r="F59" s="428"/>
      <c r="G59" s="428"/>
    </row>
    <row r="60" spans="1:7" x14ac:dyDescent="0.2">
      <c r="F60" s="428"/>
      <c r="G60" s="428"/>
    </row>
    <row r="61" spans="1:7" x14ac:dyDescent="0.2">
      <c r="F61" s="428"/>
      <c r="G61" s="428"/>
    </row>
    <row r="62" spans="1:7" x14ac:dyDescent="0.2">
      <c r="F62" s="428"/>
      <c r="G62" s="428"/>
    </row>
    <row r="63" spans="1:7" x14ac:dyDescent="0.2">
      <c r="F63" s="428"/>
      <c r="G63" s="428"/>
    </row>
  </sheetData>
  <mergeCells count="11">
    <mergeCell ref="B6:D7"/>
    <mergeCell ref="E6:E7"/>
    <mergeCell ref="F6:F7"/>
    <mergeCell ref="G6:G7"/>
    <mergeCell ref="A54:G55"/>
    <mergeCell ref="B8:B9"/>
    <mergeCell ref="C8:C9"/>
    <mergeCell ref="D8:D9"/>
    <mergeCell ref="E8:E9"/>
    <mergeCell ref="F8:F9"/>
    <mergeCell ref="G8:G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B58"/>
  <sheetViews>
    <sheetView showGridLines="0" showZeros="0" workbookViewId="0"/>
  </sheetViews>
  <sheetFormatPr defaultRowHeight="12" x14ac:dyDescent="0.2"/>
  <cols>
    <col min="1" max="1" width="39.83203125" style="1" customWidth="1"/>
    <col min="2" max="3" width="31.83203125" style="1" customWidth="1"/>
    <col min="4" max="4" width="29.83203125" style="1" customWidth="1"/>
    <col min="5" max="16384" width="9.33203125" style="1"/>
  </cols>
  <sheetData>
    <row r="1" spans="1:54" ht="6.95" customHeight="1" x14ac:dyDescent="0.2">
      <c r="A1" s="3"/>
      <c r="B1" s="4"/>
      <c r="C1" s="4"/>
      <c r="D1" s="4"/>
    </row>
    <row r="2" spans="1:54" ht="15.95" customHeight="1" x14ac:dyDescent="0.2">
      <c r="A2" s="33"/>
      <c r="B2" s="34" t="str">
        <f>IF(Lang=1,BA2,BB2)</f>
        <v>PUPIL / TEACHER RATIOS</v>
      </c>
      <c r="C2" s="6"/>
      <c r="D2" s="80"/>
      <c r="BA2" s="458" t="s">
        <v>76</v>
      </c>
      <c r="BB2" s="458" t="s">
        <v>383</v>
      </c>
    </row>
    <row r="3" spans="1:54" ht="15.95" customHeight="1" x14ac:dyDescent="0.2">
      <c r="A3" s="37"/>
      <c r="B3" s="7" t="str">
        <f>STATDATE</f>
        <v>ESTIMATE SEPTEMBER 30, 2017</v>
      </c>
      <c r="C3" s="8"/>
      <c r="D3" s="81"/>
    </row>
    <row r="4" spans="1:54" ht="15.95" customHeight="1" x14ac:dyDescent="0.2">
      <c r="B4" s="4"/>
      <c r="C4" s="4"/>
      <c r="D4" s="4"/>
    </row>
    <row r="5" spans="1:54" ht="15.95" customHeight="1" x14ac:dyDescent="0.2">
      <c r="B5" s="4"/>
      <c r="C5" s="4"/>
      <c r="D5" s="4"/>
    </row>
    <row r="6" spans="1:54" ht="15.95" customHeight="1" x14ac:dyDescent="0.2">
      <c r="B6" s="4"/>
      <c r="C6" s="4"/>
      <c r="D6" s="4"/>
    </row>
    <row r="7" spans="1:54" ht="15.95" customHeight="1" x14ac:dyDescent="0.2">
      <c r="B7" s="595" t="s">
        <v>75</v>
      </c>
      <c r="C7" s="596"/>
      <c r="D7" s="4"/>
    </row>
    <row r="8" spans="1:54" ht="15.95" customHeight="1" x14ac:dyDescent="0.2">
      <c r="A8" s="82"/>
      <c r="B8" s="592" t="s">
        <v>384</v>
      </c>
      <c r="C8" s="594" t="s">
        <v>385</v>
      </c>
      <c r="D8" s="84"/>
    </row>
    <row r="9" spans="1:54" ht="15.95" customHeight="1" x14ac:dyDescent="0.2">
      <c r="A9" s="27" t="s">
        <v>37</v>
      </c>
      <c r="B9" s="593"/>
      <c r="C9" s="576"/>
    </row>
    <row r="10" spans="1:54" ht="5.0999999999999996" customHeight="1" x14ac:dyDescent="0.2">
      <c r="A10" s="29"/>
    </row>
    <row r="11" spans="1:54" ht="14.1" customHeight="1" x14ac:dyDescent="0.2">
      <c r="A11" s="271" t="s">
        <v>104</v>
      </c>
      <c r="B11" s="292">
        <v>15.977226225424785</v>
      </c>
      <c r="C11" s="292">
        <v>13.77617550049858</v>
      </c>
    </row>
    <row r="12" spans="1:54" ht="14.1" customHeight="1" x14ac:dyDescent="0.2">
      <c r="A12" s="15" t="s">
        <v>105</v>
      </c>
      <c r="B12" s="47">
        <v>13.926674439694262</v>
      </c>
      <c r="C12" s="47">
        <v>11.076193910669209</v>
      </c>
    </row>
    <row r="13" spans="1:54" ht="14.1" customHeight="1" x14ac:dyDescent="0.2">
      <c r="A13" s="271" t="s">
        <v>106</v>
      </c>
      <c r="B13" s="292">
        <v>17.242773398019001</v>
      </c>
      <c r="C13" s="292">
        <v>12.860912174896344</v>
      </c>
    </row>
    <row r="14" spans="1:54" ht="14.1" customHeight="1" x14ac:dyDescent="0.2">
      <c r="A14" s="15" t="s">
        <v>315</v>
      </c>
      <c r="B14" s="47">
        <v>14.77061787324317</v>
      </c>
      <c r="C14" s="47">
        <v>11.751054852320674</v>
      </c>
    </row>
    <row r="15" spans="1:54" ht="14.1" customHeight="1" x14ac:dyDescent="0.2">
      <c r="A15" s="271" t="s">
        <v>107</v>
      </c>
      <c r="B15" s="292">
        <v>16.069970845481048</v>
      </c>
      <c r="C15" s="292">
        <v>12.54437869822485</v>
      </c>
    </row>
    <row r="16" spans="1:54" ht="14.1" customHeight="1" x14ac:dyDescent="0.2">
      <c r="A16" s="15" t="s">
        <v>108</v>
      </c>
      <c r="B16" s="47">
        <v>15.290141773821301</v>
      </c>
      <c r="C16" s="47">
        <v>11.8469791799719</v>
      </c>
    </row>
    <row r="17" spans="1:3" ht="14.1" customHeight="1" x14ac:dyDescent="0.2">
      <c r="A17" s="271" t="s">
        <v>109</v>
      </c>
      <c r="B17" s="292">
        <v>15.326441784548422</v>
      </c>
      <c r="C17" s="292">
        <v>12.93388429752066</v>
      </c>
    </row>
    <row r="18" spans="1:3" ht="14.1" customHeight="1" x14ac:dyDescent="0.2">
      <c r="A18" s="15" t="s">
        <v>110</v>
      </c>
      <c r="B18" s="47">
        <v>15.435956984904328</v>
      </c>
      <c r="C18" s="47">
        <v>12.207138864489339</v>
      </c>
    </row>
    <row r="19" spans="1:3" ht="14.1" customHeight="1" x14ac:dyDescent="0.2">
      <c r="A19" s="271" t="s">
        <v>111</v>
      </c>
      <c r="B19" s="292">
        <v>18.572345890410958</v>
      </c>
      <c r="C19" s="292">
        <v>14.693829167513378</v>
      </c>
    </row>
    <row r="20" spans="1:3" ht="14.1" customHeight="1" x14ac:dyDescent="0.2">
      <c r="A20" s="15" t="s">
        <v>112</v>
      </c>
      <c r="B20" s="47">
        <v>17.763761467889907</v>
      </c>
      <c r="C20" s="47">
        <v>14.304315304416884</v>
      </c>
    </row>
    <row r="21" spans="1:3" ht="14.1" customHeight="1" x14ac:dyDescent="0.2">
      <c r="A21" s="271" t="s">
        <v>113</v>
      </c>
      <c r="B21" s="292">
        <v>15.736721873215306</v>
      </c>
      <c r="C21" s="292">
        <v>11.989296436496542</v>
      </c>
    </row>
    <row r="22" spans="1:3" ht="14.1" customHeight="1" x14ac:dyDescent="0.2">
      <c r="A22" s="15" t="s">
        <v>114</v>
      </c>
      <c r="B22" s="47">
        <v>16.076190476190476</v>
      </c>
      <c r="C22" s="47">
        <v>11.859484777517565</v>
      </c>
    </row>
    <row r="23" spans="1:3" ht="14.1" customHeight="1" x14ac:dyDescent="0.2">
      <c r="A23" s="271" t="s">
        <v>115</v>
      </c>
      <c r="B23" s="292">
        <v>14.932432432432432</v>
      </c>
      <c r="C23" s="292">
        <v>11.913746630727763</v>
      </c>
    </row>
    <row r="24" spans="1:3" ht="14.1" customHeight="1" x14ac:dyDescent="0.2">
      <c r="A24" s="15" t="s">
        <v>116</v>
      </c>
      <c r="B24" s="47">
        <v>15.124271844660194</v>
      </c>
      <c r="C24" s="47">
        <v>11.891603053435114</v>
      </c>
    </row>
    <row r="25" spans="1:3" ht="14.1" customHeight="1" x14ac:dyDescent="0.2">
      <c r="A25" s="271" t="s">
        <v>117</v>
      </c>
      <c r="B25" s="292">
        <v>17.486552059117777</v>
      </c>
      <c r="C25" s="292">
        <v>13.518044920353523</v>
      </c>
    </row>
    <row r="26" spans="1:3" ht="14.1" customHeight="1" x14ac:dyDescent="0.2">
      <c r="A26" s="15" t="s">
        <v>118</v>
      </c>
      <c r="B26" s="47">
        <v>16.096685666033352</v>
      </c>
      <c r="C26" s="47">
        <v>13.045337895637294</v>
      </c>
    </row>
    <row r="27" spans="1:3" ht="14.1" customHeight="1" x14ac:dyDescent="0.2">
      <c r="A27" s="271" t="s">
        <v>119</v>
      </c>
      <c r="B27" s="292">
        <v>15.679007722210155</v>
      </c>
      <c r="C27" s="292">
        <v>11.958480196973419</v>
      </c>
    </row>
    <row r="28" spans="1:3" ht="14.1" customHeight="1" x14ac:dyDescent="0.2">
      <c r="A28" s="15" t="s">
        <v>120</v>
      </c>
      <c r="B28" s="47">
        <v>13.590953239905648</v>
      </c>
      <c r="C28" s="47">
        <v>11.227004412860337</v>
      </c>
    </row>
    <row r="29" spans="1:3" ht="14.1" customHeight="1" x14ac:dyDescent="0.2">
      <c r="A29" s="271" t="s">
        <v>121</v>
      </c>
      <c r="B29" s="292">
        <v>16.954874044464056</v>
      </c>
      <c r="C29" s="292">
        <v>13.649747147573869</v>
      </c>
    </row>
    <row r="30" spans="1:3" ht="14.1" customHeight="1" x14ac:dyDescent="0.2">
      <c r="A30" s="15" t="s">
        <v>122</v>
      </c>
      <c r="B30" s="47">
        <v>13.920684313698612</v>
      </c>
      <c r="C30" s="47">
        <v>11.486257210722769</v>
      </c>
    </row>
    <row r="31" spans="1:3" ht="14.1" customHeight="1" x14ac:dyDescent="0.2">
      <c r="A31" s="271" t="s">
        <v>123</v>
      </c>
      <c r="B31" s="292">
        <v>16.689532520325201</v>
      </c>
      <c r="C31" s="292">
        <v>12.978109688636003</v>
      </c>
    </row>
    <row r="32" spans="1:3" ht="14.1" customHeight="1" x14ac:dyDescent="0.2">
      <c r="A32" s="15" t="s">
        <v>124</v>
      </c>
      <c r="B32" s="47">
        <v>14.874311063314961</v>
      </c>
      <c r="C32" s="47">
        <v>11.973164529567709</v>
      </c>
    </row>
    <row r="33" spans="1:4" ht="14.1" customHeight="1" x14ac:dyDescent="0.2">
      <c r="A33" s="271" t="s">
        <v>125</v>
      </c>
      <c r="B33" s="292">
        <v>14.986026134904451</v>
      </c>
      <c r="C33" s="292">
        <v>12.375249500998004</v>
      </c>
    </row>
    <row r="34" spans="1:4" ht="14.1" customHeight="1" x14ac:dyDescent="0.2">
      <c r="A34" s="15" t="s">
        <v>126</v>
      </c>
      <c r="B34" s="47">
        <v>15.741095365760243</v>
      </c>
      <c r="C34" s="47">
        <v>12.192951228195085</v>
      </c>
    </row>
    <row r="35" spans="1:4" ht="14.1" customHeight="1" x14ac:dyDescent="0.2">
      <c r="A35" s="271" t="s">
        <v>127</v>
      </c>
      <c r="B35" s="292">
        <v>17.75939288380194</v>
      </c>
      <c r="C35" s="292">
        <v>13.847245983174309</v>
      </c>
    </row>
    <row r="36" spans="1:4" ht="14.1" customHeight="1" x14ac:dyDescent="0.2">
      <c r="A36" s="15" t="s">
        <v>128</v>
      </c>
      <c r="B36" s="47">
        <v>15.083423035522067</v>
      </c>
      <c r="C36" s="47">
        <v>12.364879770571367</v>
      </c>
    </row>
    <row r="37" spans="1:4" ht="14.1" customHeight="1" x14ac:dyDescent="0.2">
      <c r="A37" s="271" t="s">
        <v>129</v>
      </c>
      <c r="B37" s="292">
        <v>17.670003738628338</v>
      </c>
      <c r="C37" s="292">
        <v>13.740228696944246</v>
      </c>
    </row>
    <row r="38" spans="1:4" ht="14.1" customHeight="1" x14ac:dyDescent="0.2">
      <c r="A38" s="15" t="s">
        <v>130</v>
      </c>
      <c r="B38" s="47">
        <v>16.869882254497639</v>
      </c>
      <c r="C38" s="47">
        <v>13.791671247602645</v>
      </c>
    </row>
    <row r="39" spans="1:4" ht="14.1" customHeight="1" x14ac:dyDescent="0.2">
      <c r="A39" s="271" t="s">
        <v>131</v>
      </c>
      <c r="B39" s="292">
        <v>13.481137135705346</v>
      </c>
      <c r="C39" s="292">
        <v>11.521124608449844</v>
      </c>
    </row>
    <row r="40" spans="1:4" ht="14.1" customHeight="1" x14ac:dyDescent="0.2">
      <c r="A40" s="15" t="s">
        <v>132</v>
      </c>
      <c r="B40" s="47">
        <v>17.704353070411614</v>
      </c>
      <c r="C40" s="47">
        <v>13.61492082422315</v>
      </c>
    </row>
    <row r="41" spans="1:4" ht="14.1" customHeight="1" x14ac:dyDescent="0.2">
      <c r="A41" s="271" t="s">
        <v>133</v>
      </c>
      <c r="B41" s="292">
        <v>16.331649024453213</v>
      </c>
      <c r="C41" s="292">
        <v>12.717559882819231</v>
      </c>
    </row>
    <row r="42" spans="1:4" ht="14.1" customHeight="1" x14ac:dyDescent="0.2">
      <c r="A42" s="15" t="s">
        <v>134</v>
      </c>
      <c r="B42" s="47">
        <v>14.731810939989378</v>
      </c>
      <c r="C42" s="47">
        <v>12.196623285262048</v>
      </c>
    </row>
    <row r="43" spans="1:4" ht="14.1" customHeight="1" x14ac:dyDescent="0.2">
      <c r="A43" s="271" t="s">
        <v>135</v>
      </c>
      <c r="B43" s="292">
        <v>14.995277078085641</v>
      </c>
      <c r="C43" s="292">
        <v>11.991690796928115</v>
      </c>
    </row>
    <row r="44" spans="1:4" ht="14.1" customHeight="1" x14ac:dyDescent="0.2">
      <c r="A44" s="15" t="s">
        <v>136</v>
      </c>
      <c r="B44" s="47">
        <v>13.271547729379053</v>
      </c>
      <c r="C44" s="47">
        <v>11.456</v>
      </c>
    </row>
    <row r="45" spans="1:4" ht="14.1" customHeight="1" x14ac:dyDescent="0.2">
      <c r="A45" s="271" t="s">
        <v>137</v>
      </c>
      <c r="B45" s="292">
        <v>16.389099167297502</v>
      </c>
      <c r="C45" s="292">
        <v>13.666850785133748</v>
      </c>
    </row>
    <row r="46" spans="1:4" ht="14.1" customHeight="1" x14ac:dyDescent="0.2">
      <c r="A46" s="15" t="s">
        <v>138</v>
      </c>
      <c r="B46" s="47">
        <v>17.540386855940504</v>
      </c>
      <c r="C46" s="47">
        <v>13.362521968753589</v>
      </c>
    </row>
    <row r="47" spans="1:4" ht="5.0999999999999996" customHeight="1" x14ac:dyDescent="0.2">
      <c r="A47"/>
      <c r="B47"/>
      <c r="C47"/>
      <c r="D47"/>
    </row>
    <row r="48" spans="1:4" ht="14.1" customHeight="1" x14ac:dyDescent="0.2">
      <c r="A48" s="350" t="s">
        <v>139</v>
      </c>
      <c r="B48" s="351">
        <v>16.67295310925893</v>
      </c>
      <c r="C48" s="352">
        <v>13.102144393280184</v>
      </c>
      <c r="D48" s="29"/>
    </row>
    <row r="49" spans="1:4" ht="5.0999999999999996" customHeight="1" x14ac:dyDescent="0.2">
      <c r="A49" s="17" t="s">
        <v>1</v>
      </c>
      <c r="B49" s="50"/>
      <c r="C49" s="50"/>
    </row>
    <row r="50" spans="1:4" ht="14.1" customHeight="1" x14ac:dyDescent="0.2">
      <c r="A50" s="15" t="s">
        <v>140</v>
      </c>
      <c r="B50" s="47">
        <v>10.377962844330558</v>
      </c>
      <c r="C50" s="47">
        <v>8.2108464267612771</v>
      </c>
    </row>
    <row r="51" spans="1:4" ht="14.1" customHeight="1" x14ac:dyDescent="0.2">
      <c r="A51" s="360" t="s">
        <v>516</v>
      </c>
      <c r="B51" s="292">
        <v>22.208333333333332</v>
      </c>
      <c r="C51" s="292">
        <v>19.381818181818183</v>
      </c>
    </row>
    <row r="52" spans="1:4" ht="50.1" customHeight="1" x14ac:dyDescent="0.2">
      <c r="A52" s="19"/>
      <c r="B52" s="19"/>
      <c r="C52" s="19"/>
      <c r="D52" s="19"/>
    </row>
    <row r="53" spans="1:4" ht="15" customHeight="1" x14ac:dyDescent="0.2">
      <c r="A53" s="566" t="s">
        <v>386</v>
      </c>
      <c r="B53" s="597"/>
      <c r="C53" s="597"/>
      <c r="D53" s="597"/>
    </row>
    <row r="54" spans="1:4" ht="12" customHeight="1" x14ac:dyDescent="0.2">
      <c r="A54" s="587"/>
      <c r="B54" s="587"/>
      <c r="C54" s="587"/>
      <c r="D54" s="587"/>
    </row>
    <row r="55" spans="1:4" ht="9.75" customHeight="1" x14ac:dyDescent="0.2">
      <c r="A55" s="587"/>
      <c r="B55" s="587"/>
      <c r="C55" s="587"/>
      <c r="D55" s="587"/>
    </row>
    <row r="56" spans="1:4" ht="12" customHeight="1" x14ac:dyDescent="0.2">
      <c r="A56" s="567" t="s">
        <v>524</v>
      </c>
      <c r="B56" s="567"/>
      <c r="C56" s="567"/>
      <c r="D56" s="567"/>
    </row>
    <row r="57" spans="1:4" ht="12" customHeight="1" x14ac:dyDescent="0.2">
      <c r="A57" s="567"/>
      <c r="B57" s="567"/>
      <c r="C57" s="567"/>
      <c r="D57" s="567"/>
    </row>
    <row r="58" spans="1:4" ht="12" customHeight="1" x14ac:dyDescent="0.2">
      <c r="A58" s="567"/>
      <c r="B58" s="567"/>
      <c r="C58" s="567"/>
      <c r="D58" s="567"/>
    </row>
  </sheetData>
  <mergeCells count="5">
    <mergeCell ref="B8:B9"/>
    <mergeCell ref="C8:C9"/>
    <mergeCell ref="B7:C7"/>
    <mergeCell ref="A53:D55"/>
    <mergeCell ref="A56:D58"/>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BB50"/>
  <sheetViews>
    <sheetView showGridLines="0" showZeros="0" workbookViewId="0"/>
  </sheetViews>
  <sheetFormatPr defaultColWidth="15.83203125" defaultRowHeight="12" x14ac:dyDescent="0.2"/>
  <cols>
    <col min="1" max="1" width="5.83203125" style="1" customWidth="1"/>
    <col min="2" max="2" width="40.83203125" style="1" customWidth="1"/>
    <col min="3" max="5" width="15.83203125" style="1" customWidth="1"/>
    <col min="6" max="6" width="17.83203125" style="1" customWidth="1"/>
    <col min="7" max="9" width="14.83203125" style="1" customWidth="1"/>
    <col min="10" max="10" width="2.83203125" style="1" customWidth="1"/>
    <col min="11" max="11" width="17.83203125" style="1" customWidth="1"/>
    <col min="12" max="12" width="12.83203125" style="1" bestFit="1" customWidth="1"/>
    <col min="13" max="16384" width="15.83203125" style="1"/>
  </cols>
  <sheetData>
    <row r="2" spans="1:54" x14ac:dyDescent="0.2">
      <c r="A2" s="52"/>
      <c r="B2" s="52"/>
      <c r="C2" s="53" t="str">
        <f>OPYEAR</f>
        <v>OPERATING FUND 2017/2018 BUDGET</v>
      </c>
      <c r="D2" s="53"/>
      <c r="E2" s="53"/>
      <c r="F2" s="53"/>
      <c r="G2" s="53"/>
      <c r="H2" s="53"/>
      <c r="I2" s="53"/>
      <c r="J2" s="53"/>
      <c r="K2" s="52"/>
    </row>
    <row r="5" spans="1:54" ht="15.75" x14ac:dyDescent="0.25">
      <c r="C5" s="255" t="str">
        <f>IF(Lang=1,BA5,BB5)</f>
        <v>EXPENSE BY FUNCTION AND OBJECT</v>
      </c>
      <c r="D5" s="55"/>
      <c r="E5" s="55"/>
      <c r="F5" s="55"/>
      <c r="G5" s="55"/>
      <c r="H5" s="55"/>
      <c r="I5" s="55"/>
      <c r="J5" s="55"/>
      <c r="K5" s="4"/>
      <c r="BA5" s="456" t="s">
        <v>251</v>
      </c>
      <c r="BB5" s="456" t="s">
        <v>387</v>
      </c>
    </row>
    <row r="6" spans="1:54" x14ac:dyDescent="0.2">
      <c r="C6" s="54"/>
      <c r="D6" s="55"/>
      <c r="E6" s="55"/>
      <c r="F6" s="55"/>
      <c r="G6" s="55"/>
      <c r="H6" s="55"/>
      <c r="I6" s="55"/>
      <c r="J6" s="55"/>
      <c r="K6" s="4"/>
    </row>
    <row r="7" spans="1:54" x14ac:dyDescent="0.2">
      <c r="C7" s="54"/>
      <c r="D7" s="55"/>
      <c r="E7" s="55"/>
      <c r="F7" s="55"/>
      <c r="G7" s="55"/>
      <c r="H7" s="55"/>
      <c r="I7" s="55"/>
      <c r="J7" s="4"/>
      <c r="K7" s="4"/>
    </row>
    <row r="8" spans="1:54" x14ac:dyDescent="0.2">
      <c r="C8" s="4"/>
      <c r="D8" s="4"/>
      <c r="E8" s="4"/>
      <c r="F8" s="4"/>
      <c r="G8" s="4"/>
      <c r="H8" s="4"/>
      <c r="I8" s="4"/>
      <c r="J8" s="4"/>
      <c r="K8" s="4"/>
    </row>
    <row r="9" spans="1:54" x14ac:dyDescent="0.2">
      <c r="C9" s="4"/>
      <c r="D9" s="4"/>
      <c r="E9" s="4"/>
      <c r="F9" s="4"/>
      <c r="G9" s="4"/>
      <c r="H9" s="4"/>
      <c r="I9" s="4"/>
      <c r="J9" s="4"/>
      <c r="K9" s="4"/>
    </row>
    <row r="10" spans="1:54" x14ac:dyDescent="0.2">
      <c r="C10" s="601" t="s">
        <v>60</v>
      </c>
      <c r="D10" s="602"/>
      <c r="E10" s="602"/>
      <c r="F10" s="602"/>
      <c r="G10" s="602"/>
      <c r="H10" s="602"/>
      <c r="I10" s="602"/>
      <c r="J10" s="603"/>
      <c r="K10" s="4"/>
    </row>
    <row r="11" spans="1:54" x14ac:dyDescent="0.2">
      <c r="C11" s="4"/>
      <c r="D11" s="4"/>
      <c r="E11" s="4"/>
      <c r="F11" s="4"/>
      <c r="G11" s="4"/>
      <c r="H11" s="4"/>
      <c r="I11" s="4"/>
      <c r="J11" s="4"/>
      <c r="K11" s="4"/>
    </row>
    <row r="12" spans="1:54" x14ac:dyDescent="0.2">
      <c r="A12" s="56"/>
      <c r="B12" s="57"/>
      <c r="C12" s="604" t="s">
        <v>61</v>
      </c>
      <c r="D12" s="606" t="s">
        <v>78</v>
      </c>
      <c r="E12" s="604" t="s">
        <v>56</v>
      </c>
      <c r="F12" s="606" t="s">
        <v>388</v>
      </c>
      <c r="G12" s="608" t="s">
        <v>32</v>
      </c>
      <c r="H12" s="610" t="s">
        <v>389</v>
      </c>
      <c r="I12" s="612" t="s">
        <v>42</v>
      </c>
      <c r="J12" s="613"/>
      <c r="K12" s="604" t="s">
        <v>62</v>
      </c>
    </row>
    <row r="13" spans="1:54" x14ac:dyDescent="0.2">
      <c r="A13" s="599" t="s">
        <v>67</v>
      </c>
      <c r="B13" s="600"/>
      <c r="C13" s="605"/>
      <c r="D13" s="607"/>
      <c r="E13" s="605"/>
      <c r="F13" s="607"/>
      <c r="G13" s="609"/>
      <c r="H13" s="611"/>
      <c r="I13" s="614"/>
      <c r="J13" s="615"/>
      <c r="K13" s="605"/>
      <c r="N13" s="128" t="str">
        <f>IF($N$27=0,"","Variance")</f>
        <v/>
      </c>
    </row>
    <row r="15" spans="1:54" x14ac:dyDescent="0.2">
      <c r="A15" s="58">
        <v>100</v>
      </c>
      <c r="B15" s="29" t="s">
        <v>21</v>
      </c>
      <c r="C15" s="59">
        <f>'- 12 -'!B22</f>
        <v>1139043373</v>
      </c>
      <c r="D15" s="60">
        <f>'- 12 -'!B23</f>
        <v>71347194</v>
      </c>
      <c r="E15" s="60">
        <f>'- 12 -'!B40</f>
        <v>32688601</v>
      </c>
      <c r="F15" s="60">
        <f>'- 12 -'!B46</f>
        <v>80118420</v>
      </c>
      <c r="G15" s="61"/>
      <c r="H15" s="164"/>
      <c r="I15" s="62"/>
      <c r="K15" s="59">
        <f>SUM(C15:F15)</f>
        <v>1323197588</v>
      </c>
      <c r="N15" s="1" t="str">
        <f>IF($N$27=0,"",K15-'- 12 -'!$B$51)</f>
        <v/>
      </c>
    </row>
    <row r="16" spans="1:54" ht="24" customHeight="1" x14ac:dyDescent="0.2">
      <c r="A16" s="58">
        <v>200</v>
      </c>
      <c r="B16" s="29" t="s">
        <v>241</v>
      </c>
      <c r="C16" s="59">
        <f>'- 12 -'!D22</f>
        <v>381335484</v>
      </c>
      <c r="D16" s="60">
        <f>'- 12 -'!D23</f>
        <v>38704718</v>
      </c>
      <c r="E16" s="60">
        <f>'- 12 -'!D40</f>
        <v>12096175</v>
      </c>
      <c r="F16" s="60">
        <f>'- 12 -'!D46</f>
        <v>5311916</v>
      </c>
      <c r="G16" s="61"/>
      <c r="H16" s="164"/>
      <c r="I16" s="62"/>
      <c r="K16" s="59">
        <f>SUM(C16:F16)</f>
        <v>437448293</v>
      </c>
      <c r="N16" s="1" t="str">
        <f>IF($N$27=0,"",K16-'- 12 -'!$D$51)</f>
        <v/>
      </c>
    </row>
    <row r="17" spans="1:14" ht="24" customHeight="1" x14ac:dyDescent="0.2">
      <c r="A17" s="58">
        <v>300</v>
      </c>
      <c r="B17" s="29" t="s">
        <v>97</v>
      </c>
      <c r="C17" s="59">
        <f>'- 12 -'!F22</f>
        <v>7082594</v>
      </c>
      <c r="D17" s="60">
        <f>'- 12 -'!F23</f>
        <v>495728</v>
      </c>
      <c r="E17" s="60">
        <f>'- 12 -'!F40</f>
        <v>874486</v>
      </c>
      <c r="F17" s="60">
        <f>'- 12 -'!F46</f>
        <v>298499</v>
      </c>
      <c r="G17" s="61"/>
      <c r="H17" s="164"/>
      <c r="I17" s="63">
        <f>'- 12 -'!F48</f>
        <v>27000</v>
      </c>
      <c r="J17" s="64" t="s">
        <v>85</v>
      </c>
      <c r="K17" s="59">
        <f>SUM(C17:F17,I17)</f>
        <v>8778307</v>
      </c>
      <c r="N17" s="1" t="str">
        <f>IF($N$27=0,"",K17-'- 12 -'!$F$51)</f>
        <v/>
      </c>
    </row>
    <row r="18" spans="1:14" ht="24" customHeight="1" x14ac:dyDescent="0.2">
      <c r="A18" s="58">
        <v>400</v>
      </c>
      <c r="B18" s="29" t="s">
        <v>63</v>
      </c>
      <c r="C18" s="59">
        <f>'- 12 -'!H22</f>
        <v>17305269</v>
      </c>
      <c r="D18" s="60">
        <f>'- 12 -'!H23</f>
        <v>1663697</v>
      </c>
      <c r="E18" s="60">
        <f>'- 12 -'!H40</f>
        <v>2482054</v>
      </c>
      <c r="F18" s="60">
        <f>'- 12 -'!H46</f>
        <v>2086115</v>
      </c>
      <c r="G18" s="61"/>
      <c r="H18" s="164"/>
      <c r="I18" s="62"/>
      <c r="K18" s="59">
        <f>SUM(C18:F18)</f>
        <v>23537135</v>
      </c>
      <c r="N18" s="1" t="str">
        <f>IF($N$27=0,"",K18-'- 12 -'!$H$51)</f>
        <v/>
      </c>
    </row>
    <row r="19" spans="1:14" ht="24" customHeight="1" x14ac:dyDescent="0.2">
      <c r="A19" s="58">
        <v>500</v>
      </c>
      <c r="B19" s="29" t="s">
        <v>82</v>
      </c>
      <c r="C19" s="59">
        <f>'- 12 -'!J22</f>
        <v>53223992</v>
      </c>
      <c r="D19" s="60">
        <f>'- 12 -'!J23</f>
        <v>8036968</v>
      </c>
      <c r="E19" s="60">
        <f>'- 12 -'!J40</f>
        <v>19219273</v>
      </c>
      <c r="F19" s="60">
        <f>'- 12 -'!J46</f>
        <v>2834989</v>
      </c>
      <c r="G19" s="61"/>
      <c r="H19" s="164"/>
      <c r="I19" s="63">
        <f>'- 12 -'!J48</f>
        <v>-27000</v>
      </c>
      <c r="J19" s="64" t="s">
        <v>85</v>
      </c>
      <c r="K19" s="59">
        <f>SUM(C19:F19,I19)</f>
        <v>83288222</v>
      </c>
      <c r="N19" s="1" t="str">
        <f>IF($N$27=0,"",K19-'- 12 -'!$J$51)</f>
        <v/>
      </c>
    </row>
    <row r="20" spans="1:14" ht="12" customHeight="1" x14ac:dyDescent="0.2">
      <c r="A20" s="58"/>
      <c r="B20" s="29"/>
      <c r="C20" s="65"/>
      <c r="D20" s="66"/>
      <c r="E20" s="66"/>
      <c r="F20" s="66"/>
      <c r="G20" s="61"/>
      <c r="H20" s="164"/>
      <c r="I20" s="62"/>
      <c r="K20" s="59"/>
      <c r="L20" s="598" t="s">
        <v>86</v>
      </c>
    </row>
    <row r="21" spans="1:14" ht="24" customHeight="1" x14ac:dyDescent="0.2">
      <c r="A21" s="67">
        <v>600</v>
      </c>
      <c r="B21" s="366" t="s">
        <v>245</v>
      </c>
      <c r="C21" s="59">
        <f>'- 13 -'!B22</f>
        <v>53225498</v>
      </c>
      <c r="D21" s="60">
        <f>'- 13 -'!B23</f>
        <v>5081128</v>
      </c>
      <c r="E21" s="60">
        <f>'- 13 -'!B40</f>
        <v>14497910</v>
      </c>
      <c r="F21" s="60">
        <f>'- 13 -'!B46</f>
        <v>8060776</v>
      </c>
      <c r="G21" s="61"/>
      <c r="H21" s="164"/>
      <c r="I21" s="62"/>
      <c r="K21" s="59">
        <f>SUM(C21:F21)</f>
        <v>80865312</v>
      </c>
      <c r="L21" s="598"/>
      <c r="N21" s="1" t="str">
        <f>IF($N$27=0,"",K21-'- 13 -'!$B$54)</f>
        <v/>
      </c>
    </row>
    <row r="22" spans="1:14" ht="24" customHeight="1" x14ac:dyDescent="0.2">
      <c r="A22" s="58">
        <v>700</v>
      </c>
      <c r="B22" s="29" t="s">
        <v>64</v>
      </c>
      <c r="C22" s="59">
        <f>'- 13 -'!D22</f>
        <v>48451695</v>
      </c>
      <c r="D22" s="60">
        <f>'- 13 -'!D23</f>
        <v>7359658</v>
      </c>
      <c r="E22" s="60">
        <f>'- 13 -'!D40</f>
        <v>28305340</v>
      </c>
      <c r="F22" s="60">
        <f>'- 13 -'!D46</f>
        <v>19194965</v>
      </c>
      <c r="G22" s="61"/>
      <c r="H22" s="164"/>
      <c r="I22" s="62"/>
      <c r="K22" s="59">
        <f>SUM(C22:F22)</f>
        <v>103311658</v>
      </c>
      <c r="L22" s="68"/>
      <c r="N22" s="1" t="str">
        <f>IF($N$27=0,"",K22-'- 13 -'!$D$54)</f>
        <v/>
      </c>
    </row>
    <row r="23" spans="1:14" ht="24" customHeight="1" x14ac:dyDescent="0.2">
      <c r="A23" s="58">
        <v>800</v>
      </c>
      <c r="B23" s="29" t="s">
        <v>65</v>
      </c>
      <c r="C23" s="59">
        <f>'- 13 -'!F22</f>
        <v>119900589</v>
      </c>
      <c r="D23" s="60">
        <f>'- 13 -'!F23</f>
        <v>20595553</v>
      </c>
      <c r="E23" s="60">
        <f>'- 13 -'!F40</f>
        <v>103974582</v>
      </c>
      <c r="F23" s="60">
        <f>'- 13 -'!F46</f>
        <v>27069597</v>
      </c>
      <c r="G23" s="61"/>
      <c r="H23" s="164"/>
      <c r="I23" s="63">
        <f>'- 13 -'!F52</f>
        <v>0</v>
      </c>
      <c r="J23" s="70"/>
      <c r="K23" s="59">
        <f>SUM(C23:F23,I23)</f>
        <v>271540321</v>
      </c>
      <c r="N23" s="1" t="str">
        <f>IF($N$27=0,"",K23-'- 13 -'!$F$54)</f>
        <v/>
      </c>
    </row>
    <row r="24" spans="1:14" ht="24" customHeight="1" x14ac:dyDescent="0.2">
      <c r="A24" s="58">
        <v>900</v>
      </c>
      <c r="B24" s="29" t="s">
        <v>24</v>
      </c>
      <c r="C24" s="65"/>
      <c r="D24" s="66"/>
      <c r="E24" s="66"/>
      <c r="F24" s="66"/>
      <c r="G24" s="60">
        <v>2467342</v>
      </c>
      <c r="H24" s="60">
        <v>13000</v>
      </c>
      <c r="I24" s="69">
        <v>37849871</v>
      </c>
      <c r="J24" s="70" t="s">
        <v>226</v>
      </c>
      <c r="K24" s="59">
        <f>SUM(G24:I24)</f>
        <v>40330213</v>
      </c>
      <c r="N24" s="1" t="str">
        <f>IF($N$27=0,"",K24-'- 13 -'!$H$54)</f>
        <v/>
      </c>
    </row>
    <row r="25" spans="1:14" x14ac:dyDescent="0.2">
      <c r="A25" s="58"/>
      <c r="B25" s="29"/>
      <c r="C25" s="65"/>
      <c r="D25" s="66"/>
      <c r="E25" s="66"/>
      <c r="F25" s="66"/>
      <c r="G25" s="66"/>
      <c r="H25" s="23"/>
      <c r="I25" s="71"/>
      <c r="K25" s="65"/>
    </row>
    <row r="26" spans="1:14" x14ac:dyDescent="0.2">
      <c r="B26" s="29"/>
      <c r="C26" s="72"/>
      <c r="D26" s="72"/>
      <c r="E26" s="72"/>
      <c r="F26" s="72"/>
      <c r="G26" s="72"/>
      <c r="H26" s="72"/>
      <c r="I26" s="72"/>
      <c r="K26" s="72"/>
    </row>
    <row r="27" spans="1:14" x14ac:dyDescent="0.2">
      <c r="A27" s="73"/>
      <c r="B27" s="74" t="s">
        <v>62</v>
      </c>
      <c r="C27" s="75">
        <f>SUM(C15:C24)</f>
        <v>1819568494</v>
      </c>
      <c r="D27" s="76">
        <f>SUM(D15:D24)</f>
        <v>153284644</v>
      </c>
      <c r="E27" s="76">
        <f>SUM(E15:E24)</f>
        <v>214138421</v>
      </c>
      <c r="F27" s="76">
        <f>SUM(F15:F24)</f>
        <v>144975277</v>
      </c>
      <c r="G27" s="76">
        <f>G24</f>
        <v>2467342</v>
      </c>
      <c r="H27" s="76">
        <f>H24</f>
        <v>13000</v>
      </c>
      <c r="I27" s="77">
        <f>SUM(I15:I24)</f>
        <v>37849871</v>
      </c>
      <c r="J27" s="78"/>
      <c r="K27" s="75">
        <f>SUM(K15:K24)</f>
        <v>2372297049</v>
      </c>
      <c r="N27" s="1">
        <f>K27-'- 3 -'!D48</f>
        <v>0</v>
      </c>
    </row>
    <row r="28" spans="1:14" x14ac:dyDescent="0.2">
      <c r="C28" s="72"/>
      <c r="D28" s="72"/>
      <c r="E28" s="72"/>
      <c r="F28" s="72"/>
      <c r="G28" s="72"/>
      <c r="H28" s="72"/>
      <c r="I28" s="72"/>
    </row>
    <row r="29" spans="1:14" ht="60" customHeight="1" x14ac:dyDescent="0.2"/>
    <row r="30" spans="1:14" x14ac:dyDescent="0.2">
      <c r="A30" s="256" t="s">
        <v>85</v>
      </c>
      <c r="B30" s="131" t="s">
        <v>359</v>
      </c>
      <c r="C30" s="29"/>
    </row>
    <row r="31" spans="1:14" hidden="1" x14ac:dyDescent="0.2">
      <c r="A31" s="256" t="s">
        <v>226</v>
      </c>
      <c r="B31" s="127" t="s">
        <v>243</v>
      </c>
      <c r="C31" s="29"/>
    </row>
    <row r="32" spans="1:14" x14ac:dyDescent="0.2">
      <c r="A32" s="256" t="s">
        <v>226</v>
      </c>
      <c r="B32" s="131" t="s">
        <v>574</v>
      </c>
      <c r="C32" s="72"/>
      <c r="K32" s="72"/>
    </row>
    <row r="33" spans="3:3" x14ac:dyDescent="0.2">
      <c r="C33" s="72"/>
    </row>
    <row r="34" spans="3:3" ht="12.75" customHeight="1" x14ac:dyDescent="0.2"/>
    <row r="35" spans="3:3" ht="12.75" customHeight="1" x14ac:dyDescent="0.2"/>
    <row r="36" spans="3:3" ht="12.75" customHeight="1" x14ac:dyDescent="0.2"/>
    <row r="37" spans="3:3" ht="12.75" customHeight="1" x14ac:dyDescent="0.2"/>
    <row r="38" spans="3:3" ht="12.75" customHeight="1" x14ac:dyDescent="0.2"/>
    <row r="39" spans="3:3" ht="12.75" customHeight="1" x14ac:dyDescent="0.2"/>
    <row r="40" spans="3:3" ht="12.75" customHeight="1" x14ac:dyDescent="0.2"/>
    <row r="41" spans="3:3" ht="12.75" customHeight="1" x14ac:dyDescent="0.2"/>
    <row r="42" spans="3:3" ht="12.75" customHeight="1" x14ac:dyDescent="0.2"/>
    <row r="43" spans="3:3" ht="12.75" customHeight="1" x14ac:dyDescent="0.2"/>
    <row r="44" spans="3:3" ht="12.75" customHeight="1" x14ac:dyDescent="0.2"/>
    <row r="45" spans="3:3" ht="12.75" customHeight="1" x14ac:dyDescent="0.2"/>
    <row r="46" spans="3:3" ht="12.75" customHeight="1" x14ac:dyDescent="0.2"/>
    <row r="47" spans="3:3" ht="12.75" customHeight="1" x14ac:dyDescent="0.2"/>
    <row r="48" spans="3:3" ht="12.75" customHeight="1" x14ac:dyDescent="0.2"/>
    <row r="49" ht="12.75" customHeight="1" x14ac:dyDescent="0.2"/>
    <row r="50" ht="12.75" customHeight="1" x14ac:dyDescent="0.2"/>
  </sheetData>
  <mergeCells count="11">
    <mergeCell ref="L20:L21"/>
    <mergeCell ref="A13:B13"/>
    <mergeCell ref="C10:J10"/>
    <mergeCell ref="C12:C13"/>
    <mergeCell ref="D12:D13"/>
    <mergeCell ref="E12:E13"/>
    <mergeCell ref="F12:F13"/>
    <mergeCell ref="G12:G13"/>
    <mergeCell ref="H12:H13"/>
    <mergeCell ref="I12:J13"/>
    <mergeCell ref="K12:K13"/>
  </mergeCells>
  <phoneticPr fontId="0" type="noConversion"/>
  <pageMargins left="0.39370078740157483" right="0" top="0.70866141732283472" bottom="0.31496062992125984" header="0" footer="0"/>
  <pageSetup scale="8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BB52"/>
  <sheetViews>
    <sheetView showGridLines="0" showZeros="0" workbookViewId="0"/>
  </sheetViews>
  <sheetFormatPr defaultColWidth="15.83203125" defaultRowHeight="12" x14ac:dyDescent="0.2"/>
  <cols>
    <col min="1" max="1" width="49" style="1" customWidth="1"/>
    <col min="2" max="2" width="15.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15.83203125" style="1" customWidth="1"/>
    <col min="9" max="9" width="8.83203125" style="1" customWidth="1"/>
    <col min="10" max="10" width="15.83203125" style="1" customWidth="1"/>
    <col min="11" max="11" width="8.83203125" style="1" customWidth="1"/>
    <col min="12" max="12" width="5.83203125" style="1" customWidth="1"/>
    <col min="13" max="16384" width="15.83203125" style="1"/>
  </cols>
  <sheetData>
    <row r="2" spans="1:54" x14ac:dyDescent="0.2">
      <c r="A2" s="52"/>
      <c r="B2" s="52"/>
      <c r="C2" s="52"/>
      <c r="D2" s="100" t="str">
        <f>OPYEAR</f>
        <v>OPERATING FUND 2017/2018 BUDGET</v>
      </c>
      <c r="E2" s="100"/>
      <c r="F2" s="100"/>
      <c r="G2" s="100"/>
      <c r="H2" s="101"/>
      <c r="I2" s="101"/>
      <c r="J2" s="102"/>
      <c r="K2" s="103" t="s">
        <v>4</v>
      </c>
    </row>
    <row r="3" spans="1:54" ht="9.9499999999999993" customHeight="1" x14ac:dyDescent="0.2">
      <c r="J3" s="90"/>
      <c r="K3" s="90"/>
    </row>
    <row r="4" spans="1:54" ht="15.75" x14ac:dyDescent="0.25">
      <c r="B4" s="257" t="str">
        <f>IF(Lang=1,BA4,BB4)</f>
        <v>EXPENSE BY 2ND LEVEL OBJECT</v>
      </c>
      <c r="C4" s="90"/>
      <c r="D4" s="90"/>
      <c r="E4" s="90"/>
      <c r="F4" s="90"/>
      <c r="G4" s="90"/>
      <c r="H4" s="90"/>
      <c r="I4" s="90"/>
      <c r="J4" s="90"/>
      <c r="K4" s="90"/>
      <c r="BA4" s="456" t="s">
        <v>259</v>
      </c>
      <c r="BB4" s="465" t="s">
        <v>390</v>
      </c>
    </row>
    <row r="5" spans="1:54" ht="15.75" x14ac:dyDescent="0.25">
      <c r="B5" s="257" t="str">
        <f>IF(Lang=1,BA5,BB5)</f>
        <v>AS A PERCENTAGE OF TOTAL OPERATING FUND EXPENSES</v>
      </c>
      <c r="C5" s="90"/>
      <c r="D5" s="90"/>
      <c r="E5" s="90"/>
      <c r="F5" s="90"/>
      <c r="G5" s="90"/>
      <c r="H5" s="90"/>
      <c r="I5" s="90"/>
      <c r="J5" s="90"/>
      <c r="K5" s="90"/>
      <c r="BA5" s="456" t="s">
        <v>260</v>
      </c>
      <c r="BB5" s="465" t="s">
        <v>391</v>
      </c>
    </row>
    <row r="6" spans="1:54" ht="9.9499999999999993" customHeight="1" x14ac:dyDescent="0.2"/>
    <row r="7" spans="1:54" x14ac:dyDescent="0.2">
      <c r="B7" s="616" t="s">
        <v>67</v>
      </c>
      <c r="C7" s="617"/>
      <c r="D7" s="617"/>
      <c r="E7" s="617"/>
      <c r="F7" s="617"/>
      <c r="G7" s="617"/>
      <c r="H7" s="617"/>
      <c r="I7" s="617"/>
      <c r="J7" s="617"/>
      <c r="K7" s="618"/>
    </row>
    <row r="8" spans="1:54" ht="6" customHeight="1" x14ac:dyDescent="0.2"/>
    <row r="9" spans="1:54" x14ac:dyDescent="0.2">
      <c r="A9" s="4"/>
      <c r="B9" s="620" t="s">
        <v>392</v>
      </c>
      <c r="C9" s="621"/>
      <c r="D9" s="624" t="s">
        <v>393</v>
      </c>
      <c r="E9" s="621"/>
      <c r="F9" s="624" t="s">
        <v>97</v>
      </c>
      <c r="G9" s="621"/>
      <c r="H9" s="620" t="s">
        <v>394</v>
      </c>
      <c r="I9" s="621"/>
      <c r="J9" s="624" t="s">
        <v>82</v>
      </c>
      <c r="K9" s="621"/>
    </row>
    <row r="10" spans="1:54" x14ac:dyDescent="0.2">
      <c r="A10" s="4"/>
      <c r="B10" s="622"/>
      <c r="C10" s="623"/>
      <c r="D10" s="622"/>
      <c r="E10" s="623"/>
      <c r="F10" s="622"/>
      <c r="G10" s="623"/>
      <c r="H10" s="622"/>
      <c r="I10" s="623"/>
      <c r="J10" s="622"/>
      <c r="K10" s="623"/>
    </row>
    <row r="11" spans="1:54" x14ac:dyDescent="0.2">
      <c r="A11" s="107" t="s">
        <v>60</v>
      </c>
      <c r="B11" s="108" t="s">
        <v>38</v>
      </c>
      <c r="C11" s="108" t="s">
        <v>39</v>
      </c>
      <c r="D11" s="108" t="s">
        <v>38</v>
      </c>
      <c r="E11" s="108" t="s">
        <v>39</v>
      </c>
      <c r="F11" s="108" t="s">
        <v>38</v>
      </c>
      <c r="G11" s="108" t="s">
        <v>39</v>
      </c>
      <c r="H11" s="108" t="s">
        <v>38</v>
      </c>
      <c r="I11" s="108" t="s">
        <v>39</v>
      </c>
      <c r="J11" s="108" t="s">
        <v>38</v>
      </c>
      <c r="K11" s="109" t="s">
        <v>39</v>
      </c>
    </row>
    <row r="12" spans="1:54" ht="5.0999999999999996" customHeight="1" x14ac:dyDescent="0.2">
      <c r="A12" s="110"/>
      <c r="B12" s="4"/>
      <c r="C12" s="4"/>
      <c r="D12" s="4"/>
      <c r="E12" s="4"/>
      <c r="F12" s="4"/>
      <c r="G12" s="4"/>
      <c r="H12" s="4"/>
      <c r="I12" s="4"/>
      <c r="J12" s="4"/>
      <c r="K12" s="4"/>
    </row>
    <row r="13" spans="1:54" x14ac:dyDescent="0.2">
      <c r="A13" s="281" t="s">
        <v>61</v>
      </c>
      <c r="B13" s="111"/>
      <c r="C13" s="262"/>
      <c r="D13" s="111"/>
      <c r="E13" s="262"/>
      <c r="F13" s="111"/>
      <c r="G13" s="262"/>
      <c r="H13" s="111"/>
      <c r="I13" s="262"/>
      <c r="J13" s="111"/>
      <c r="K13" s="262"/>
    </row>
    <row r="14" spans="1:54" x14ac:dyDescent="0.2">
      <c r="A14" s="112" t="s">
        <v>188</v>
      </c>
      <c r="B14" s="113"/>
      <c r="C14" s="259"/>
      <c r="D14" s="113"/>
      <c r="E14" s="259"/>
      <c r="F14" s="113"/>
      <c r="G14" s="259"/>
      <c r="H14" s="113"/>
      <c r="I14" s="259"/>
      <c r="J14" s="113">
        <v>4242531</v>
      </c>
      <c r="K14" s="259"/>
    </row>
    <row r="15" spans="1:54" x14ac:dyDescent="0.2">
      <c r="A15" s="112" t="s">
        <v>189</v>
      </c>
      <c r="B15" s="113">
        <v>94049844</v>
      </c>
      <c r="C15" s="259">
        <f>B15/'- 13 -'!$J$54*100</f>
        <v>3.9645053742171559</v>
      </c>
      <c r="D15" s="113">
        <v>7513253</v>
      </c>
      <c r="E15" s="259">
        <f>D15/'- 13 -'!$J$54*100</f>
        <v>0.31670793517055879</v>
      </c>
      <c r="F15" s="113">
        <v>770633</v>
      </c>
      <c r="G15" s="259">
        <f>F15/'- 13 -'!$J$54*100</f>
        <v>3.248467557318957E-2</v>
      </c>
      <c r="H15" s="113">
        <v>972292</v>
      </c>
      <c r="I15" s="259">
        <f>H15/'- 13 -'!$J$54*100</f>
        <v>4.0985255215397774E-2</v>
      </c>
      <c r="J15" s="113">
        <v>22931135</v>
      </c>
      <c r="K15" s="259">
        <f>J15/'- 13 -'!$J$54*100</f>
        <v>0.96662157083853462</v>
      </c>
    </row>
    <row r="16" spans="1:54" x14ac:dyDescent="0.2">
      <c r="A16" s="112" t="s">
        <v>190</v>
      </c>
      <c r="B16" s="113">
        <v>960556480</v>
      </c>
      <c r="C16" s="259">
        <f>B16/'- 13 -'!$J$54*100</f>
        <v>40.490565058237785</v>
      </c>
      <c r="D16" s="113">
        <v>160439531</v>
      </c>
      <c r="E16" s="259">
        <f>D16/'- 13 -'!$J$54*100</f>
        <v>6.7630455919350601</v>
      </c>
      <c r="F16" s="113">
        <v>5396190</v>
      </c>
      <c r="G16" s="259">
        <f>F16/'- 13 -'!$J$54*100</f>
        <v>0.2274668765564021</v>
      </c>
      <c r="H16" s="113">
        <v>8758417</v>
      </c>
      <c r="I16" s="259">
        <f>H16/'- 13 -'!$J$54*100</f>
        <v>0.36919562850242371</v>
      </c>
      <c r="J16" s="113"/>
      <c r="K16" s="259">
        <f>J16/'- 13 -'!$J$54*100</f>
        <v>0</v>
      </c>
    </row>
    <row r="17" spans="1:12" x14ac:dyDescent="0.2">
      <c r="A17" s="112" t="s">
        <v>191</v>
      </c>
      <c r="B17" s="113">
        <v>23538531</v>
      </c>
      <c r="C17" s="259">
        <f>B17/'- 13 -'!$J$54*100</f>
        <v>0.99222527844572639</v>
      </c>
      <c r="D17" s="113">
        <v>170349136</v>
      </c>
      <c r="E17" s="259">
        <f>D17/'- 13 -'!$J$54*100</f>
        <v>7.1807675211587725</v>
      </c>
      <c r="F17" s="113">
        <v>371305</v>
      </c>
      <c r="G17" s="259">
        <f>F17/'- 13 -'!$J$54*100</f>
        <v>1.5651707704838948E-2</v>
      </c>
      <c r="H17" s="113">
        <v>4129973</v>
      </c>
      <c r="I17" s="259">
        <f>H17/'- 13 -'!$J$54*100</f>
        <v>0.17409173112367685</v>
      </c>
      <c r="J17" s="113"/>
      <c r="K17" s="259">
        <f>J17/'- 13 -'!$J$54*100</f>
        <v>0</v>
      </c>
    </row>
    <row r="18" spans="1:12" x14ac:dyDescent="0.2">
      <c r="A18" s="112" t="s">
        <v>192</v>
      </c>
      <c r="B18" s="113">
        <v>6251134</v>
      </c>
      <c r="C18" s="259">
        <f>B18/'- 13 -'!$J$54*100</f>
        <v>0.2635055337035071</v>
      </c>
      <c r="D18" s="113">
        <v>1844170</v>
      </c>
      <c r="E18" s="259">
        <f>D18/'- 13 -'!$J$54*100</f>
        <v>7.7737735279710327E-2</v>
      </c>
      <c r="F18" s="113">
        <v>223425</v>
      </c>
      <c r="G18" s="259">
        <f>F18/'- 13 -'!$J$54*100</f>
        <v>9.4180870011274873E-3</v>
      </c>
      <c r="H18" s="113">
        <v>2013675</v>
      </c>
      <c r="I18" s="259">
        <f>H18/'- 13 -'!$J$54*100</f>
        <v>8.4882919735908668E-2</v>
      </c>
      <c r="J18" s="113">
        <v>6581922</v>
      </c>
      <c r="K18" s="259">
        <f>J18/'- 13 -'!$J$54*100</f>
        <v>0.2774493187003918</v>
      </c>
    </row>
    <row r="19" spans="1:12" x14ac:dyDescent="0.2">
      <c r="A19" s="114" t="s">
        <v>193</v>
      </c>
      <c r="B19" s="115">
        <v>41628509</v>
      </c>
      <c r="C19" s="260">
        <f>B19/'- 13 -'!$J$54*100</f>
        <v>1.7547764103803005</v>
      </c>
      <c r="D19" s="115">
        <v>2814674</v>
      </c>
      <c r="E19" s="260">
        <f>D19/'- 13 -'!$J$54*100</f>
        <v>0.11864762050715681</v>
      </c>
      <c r="F19" s="115">
        <v>321041</v>
      </c>
      <c r="G19" s="260">
        <f>F19/'- 13 -'!$J$54*100</f>
        <v>1.3532917394781113E-2</v>
      </c>
      <c r="H19" s="115">
        <v>665640</v>
      </c>
      <c r="I19" s="260">
        <f>H19/'- 13 -'!$J$54*100</f>
        <v>2.8058880749381229E-2</v>
      </c>
      <c r="J19" s="115">
        <v>16819693</v>
      </c>
      <c r="K19" s="260">
        <f>J19/'- 13 -'!$J$54*100</f>
        <v>0.70900450713328866</v>
      </c>
    </row>
    <row r="20" spans="1:12" x14ac:dyDescent="0.2">
      <c r="A20" s="114" t="s">
        <v>194</v>
      </c>
      <c r="B20" s="116"/>
      <c r="C20" s="260"/>
      <c r="D20" s="116">
        <v>38183170</v>
      </c>
      <c r="E20" s="260">
        <f>D20/'- 13 -'!$J$54*100</f>
        <v>1.6095442185916575</v>
      </c>
      <c r="F20" s="116"/>
      <c r="G20" s="260"/>
      <c r="H20" s="116">
        <v>740272</v>
      </c>
      <c r="I20" s="260"/>
      <c r="J20" s="116"/>
      <c r="K20" s="260"/>
    </row>
    <row r="21" spans="1:12" x14ac:dyDescent="0.2">
      <c r="A21" s="117" t="s">
        <v>195</v>
      </c>
      <c r="B21" s="118">
        <v>13018875</v>
      </c>
      <c r="C21" s="261">
        <f>B21/'- 13 -'!$J$54*100</f>
        <v>0.54878772477029714</v>
      </c>
      <c r="D21" s="118">
        <v>191550</v>
      </c>
      <c r="E21" s="261">
        <f>D21/'- 13 -'!$J$54*100</f>
        <v>8.0744525682710996E-3</v>
      </c>
      <c r="F21" s="118">
        <v>0</v>
      </c>
      <c r="G21" s="261">
        <f>F21/'- 13 -'!$J$54*100</f>
        <v>0</v>
      </c>
      <c r="H21" s="118">
        <v>25000</v>
      </c>
      <c r="I21" s="261">
        <f>H21/'- 13 -'!$J$54*100</f>
        <v>1.0538309277305011E-3</v>
      </c>
      <c r="J21" s="118">
        <v>2648711</v>
      </c>
      <c r="K21" s="261">
        <f>J21/'- 13 -'!$J$54*100</f>
        <v>0.11165174281679932</v>
      </c>
    </row>
    <row r="22" spans="1:12" ht="12.75" customHeight="1" x14ac:dyDescent="0.2">
      <c r="A22" s="119" t="s">
        <v>196</v>
      </c>
      <c r="B22" s="125">
        <f>SUM(B14:B21)</f>
        <v>1139043373</v>
      </c>
      <c r="C22" s="263">
        <f>B22/'- 13 -'!$J$54*100</f>
        <v>48.014365379754771</v>
      </c>
      <c r="D22" s="125">
        <f>SUM(D14:D21)</f>
        <v>381335484</v>
      </c>
      <c r="E22" s="263">
        <f>D22/'- 13 -'!$J$54*100</f>
        <v>16.074525075211184</v>
      </c>
      <c r="F22" s="125">
        <f>SUM(F14:F21)</f>
        <v>7082594</v>
      </c>
      <c r="G22" s="263">
        <f>F22/'- 13 -'!$J$54*100</f>
        <v>0.29855426423033921</v>
      </c>
      <c r="H22" s="125">
        <f>SUM(H14:H21)</f>
        <v>17305269</v>
      </c>
      <c r="I22" s="263">
        <f>H22/'- 13 -'!$J$54*100</f>
        <v>0.72947310739583515</v>
      </c>
      <c r="J22" s="125">
        <f>SUM(J14:J21)</f>
        <v>53223992</v>
      </c>
      <c r="K22" s="263">
        <f>J22/'- 13 -'!$J$54*100</f>
        <v>2.2435635546752306</v>
      </c>
    </row>
    <row r="23" spans="1:12" x14ac:dyDescent="0.2">
      <c r="A23" s="281" t="s">
        <v>69</v>
      </c>
      <c r="B23" s="125">
        <v>71347194</v>
      </c>
      <c r="C23" s="263">
        <f>B23/'- 13 -'!$J$54*100</f>
        <v>3.0075151857595217</v>
      </c>
      <c r="D23" s="125">
        <v>38704718</v>
      </c>
      <c r="E23" s="263">
        <f>D23/'- 13 -'!$J$54*100</f>
        <v>1.631529155099497</v>
      </c>
      <c r="F23" s="125">
        <v>495728</v>
      </c>
      <c r="G23" s="263">
        <f>F23/'- 13 -'!$J$54*100</f>
        <v>2.0896539925679435E-2</v>
      </c>
      <c r="H23" s="125">
        <v>1663697</v>
      </c>
      <c r="I23" s="263">
        <f>H23/'- 13 -'!$J$54*100</f>
        <v>7.0130214118898054E-2</v>
      </c>
      <c r="J23" s="125">
        <v>8036968</v>
      </c>
      <c r="K23" s="263">
        <f>J23/'- 13 -'!$J$54*100</f>
        <v>0.33878421774321399</v>
      </c>
    </row>
    <row r="24" spans="1:12" x14ac:dyDescent="0.2">
      <c r="A24" s="281" t="s">
        <v>56</v>
      </c>
      <c r="B24" s="113"/>
      <c r="C24" s="259"/>
      <c r="D24" s="113"/>
      <c r="E24" s="259"/>
      <c r="F24" s="113"/>
      <c r="G24" s="259"/>
      <c r="H24" s="113"/>
      <c r="I24" s="259"/>
      <c r="J24" s="113"/>
      <c r="K24" s="259"/>
    </row>
    <row r="25" spans="1:12" x14ac:dyDescent="0.2">
      <c r="A25" s="114" t="s">
        <v>197</v>
      </c>
      <c r="B25" s="115">
        <v>6304569</v>
      </c>
      <c r="C25" s="260">
        <f>B25/'- 13 -'!$J$54*100</f>
        <v>0.2657579919284383</v>
      </c>
      <c r="D25" s="115">
        <v>8028201</v>
      </c>
      <c r="E25" s="260">
        <f>D25/'- 13 -'!$J$54*100</f>
        <v>0.33841466031347744</v>
      </c>
      <c r="F25" s="115">
        <v>59552</v>
      </c>
      <c r="G25" s="260">
        <f>F25/'- 13 -'!$J$54*100</f>
        <v>2.5103095763282721E-3</v>
      </c>
      <c r="H25" s="115">
        <v>1445824</v>
      </c>
      <c r="I25" s="260">
        <f>H25/'- 13 -'!$J$54*100</f>
        <v>6.0946161890200953E-2</v>
      </c>
      <c r="J25" s="115">
        <v>4486597</v>
      </c>
      <c r="K25" s="260">
        <f>J25/'- 13 -'!$J$54*100</f>
        <v>0.18912458715451533</v>
      </c>
    </row>
    <row r="26" spans="1:12" ht="12" customHeight="1" x14ac:dyDescent="0.2">
      <c r="A26" s="114" t="s">
        <v>198</v>
      </c>
      <c r="B26" s="115">
        <v>4316144</v>
      </c>
      <c r="C26" s="260">
        <f>B26/'- 13 -'!$J$54*100</f>
        <v>0.18193944142953744</v>
      </c>
      <c r="D26" s="115">
        <v>370614</v>
      </c>
      <c r="E26" s="260">
        <f>D26/'- 13 -'!$J$54*100</f>
        <v>1.5622579817996477E-2</v>
      </c>
      <c r="F26" s="115">
        <v>51039</v>
      </c>
      <c r="G26" s="260">
        <f>F26/'- 13 -'!$J$54*100</f>
        <v>2.1514590688174818E-3</v>
      </c>
      <c r="H26" s="115">
        <v>30680</v>
      </c>
      <c r="I26" s="260">
        <f>H26/'- 13 -'!$J$54*100</f>
        <v>1.2932613145108711E-3</v>
      </c>
      <c r="J26" s="115">
        <v>1234621</v>
      </c>
      <c r="K26" s="260">
        <f>J26/'- 13 -'!$J$54*100</f>
        <v>5.2043271753022362E-2</v>
      </c>
      <c r="L26" s="619" t="s">
        <v>99</v>
      </c>
    </row>
    <row r="27" spans="1:12" ht="12.75" customHeight="1" x14ac:dyDescent="0.2">
      <c r="A27" s="114" t="s">
        <v>199</v>
      </c>
      <c r="B27" s="115"/>
      <c r="C27" s="260">
        <f>B27/'- 13 -'!$J$54*100</f>
        <v>0</v>
      </c>
      <c r="D27" s="115"/>
      <c r="E27" s="260">
        <f>D27/'- 13 -'!$J$54*100</f>
        <v>0</v>
      </c>
      <c r="F27" s="115">
        <v>55345</v>
      </c>
      <c r="G27" s="260">
        <f>F27/'- 13 -'!$J$54*100</f>
        <v>2.3329709078097833E-3</v>
      </c>
      <c r="H27" s="115"/>
      <c r="I27" s="260">
        <f>H27/'- 13 -'!$J$54*100</f>
        <v>0</v>
      </c>
      <c r="J27" s="115"/>
      <c r="K27" s="260">
        <f>J27/'- 13 -'!$J$54*100</f>
        <v>0</v>
      </c>
      <c r="L27" s="619"/>
    </row>
    <row r="28" spans="1:12" ht="12.75" customHeight="1" x14ac:dyDescent="0.2">
      <c r="A28" s="114" t="s">
        <v>238</v>
      </c>
      <c r="B28" s="115">
        <v>2808845</v>
      </c>
      <c r="C28" s="260">
        <f>B28/'- 13 -'!$J$54*100</f>
        <v>0.11840190928804717</v>
      </c>
      <c r="D28" s="115">
        <v>2361889</v>
      </c>
      <c r="E28" s="260">
        <f>D28/'- 13 -'!$J$54*100</f>
        <v>9.9561267042658608E-2</v>
      </c>
      <c r="F28" s="115">
        <v>82835</v>
      </c>
      <c r="G28" s="260">
        <f>F28/'- 13 -'!$J$54*100</f>
        <v>3.4917633959422427E-3</v>
      </c>
      <c r="H28" s="115">
        <v>126740</v>
      </c>
      <c r="I28" s="260">
        <f>H28/'- 13 -'!$J$54*100</f>
        <v>5.3425012712225483E-3</v>
      </c>
      <c r="J28" s="115">
        <v>2852592</v>
      </c>
      <c r="K28" s="260">
        <f>J28/'- 13 -'!$J$54*100</f>
        <v>0.12024598695186423</v>
      </c>
      <c r="L28" s="619"/>
    </row>
    <row r="29" spans="1:12" ht="12.75" customHeight="1" x14ac:dyDescent="0.2">
      <c r="A29" s="114" t="s">
        <v>200</v>
      </c>
      <c r="B29" s="115"/>
      <c r="C29" s="260">
        <f>B29/'- 13 -'!$J$54*100</f>
        <v>0</v>
      </c>
      <c r="D29" s="115"/>
      <c r="E29" s="260">
        <f>D29/'- 13 -'!$J$54*100</f>
        <v>0</v>
      </c>
      <c r="F29" s="115"/>
      <c r="G29" s="260">
        <f>F29/'- 13 -'!$J$54*100</f>
        <v>0</v>
      </c>
      <c r="H29" s="115"/>
      <c r="I29" s="260">
        <f>H29/'- 13 -'!$J$54*100</f>
        <v>0</v>
      </c>
      <c r="J29" s="115"/>
      <c r="K29" s="260">
        <f>J29/'- 13 -'!$J$54*100</f>
        <v>0</v>
      </c>
      <c r="L29" s="619"/>
    </row>
    <row r="30" spans="1:12" ht="12.75" customHeight="1" x14ac:dyDescent="0.2">
      <c r="A30" s="114" t="s">
        <v>201</v>
      </c>
      <c r="B30" s="115">
        <v>1417305</v>
      </c>
      <c r="C30" s="260">
        <f>B30/'- 13 -'!$J$54*100</f>
        <v>5.9743993721083112E-2</v>
      </c>
      <c r="D30" s="115">
        <v>580560</v>
      </c>
      <c r="E30" s="260">
        <f>D30/'- 13 -'!$J$54*100</f>
        <v>2.4472483336128788E-2</v>
      </c>
      <c r="F30" s="115">
        <v>0</v>
      </c>
      <c r="G30" s="260">
        <f>F30/'- 13 -'!$J$54*100</f>
        <v>0</v>
      </c>
      <c r="H30" s="115"/>
      <c r="I30" s="260">
        <f>H30/'- 13 -'!$J$54*100</f>
        <v>0</v>
      </c>
      <c r="J30" s="115"/>
      <c r="K30" s="260">
        <f>J30/'- 13 -'!$J$54*100</f>
        <v>0</v>
      </c>
      <c r="L30" s="258"/>
    </row>
    <row r="31" spans="1:12" ht="12.75" customHeight="1" x14ac:dyDescent="0.2">
      <c r="A31" s="114" t="s">
        <v>202</v>
      </c>
      <c r="B31" s="115">
        <v>506365</v>
      </c>
      <c r="C31" s="260">
        <f>B31/'- 13 -'!$J$54*100</f>
        <v>2.1344923908810206E-2</v>
      </c>
      <c r="D31" s="115">
        <v>21624</v>
      </c>
      <c r="E31" s="260">
        <f>D31/'- 13 -'!$J$54*100</f>
        <v>9.1152159924977414E-4</v>
      </c>
      <c r="F31" s="115">
        <v>5045</v>
      </c>
      <c r="G31" s="260">
        <f>F31/'- 13 -'!$J$54*100</f>
        <v>2.1266308121601512E-4</v>
      </c>
      <c r="H31" s="115">
        <v>78200</v>
      </c>
      <c r="I31" s="260">
        <f>H31/'- 13 -'!$J$54*100</f>
        <v>3.2963831419410075E-3</v>
      </c>
      <c r="J31" s="115">
        <v>237020</v>
      </c>
      <c r="K31" s="260">
        <f>J31/'- 13 -'!$J$54*100</f>
        <v>9.9911602596273342E-3</v>
      </c>
    </row>
    <row r="32" spans="1:12" x14ac:dyDescent="0.2">
      <c r="A32" s="114" t="s">
        <v>203</v>
      </c>
      <c r="B32" s="115">
        <v>214887</v>
      </c>
      <c r="C32" s="260">
        <f>B32/'- 13 -'!$J$54*100</f>
        <v>9.0581826626889676E-3</v>
      </c>
      <c r="D32" s="115">
        <v>24621</v>
      </c>
      <c r="E32" s="260">
        <f>D32/'- 13 -'!$J$54*100</f>
        <v>1.0378548508661067E-3</v>
      </c>
      <c r="F32" s="115">
        <v>2964</v>
      </c>
      <c r="G32" s="260">
        <f>F32/'- 13 -'!$J$54*100</f>
        <v>1.249421947917282E-4</v>
      </c>
      <c r="H32" s="115">
        <v>794</v>
      </c>
      <c r="I32" s="260">
        <f>H32/'- 13 -'!$J$54*100</f>
        <v>3.3469670264720714E-5</v>
      </c>
      <c r="J32" s="115">
        <v>1683863</v>
      </c>
      <c r="K32" s="260">
        <f>J32/'- 13 -'!$J$54*100</f>
        <v>7.0980276298442585E-2</v>
      </c>
    </row>
    <row r="33" spans="1:13" x14ac:dyDescent="0.2">
      <c r="A33" s="114" t="s">
        <v>204</v>
      </c>
      <c r="B33" s="115">
        <v>2840328</v>
      </c>
      <c r="C33" s="260">
        <f>B33/'- 13 -'!$J$54*100</f>
        <v>0.11972901965195674</v>
      </c>
      <c r="D33" s="115">
        <v>67450</v>
      </c>
      <c r="E33" s="260">
        <f>D33/'- 13 -'!$J$54*100</f>
        <v>2.8432358430168919E-3</v>
      </c>
      <c r="F33" s="115">
        <v>73141</v>
      </c>
      <c r="G33" s="260">
        <f>F33/'- 13 -'!$J$54*100</f>
        <v>3.0831299154054632E-3</v>
      </c>
      <c r="H33" s="115">
        <v>34360</v>
      </c>
      <c r="I33" s="260">
        <f>H33/'- 13 -'!$J$54*100</f>
        <v>1.4483852270728006E-3</v>
      </c>
      <c r="J33" s="115">
        <v>228740</v>
      </c>
      <c r="K33" s="260">
        <f>J33/'- 13 -'!$J$54*100</f>
        <v>9.6421314563629925E-3</v>
      </c>
    </row>
    <row r="34" spans="1:13" x14ac:dyDescent="0.2">
      <c r="A34" s="114" t="s">
        <v>205</v>
      </c>
      <c r="B34" s="115">
        <v>2478313</v>
      </c>
      <c r="C34" s="260">
        <f>B34/'- 13 -'!$J$54*100</f>
        <v>0.10446891551986245</v>
      </c>
      <c r="D34" s="115">
        <v>131049</v>
      </c>
      <c r="E34" s="260">
        <f>D34/'- 13 -'!$J$54*100</f>
        <v>5.5241395699261774E-3</v>
      </c>
      <c r="F34" s="115">
        <v>444249</v>
      </c>
      <c r="G34" s="260">
        <f>F34/'- 13 -'!$J$54*100</f>
        <v>1.8726533432533894E-2</v>
      </c>
      <c r="H34" s="115">
        <v>611731</v>
      </c>
      <c r="I34" s="260">
        <f>H34/'- 13 -'!$J$54*100</f>
        <v>2.5786441890060286E-2</v>
      </c>
      <c r="J34" s="115">
        <v>382753</v>
      </c>
      <c r="K34" s="260">
        <f>J34/'- 13 -'!$J$54*100</f>
        <v>1.61342779632653E-2</v>
      </c>
    </row>
    <row r="35" spans="1:13" x14ac:dyDescent="0.2">
      <c r="A35" s="362" t="s">
        <v>244</v>
      </c>
      <c r="B35" s="115"/>
      <c r="C35" s="260">
        <f>B35/'- 13 -'!$J$54*100</f>
        <v>0</v>
      </c>
      <c r="D35" s="115"/>
      <c r="E35" s="260">
        <f>D35/'- 13 -'!$J$54*100</f>
        <v>0</v>
      </c>
      <c r="F35" s="115">
        <v>33115</v>
      </c>
      <c r="G35" s="260">
        <f>F35/'- 13 -'!$J$54*100</f>
        <v>1.3959044468718218E-3</v>
      </c>
      <c r="H35" s="115"/>
      <c r="I35" s="260">
        <f>H35/'- 13 -'!$J$54*100</f>
        <v>0</v>
      </c>
      <c r="J35" s="115"/>
      <c r="K35" s="260">
        <f>J35/'- 13 -'!$J$54*100</f>
        <v>0</v>
      </c>
    </row>
    <row r="36" spans="1:13" x14ac:dyDescent="0.2">
      <c r="A36" s="114" t="s">
        <v>206</v>
      </c>
      <c r="B36" s="115">
        <v>320014</v>
      </c>
      <c r="C36" s="260">
        <f>B36/'- 13 -'!$J$54*100</f>
        <v>1.3489626020269943E-2</v>
      </c>
      <c r="D36" s="115">
        <v>36330</v>
      </c>
      <c r="E36" s="260">
        <f>D36/'- 13 -'!$J$54*100</f>
        <v>1.5314271041779644E-3</v>
      </c>
      <c r="F36" s="115">
        <v>14965</v>
      </c>
      <c r="G36" s="260">
        <f>F36/'- 13 -'!$J$54*100</f>
        <v>6.3082319333947797E-4</v>
      </c>
      <c r="H36" s="115">
        <v>119000</v>
      </c>
      <c r="I36" s="260">
        <f>H36/'- 13 -'!$J$54*100</f>
        <v>5.0162352159971854E-3</v>
      </c>
      <c r="J36" s="115">
        <v>730343</v>
      </c>
      <c r="K36" s="260">
        <f>J36/'- 13 -'!$J$54*100</f>
        <v>3.0786321650059095E-2</v>
      </c>
    </row>
    <row r="37" spans="1:13" x14ac:dyDescent="0.2">
      <c r="A37" s="114" t="s">
        <v>207</v>
      </c>
      <c r="B37" s="115">
        <v>909415</v>
      </c>
      <c r="C37" s="260">
        <f>B37/'- 13 -'!$J$54*100</f>
        <v>3.8334786125681343E-2</v>
      </c>
      <c r="D37" s="115">
        <v>111806</v>
      </c>
      <c r="E37" s="260">
        <f>D37/'- 13 -'!$J$54*100</f>
        <v>4.7129848282334566E-3</v>
      </c>
      <c r="F37" s="115">
        <v>796</v>
      </c>
      <c r="G37" s="260">
        <f>F37/'- 13 -'!$J$54*100</f>
        <v>3.3553976738939155E-5</v>
      </c>
      <c r="H37" s="115">
        <v>4850</v>
      </c>
      <c r="I37" s="260">
        <f>H37/'- 13 -'!$J$54*100</f>
        <v>2.044431999797172E-4</v>
      </c>
      <c r="J37" s="115">
        <v>2818457</v>
      </c>
      <c r="K37" s="260">
        <f>J37/'- 13 -'!$J$54*100</f>
        <v>0.11880708620314101</v>
      </c>
    </row>
    <row r="38" spans="1:13" x14ac:dyDescent="0.2">
      <c r="A38" s="121" t="s">
        <v>208</v>
      </c>
      <c r="B38" s="115">
        <v>569481</v>
      </c>
      <c r="C38" s="260">
        <f>B38/'- 13 -'!$J$54*100</f>
        <v>2.4005467622195742E-2</v>
      </c>
      <c r="D38" s="115">
        <v>239814</v>
      </c>
      <c r="E38" s="260">
        <f>D38/'- 13 -'!$J$54*100</f>
        <v>1.0108936404110496E-2</v>
      </c>
      <c r="F38" s="115">
        <v>33085</v>
      </c>
      <c r="G38" s="260">
        <f>F38/'- 13 -'!$J$54*100</f>
        <v>1.394639849758545E-3</v>
      </c>
      <c r="H38" s="115">
        <v>28575</v>
      </c>
      <c r="I38" s="260">
        <f>H38/'- 13 -'!$J$54*100</f>
        <v>1.2045287503959627E-3</v>
      </c>
      <c r="J38" s="115">
        <v>1732781</v>
      </c>
      <c r="K38" s="260">
        <f>J38/'- 13 -'!$J$54*100</f>
        <v>7.3042328351351424E-2</v>
      </c>
    </row>
    <row r="39" spans="1:13" x14ac:dyDescent="0.2">
      <c r="A39" s="122" t="s">
        <v>209</v>
      </c>
      <c r="B39" s="118">
        <v>10002935</v>
      </c>
      <c r="C39" s="261">
        <f>B39/'- 13 -'!$J$54*100</f>
        <v>0.42165609084311595</v>
      </c>
      <c r="D39" s="118">
        <v>122217</v>
      </c>
      <c r="E39" s="261">
        <f>D39/'- 13 -'!$J$54*100</f>
        <v>5.1518421797775464E-3</v>
      </c>
      <c r="F39" s="118">
        <v>18355</v>
      </c>
      <c r="G39" s="261">
        <f>F39/'- 13 -'!$J$54*100</f>
        <v>7.7372266713973388E-4</v>
      </c>
      <c r="H39" s="118">
        <v>1300</v>
      </c>
      <c r="I39" s="261">
        <f>H39/'- 13 -'!$J$54*100</f>
        <v>5.4799208241986055E-5</v>
      </c>
      <c r="J39" s="118">
        <v>2831506</v>
      </c>
      <c r="K39" s="261">
        <f>J39/'- 13 -'!$J$54*100</f>
        <v>0.11935714379417921</v>
      </c>
    </row>
    <row r="40" spans="1:13" x14ac:dyDescent="0.2">
      <c r="A40" s="119" t="s">
        <v>210</v>
      </c>
      <c r="B40" s="125">
        <f>SUM(B25:B39)</f>
        <v>32688601</v>
      </c>
      <c r="C40" s="263">
        <f>B40/'- 13 -'!$J$54*100</f>
        <v>1.3779303487216874</v>
      </c>
      <c r="D40" s="125">
        <f>SUM(D25:D39)</f>
        <v>12096175</v>
      </c>
      <c r="E40" s="263">
        <f>D40/'- 13 -'!$J$54*100</f>
        <v>0.50989293288961979</v>
      </c>
      <c r="F40" s="125">
        <f>SUM(F25:F39)</f>
        <v>874486</v>
      </c>
      <c r="G40" s="263">
        <f>F40/'- 13 -'!$J$54*100</f>
        <v>3.6862415706693401E-2</v>
      </c>
      <c r="H40" s="125">
        <f>SUM(H25:H39)</f>
        <v>2482054</v>
      </c>
      <c r="I40" s="263">
        <f>H40/'- 13 -'!$J$54*100</f>
        <v>0.10462661077988804</v>
      </c>
      <c r="J40" s="125">
        <f>SUM(J25:J39)</f>
        <v>19219273</v>
      </c>
      <c r="K40" s="263">
        <f>J40/'- 13 -'!$J$54*100</f>
        <v>0.81015457183583084</v>
      </c>
    </row>
    <row r="41" spans="1:13" x14ac:dyDescent="0.2">
      <c r="A41" s="281" t="s">
        <v>211</v>
      </c>
      <c r="B41" s="123"/>
      <c r="C41" s="264"/>
      <c r="D41" s="123"/>
      <c r="E41" s="264"/>
      <c r="F41" s="123"/>
      <c r="G41" s="264"/>
      <c r="H41" s="123"/>
      <c r="I41" s="264"/>
      <c r="J41" s="123"/>
      <c r="K41" s="264"/>
    </row>
    <row r="42" spans="1:13" x14ac:dyDescent="0.2">
      <c r="A42" s="114" t="s">
        <v>212</v>
      </c>
      <c r="B42" s="115">
        <v>36844968</v>
      </c>
      <c r="C42" s="260">
        <f>B42/'- 13 -'!$J$54*100</f>
        <v>1.553134672385625</v>
      </c>
      <c r="D42" s="115">
        <v>3526464</v>
      </c>
      <c r="E42" s="260">
        <f>D42/'- 13 -'!$J$54*100</f>
        <v>0.14865187314912856</v>
      </c>
      <c r="F42" s="115">
        <v>145236</v>
      </c>
      <c r="G42" s="260">
        <f>F42/'- 13 -'!$J$54*100</f>
        <v>6.122167544794682E-3</v>
      </c>
      <c r="H42" s="115">
        <v>1983537</v>
      </c>
      <c r="I42" s="260">
        <f>H42/'- 13 -'!$J$54*100</f>
        <v>8.3612505475910995E-2</v>
      </c>
      <c r="J42" s="115">
        <v>1369496</v>
      </c>
      <c r="K42" s="260">
        <f>J42/'- 13 -'!$J$54*100</f>
        <v>5.7728689608128415E-2</v>
      </c>
    </row>
    <row r="43" spans="1:13" x14ac:dyDescent="0.2">
      <c r="A43" s="114" t="s">
        <v>213</v>
      </c>
      <c r="B43" s="115">
        <v>12000759</v>
      </c>
      <c r="C43" s="260">
        <f>B43/'- 13 -'!$J$54*100</f>
        <v>0.50587083961760648</v>
      </c>
      <c r="D43" s="115">
        <v>788151</v>
      </c>
      <c r="E43" s="260">
        <f>D43/'- 13 -'!$J$54*100</f>
        <v>3.3223115980868884E-2</v>
      </c>
      <c r="F43" s="115">
        <v>55976</v>
      </c>
      <c r="G43" s="260">
        <f>F43/'- 13 -'!$J$54*100</f>
        <v>2.3595696004257011E-3</v>
      </c>
      <c r="H43" s="115">
        <v>79825</v>
      </c>
      <c r="I43" s="260">
        <f>H43/'- 13 -'!$J$54*100</f>
        <v>3.36488215224349E-3</v>
      </c>
      <c r="J43" s="115">
        <v>127190</v>
      </c>
      <c r="K43" s="260">
        <f>J43/'- 13 -'!$J$54*100</f>
        <v>5.3614702279216973E-3</v>
      </c>
    </row>
    <row r="44" spans="1:13" x14ac:dyDescent="0.2">
      <c r="A44" s="114" t="s">
        <v>214</v>
      </c>
      <c r="B44" s="115">
        <v>10491537</v>
      </c>
      <c r="C44" s="260">
        <f>B44/'- 13 -'!$J$54*100</f>
        <v>0.44225224680115516</v>
      </c>
      <c r="D44" s="115">
        <v>409427</v>
      </c>
      <c r="E44" s="260">
        <f>D44/'- 13 -'!$J$54*100</f>
        <v>1.7258673409916634E-2</v>
      </c>
      <c r="F44" s="115">
        <v>37299</v>
      </c>
      <c r="G44" s="260">
        <f>F44/'- 13 -'!$J$54*100</f>
        <v>1.5722735909367983E-3</v>
      </c>
      <c r="H44" s="115">
        <v>17360</v>
      </c>
      <c r="I44" s="260">
        <f>H44/'- 13 -'!$J$54*100</f>
        <v>7.3178019621606002E-4</v>
      </c>
      <c r="J44" s="115">
        <v>333856</v>
      </c>
      <c r="K44" s="260">
        <f>J44/'- 13 -'!$J$54*100</f>
        <v>1.4073111128335767E-2</v>
      </c>
    </row>
    <row r="45" spans="1:13" x14ac:dyDescent="0.2">
      <c r="A45" s="122" t="s">
        <v>215</v>
      </c>
      <c r="B45" s="118">
        <v>20781156</v>
      </c>
      <c r="C45" s="261">
        <f>B45/'- 13 -'!$J$54*100</f>
        <v>0.8759929962716908</v>
      </c>
      <c r="D45" s="118">
        <v>587874</v>
      </c>
      <c r="E45" s="261">
        <f>D45/'- 13 -'!$J$54*100</f>
        <v>2.4780792112345622E-2</v>
      </c>
      <c r="F45" s="118">
        <v>59988</v>
      </c>
      <c r="G45" s="261">
        <f>F45/'- 13 -'!$J$54*100</f>
        <v>2.5286883877078921E-3</v>
      </c>
      <c r="H45" s="118">
        <v>5393</v>
      </c>
      <c r="I45" s="261">
        <f>H45/'- 13 -'!$J$54*100</f>
        <v>2.2733240773002372E-4</v>
      </c>
      <c r="J45" s="118">
        <v>1004447</v>
      </c>
      <c r="K45" s="261">
        <f>J45/'- 13 -'!$J$54*100</f>
        <v>4.2340692554644746E-2</v>
      </c>
    </row>
    <row r="46" spans="1:13" x14ac:dyDescent="0.2">
      <c r="A46" s="119" t="s">
        <v>216</v>
      </c>
      <c r="B46" s="125">
        <f>SUM(B42:B45)</f>
        <v>80118420</v>
      </c>
      <c r="C46" s="263">
        <f>B46/'- 13 -'!$J$54*100</f>
        <v>3.3772507550760769</v>
      </c>
      <c r="D46" s="125">
        <f>SUM(D42:D45)</f>
        <v>5311916</v>
      </c>
      <c r="E46" s="263">
        <f>D46/'- 13 -'!$J$54*100</f>
        <v>0.2239144546522597</v>
      </c>
      <c r="F46" s="125">
        <f>SUM(F42:F45)</f>
        <v>298499</v>
      </c>
      <c r="G46" s="263">
        <f>F46/'- 13 -'!$J$54*100</f>
        <v>1.2582699123865074E-2</v>
      </c>
      <c r="H46" s="125">
        <f>SUM(H42:H45)</f>
        <v>2086115</v>
      </c>
      <c r="I46" s="263">
        <f>H46/'- 13 -'!$J$54*100</f>
        <v>8.7936500232100576E-2</v>
      </c>
      <c r="J46" s="125">
        <f>SUM(J42:J45)</f>
        <v>2834989</v>
      </c>
      <c r="K46" s="263">
        <f>J46/'- 13 -'!$J$54*100</f>
        <v>0.11950396351903061</v>
      </c>
    </row>
    <row r="47" spans="1:13" x14ac:dyDescent="0.2">
      <c r="A47" s="281" t="s">
        <v>42</v>
      </c>
      <c r="B47" s="123"/>
      <c r="C47" s="264"/>
      <c r="D47" s="123"/>
      <c r="E47" s="264"/>
      <c r="F47" s="123"/>
      <c r="G47" s="264"/>
      <c r="H47" s="123"/>
      <c r="I47" s="264"/>
      <c r="J47" s="123"/>
      <c r="K47" s="264"/>
    </row>
    <row r="48" spans="1:13" ht="15" customHeight="1" x14ac:dyDescent="0.2">
      <c r="A48" s="122" t="s">
        <v>242</v>
      </c>
      <c r="B48" s="124"/>
      <c r="C48" s="261"/>
      <c r="D48" s="124"/>
      <c r="E48" s="261"/>
      <c r="F48" s="118">
        <v>27000</v>
      </c>
      <c r="G48" s="261"/>
      <c r="H48" s="124"/>
      <c r="I48" s="261"/>
      <c r="J48" s="118">
        <v>-27000</v>
      </c>
      <c r="K48" s="261"/>
      <c r="M48" s="1">
        <f>F48+J48+'- 13 -'!F48</f>
        <v>0</v>
      </c>
    </row>
    <row r="49" spans="1:11" x14ac:dyDescent="0.2">
      <c r="A49" s="119" t="s">
        <v>219</v>
      </c>
      <c r="B49" s="119"/>
      <c r="C49" s="263"/>
      <c r="D49" s="119"/>
      <c r="E49" s="263"/>
      <c r="F49" s="125">
        <f>F48</f>
        <v>27000</v>
      </c>
      <c r="G49" s="263"/>
      <c r="H49" s="119"/>
      <c r="I49" s="263"/>
      <c r="J49" s="125">
        <f>J48</f>
        <v>-27000</v>
      </c>
      <c r="K49" s="263"/>
    </row>
    <row r="50" spans="1:11" ht="5.0999999999999996" customHeight="1" x14ac:dyDescent="0.2">
      <c r="A50" s="19"/>
      <c r="B50" s="23"/>
      <c r="C50" s="265"/>
      <c r="D50" s="72"/>
      <c r="E50" s="265"/>
      <c r="F50" s="72"/>
      <c r="G50" s="265"/>
      <c r="H50" s="72"/>
      <c r="I50" s="265"/>
      <c r="J50" s="72"/>
      <c r="K50" s="265"/>
    </row>
    <row r="51" spans="1:11" x14ac:dyDescent="0.2">
      <c r="A51" s="282" t="s">
        <v>220</v>
      </c>
      <c r="B51" s="344">
        <f>SUM(B47,B46,B40,B23,B22)</f>
        <v>1323197588</v>
      </c>
      <c r="C51" s="345">
        <f>B51/'- 13 -'!$J$54*100</f>
        <v>55.777061669312054</v>
      </c>
      <c r="D51" s="344">
        <f>SUM(D47,D46,D40,D23,D22)</f>
        <v>437448293</v>
      </c>
      <c r="E51" s="345">
        <f>D51/'- 13 -'!$J$54*100</f>
        <v>18.439861617852564</v>
      </c>
      <c r="F51" s="344">
        <f>SUM(F49,F46,F40,F23,F22)</f>
        <v>8778307</v>
      </c>
      <c r="G51" s="345">
        <f>F51/'- 13 -'!$J$54*100</f>
        <v>0.3700340563885261</v>
      </c>
      <c r="H51" s="344">
        <f>SUM(H47,H46,H40,H23,H22)</f>
        <v>23537135</v>
      </c>
      <c r="I51" s="345">
        <f>H51/'- 13 -'!$J$54*100</f>
        <v>0.99216643252672199</v>
      </c>
      <c r="J51" s="344">
        <f>SUM(J49,J46,J40,J23,J22)</f>
        <v>83288222</v>
      </c>
      <c r="K51" s="345">
        <f>J51/'- 13 -'!$J$54*100</f>
        <v>3.5108681703713569</v>
      </c>
    </row>
    <row r="52" spans="1:11" ht="20.100000000000001" customHeight="1" x14ac:dyDescent="0.2">
      <c r="A52" s="449" t="s">
        <v>360</v>
      </c>
    </row>
  </sheetData>
  <mergeCells count="7">
    <mergeCell ref="B7:K7"/>
    <mergeCell ref="L26:L29"/>
    <mergeCell ref="B9:C10"/>
    <mergeCell ref="D9:E10"/>
    <mergeCell ref="F9:G10"/>
    <mergeCell ref="H9:I10"/>
    <mergeCell ref="J9:K10"/>
  </mergeCells>
  <phoneticPr fontId="0" type="noConversion"/>
  <printOptions verticalCentered="1"/>
  <pageMargins left="0.74803149606299213" right="0" top="0.31496062992125984" bottom="0.31496062992125984" header="0" footer="0"/>
  <pageSetup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62</vt:i4>
      </vt:variant>
    </vt:vector>
  </HeadingPairs>
  <TitlesOfParts>
    <vt:vector size="116" baseType="lpstr">
      <vt:lpstr>README</vt:lpstr>
      <vt:lpstr>- 3 -</vt:lpstr>
      <vt:lpstr>- 4 -</vt:lpstr>
      <vt:lpstr>- 6 -</vt:lpstr>
      <vt:lpstr>- 7 -</vt:lpstr>
      <vt:lpstr>- 8 -</vt:lpstr>
      <vt:lpstr>- 9 -</vt:lpstr>
      <vt:lpstr>- 10 -</vt:lpstr>
      <vt:lpstr>- 12 -</vt:lpstr>
      <vt:lpstr>- 13 -</vt:lpstr>
      <vt:lpstr>- 15 -</vt:lpstr>
      <vt:lpstr>- 16 -</vt:lpstr>
      <vt:lpstr>- 17 -</vt:lpstr>
      <vt:lpstr>- 18 -</vt:lpstr>
      <vt:lpstr>- 19 -</vt:lpstr>
      <vt:lpstr>- 20 -</vt:lpstr>
      <vt:lpstr>- 21 -</vt:lpstr>
      <vt:lpstr>- 22 -</vt:lpstr>
      <vt:lpstr>- 23 -</vt:lpstr>
      <vt:lpstr>- 24 -</vt:lpstr>
      <vt:lpstr>- 25 -</vt:lpstr>
      <vt:lpstr>- 26 -</vt:lpstr>
      <vt:lpstr>- 27 -</vt:lpstr>
      <vt:lpstr>- 28 -</vt:lpstr>
      <vt:lpstr>- 29 -</vt:lpstr>
      <vt:lpstr>- 30 -</vt:lpstr>
      <vt:lpstr>- 31 -</vt:lpstr>
      <vt:lpstr>- 32 -</vt:lpstr>
      <vt:lpstr>- 33 -</vt:lpstr>
      <vt:lpstr>- 34 -</vt:lpstr>
      <vt:lpstr>- 35 -</vt:lpstr>
      <vt:lpstr>- 36 -</vt:lpstr>
      <vt:lpstr>- 37 -</vt:lpstr>
      <vt:lpstr>- 38 -</vt:lpstr>
      <vt:lpstr>- 40 -</vt:lpstr>
      <vt:lpstr>- 41 -</vt:lpstr>
      <vt:lpstr>- 42 -</vt:lpstr>
      <vt:lpstr>- 43 -</vt:lpstr>
      <vt:lpstr>- 44 -</vt:lpstr>
      <vt:lpstr>- 45 -</vt:lpstr>
      <vt:lpstr>- 47 -</vt:lpstr>
      <vt:lpstr>- 48 - </vt:lpstr>
      <vt:lpstr>- 50 -</vt:lpstr>
      <vt:lpstr>- 51 -</vt:lpstr>
      <vt:lpstr>- 52 -</vt:lpstr>
      <vt:lpstr>- 53 -</vt:lpstr>
      <vt:lpstr>- 54 -</vt:lpstr>
      <vt:lpstr>- 55 -</vt:lpstr>
      <vt:lpstr>- 56 -</vt:lpstr>
      <vt:lpstr>- 57 -</vt:lpstr>
      <vt:lpstr>- 58 -</vt:lpstr>
      <vt:lpstr>- 59 -</vt:lpstr>
      <vt:lpstr>- 60 -</vt:lpstr>
      <vt:lpstr>Data</vt:lpstr>
      <vt:lpstr>AEXP_BF</vt:lpstr>
      <vt:lpstr>AEXP_BP</vt:lpstr>
      <vt:lpstr>Lang</vt:lpstr>
      <vt:lpstr>OPYEAR</vt:lpstr>
      <vt:lpstr>'- 10 -'!Print_Area</vt:lpstr>
      <vt:lpstr>'- 12 -'!Print_Area</vt:lpstr>
      <vt:lpstr>'- 13 -'!Print_Area</vt:lpstr>
      <vt:lpstr>'- 15 -'!Print_Area</vt:lpstr>
      <vt:lpstr>'- 16 -'!Print_Area</vt:lpstr>
      <vt:lpstr>'- 17 -'!Print_Area</vt:lpstr>
      <vt:lpstr>'- 18 -'!Print_Area</vt:lpstr>
      <vt:lpstr>'- 19 -'!Print_Area</vt:lpstr>
      <vt:lpstr>'- 20 -'!Print_Area</vt:lpstr>
      <vt:lpstr>'- 21 -'!Print_Area</vt:lpstr>
      <vt:lpstr>'- 22 -'!Print_Area</vt:lpstr>
      <vt:lpstr>'- 23 -'!Print_Area</vt:lpstr>
      <vt:lpstr>'- 24 -'!Print_Area</vt:lpstr>
      <vt:lpstr>'- 25 -'!Print_Area</vt:lpstr>
      <vt:lpstr>'- 26 -'!Print_Area</vt:lpstr>
      <vt:lpstr>'- 27 -'!Print_Area</vt:lpstr>
      <vt:lpstr>'- 28 -'!Print_Area</vt:lpstr>
      <vt:lpstr>'- 29 -'!Print_Area</vt:lpstr>
      <vt:lpstr>'- 3 -'!Print_Area</vt:lpstr>
      <vt:lpstr>'- 30 -'!Print_Area</vt:lpstr>
      <vt:lpstr>'- 31 -'!Print_Area</vt:lpstr>
      <vt:lpstr>'- 32 -'!Print_Area</vt:lpstr>
      <vt:lpstr>'- 33 -'!Print_Area</vt:lpstr>
      <vt:lpstr>'- 34 -'!Print_Area</vt:lpstr>
      <vt:lpstr>'- 35 -'!Print_Area</vt:lpstr>
      <vt:lpstr>'- 36 -'!Print_Area</vt:lpstr>
      <vt:lpstr>'- 37 -'!Print_Area</vt:lpstr>
      <vt:lpstr>'- 38 -'!Print_Area</vt:lpstr>
      <vt:lpstr>'- 4 -'!Print_Area</vt:lpstr>
      <vt:lpstr>'- 40 -'!Print_Area</vt:lpstr>
      <vt:lpstr>'- 41 -'!Print_Area</vt:lpstr>
      <vt:lpstr>'- 42 -'!Print_Area</vt:lpstr>
      <vt:lpstr>'- 43 -'!Print_Area</vt:lpstr>
      <vt:lpstr>'- 44 -'!Print_Area</vt:lpstr>
      <vt:lpstr>'- 45 -'!Print_Area</vt:lpstr>
      <vt:lpstr>'- 47 -'!Print_Area</vt:lpstr>
      <vt:lpstr>'- 48 - '!Print_Area</vt:lpstr>
      <vt:lpstr>'- 50 -'!Print_Area</vt:lpstr>
      <vt:lpstr>'- 51 -'!Print_Area</vt:lpstr>
      <vt:lpstr>'- 52 -'!Print_Area</vt:lpstr>
      <vt:lpstr>'- 53 -'!Print_Area</vt:lpstr>
      <vt:lpstr>'- 54 -'!Print_Area</vt:lpstr>
      <vt:lpstr>'- 55 -'!Print_Area</vt:lpstr>
      <vt:lpstr>'- 56 -'!Print_Area</vt:lpstr>
      <vt:lpstr>'- 57 -'!Print_Area</vt:lpstr>
      <vt:lpstr>'- 58 -'!Print_Area</vt:lpstr>
      <vt:lpstr>'- 59 -'!Print_Area</vt:lpstr>
      <vt:lpstr>'- 6 -'!Print_Area</vt:lpstr>
      <vt:lpstr>'- 60 -'!Print_Area</vt:lpstr>
      <vt:lpstr>'- 7 -'!Print_Area</vt:lpstr>
      <vt:lpstr>'- 8 -'!Print_Area</vt:lpstr>
      <vt:lpstr>'- 9 -'!Print_Area</vt:lpstr>
      <vt:lpstr>Data!Print_Area</vt:lpstr>
      <vt:lpstr>README!Print_Area</vt:lpstr>
      <vt:lpstr>REVYEAR</vt:lpstr>
      <vt:lpstr>STATDATE</vt:lpstr>
      <vt:lpstr>TAXYEAR</vt:lpstr>
      <vt:lpstr>YEAR</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Pizarro, Gonzalo (EDU)</dc:creator>
  <cp:lastModifiedBy>GPizarro</cp:lastModifiedBy>
  <cp:lastPrinted>2017-05-10T16:15:50Z</cp:lastPrinted>
  <dcterms:created xsi:type="dcterms:W3CDTF">1999-01-19T20:49:35Z</dcterms:created>
  <dcterms:modified xsi:type="dcterms:W3CDTF">2017-09-25T17:01:07Z</dcterms:modified>
</cp:coreProperties>
</file>